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90.xml" ContentType="application/vnd.openxmlformats-officedocument.spreadsheetml.worksheet+xml"/>
  <Override PartName="/xl/worksheets/sheet93.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xr:revisionPtr revIDLastSave="1824" documentId="8_{2B3F3085-57EA-46F2-A712-2A9AFA71FB8B}" xr6:coauthVersionLast="47" xr6:coauthVersionMax="47" xr10:uidLastSave="{DBFCFBE3-3968-4482-99BB-9B29B7F4CBD5}"/>
  <workbookProtection workbookAlgorithmName="SHA-512" workbookHashValue="Y7n0yQ34hakVpfMcrZVPEtCTTxRuBI726t/0Bfj0ZSf25/QUf7F5onOi2ecwFPeZOr+em65o8bWV5v7da8Sudg==" workbookSaltValue="6Ld25LWm2oTiJ+UxDAjaZw==" workbookSpinCount="100000" lockStructure="1"/>
  <bookViews>
    <workbookView xWindow="28680" yWindow="-1515" windowWidth="29040" windowHeight="15720" tabRatio="916" firstSheet="1" activeTab="1" xr2:uid="{00000000-000D-0000-FFFF-FFFF00000000}"/>
  </bookViews>
  <sheets>
    <sheet name="Introduction --&gt;" sheetId="3" r:id="rId1" state="hidden"/>
    <sheet name="Manual" sheetId="1" r:id="rId2"/>
    <sheet name="CCF Scopes" sheetId="2" r:id="rId3" state="hidden"/>
    <sheet name="Change Log" sheetId="101" r:id="rId101" state="hidden"/>
    <sheet name="Results --&gt;" sheetId="4" r:id="rId4" state="hidden"/>
    <sheet name="Results Summary" sheetId="5" r:id="rId5"/>
    <sheet name="Results  Dashboard" sheetId="37" r:id="rId6"/>
    <sheet name="Input Templates --&gt;" sheetId="7" r:id="rId9" state="hidden"/>
    <sheet name="Scope 1" sheetId="10" r:id="rId11"/>
    <sheet name="Scope 2" sheetId="13" r:id="rId12"/>
    <sheet name="Scope 3.1, 3.2 &amp; 3.8" sheetId="16" r:id="rId13"/>
    <sheet name="Scope 3.4" sheetId="30" r:id="rId14"/>
    <sheet name="Scope 3.5" sheetId="21" r:id="rId15"/>
    <sheet name="Scope 3.6" sheetId="23" r:id="rId16"/>
    <sheet name="Scope 3.7" sheetId="26" r:id="rId17"/>
    <sheet name="Scope 3.11 &amp; 3.12" sheetId="102" r:id="rId102"/>
    <sheet name="Scope 3 Other (external)" sheetId="103" r:id="rId103"/>
    <sheet name="Scope 3 Screening" sheetId="104" r:id="rId104"/>
    <sheet name="Calculation (Hidden) --&gt;" sheetId="8" r:id="rId18" state="hidden"/>
    <sheet name="Scope 1 Calculation" sheetId="11" r:id="rId20" state="hidden"/>
    <sheet name="Scope 2 Calculation" sheetId="14" r:id="rId21" state="hidden"/>
    <sheet name="Scope 3.1, 3.2 &amp; 3.8 Calc." sheetId="19" r:id="rId22" state="hidden"/>
    <sheet name="Scope 3.4 Calc." sheetId="29" r:id="rId23" state="hidden"/>
    <sheet name="Scope 3.5 Calc." sheetId="22" r:id="rId24" state="hidden"/>
    <sheet name="Scope 3.6 Calc." sheetId="24" r:id="rId25" state="hidden"/>
    <sheet name="Scope 3.7 Calc." sheetId="27" r:id="rId26" state="hidden"/>
    <sheet name="Dropdowns" sheetId="20" state="hidden" r:id="rId27"/>
    <sheet name="Constants" sheetId="25" r:id="rId28" state="hidden"/>
    <sheet name="Emission Factors (Hidden) --&gt;" sheetId="9" r:id="rId29" state="hidden"/>
    <sheet name="Scope 1 Emission Factors" sheetId="12" r:id="rId30" state="hidden"/>
    <sheet name="Scope 2 Emission Factors" sheetId="15" r:id="rId31" state="hidden"/>
    <sheet name="Scope 3 EF" sheetId="17" r:id="rId32" state="hidden"/>
  </sheets>
  <definedNames>
    <definedName name="lst_Countries">'Scope 2 Emission Factors'!$P$7:$P$1152</definedName>
    <definedName name="lst_WasteTypes">'Scope 3 EF'!$B$66:$B$77</definedName>
    <definedName name="const_Company_Name">Manual!$C$4</definedName>
    <definedName name="const_Reporting_Year">Manual!$C$6</definedName>
    <definedName name="const_Working_days_annum">Constants!$C$51</definedName>
    <definedName name="const_Working_weeks_annum">Constants!$C$52</definedName>
  </definedNames>
  <calcPr fullCalcOnLoad="1"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<sst xmlns="http://schemas.openxmlformats.org/spreadsheetml/2006/main" count="20244" uniqueCount="2863">
  <si>
    <t>Company Name</t>
  </si>
  <si>
    <t>Calculation Year</t>
  </si>
  <si>
    <t>Scope 1</t>
  </si>
  <si>
    <t>1.01. Stationary Combustion</t>
  </si>
  <si>
    <t>1.02. Mobile Combustion</t>
  </si>
  <si>
    <t>1.04. Fugitive Emissions</t>
  </si>
  <si>
    <t>Scope 2</t>
  </si>
  <si>
    <t>2.01. Electricity</t>
  </si>
  <si>
    <t>2.02. District Heating</t>
  </si>
  <si>
    <t>Scope 3</t>
  </si>
  <si>
    <t>3.01. Purchased Goods &amp; Services</t>
  </si>
  <si>
    <t>3.02. Capital Goods</t>
  </si>
  <si>
    <t>3.03. Fuel- and Energy-Related Emissions</t>
  </si>
  <si>
    <t>3.04. Upstream Transport &amp; Distribution</t>
  </si>
  <si>
    <t>3.05. Waste Disposal</t>
  </si>
  <si>
    <t>3.06. Business Travel</t>
  </si>
  <si>
    <t>3.07. Employee Commuting</t>
  </si>
  <si>
    <t>3.08. Upstream Leased Assets</t>
  </si>
  <si>
    <t xml:space="preserve">Description </t>
  </si>
  <si>
    <t>Examples</t>
  </si>
  <si>
    <t>Scope</t>
  </si>
  <si>
    <t>Scope 1.01. Stationary Combustion</t>
  </si>
  <si>
    <t>Fuel</t>
  </si>
  <si>
    <t>Consumption</t>
  </si>
  <si>
    <t>Unit of Consumption</t>
  </si>
  <si>
    <t>Natural Gas</t>
  </si>
  <si>
    <t>Liquefied Natural Gas (LNG)</t>
  </si>
  <si>
    <t>Liquefied Petroleum Gas (LPG)</t>
  </si>
  <si>
    <t>Kerosene</t>
  </si>
  <si>
    <t>Coal</t>
  </si>
  <si>
    <t>Propane</t>
  </si>
  <si>
    <t>Emission Scope Relevance</t>
  </si>
  <si>
    <t>Scope 1.01 + Scope 3.03.</t>
  </si>
  <si>
    <t>Final Consumption (kWh)</t>
  </si>
  <si>
    <t>Final Consumption (l)</t>
  </si>
  <si>
    <t>Final Consumption (kg)</t>
  </si>
  <si>
    <t>Scope 1.02. Mobile Combustion</t>
  </si>
  <si>
    <t>l</t>
  </si>
  <si>
    <t>Emission Factor Source</t>
  </si>
  <si>
    <t>kWh</t>
  </si>
  <si>
    <t>Unit</t>
  </si>
  <si>
    <t>kg CO2e/unit</t>
  </si>
  <si>
    <t>CO2 kg CO2e/unit</t>
  </si>
  <si>
    <t>CH4 kg CO2e/unit</t>
  </si>
  <si>
    <t>N2O kg CO2e/unit</t>
  </si>
  <si>
    <t>tonnes</t>
  </si>
  <si>
    <t>Emission Factor Year</t>
  </si>
  <si>
    <t>Emission Factor Link</t>
  </si>
  <si>
    <t>cubic meters</t>
  </si>
  <si>
    <t>DEFRA Name</t>
  </si>
  <si>
    <t>LNG</t>
  </si>
  <si>
    <t>LPG</t>
  </si>
  <si>
    <t>Aviation Spirit</t>
  </si>
  <si>
    <t>DEFRA</t>
  </si>
  <si>
    <t>https://www.gov.uk/government/publications/greenhouse-gas-reporting-conversion-factors-2025</t>
  </si>
  <si>
    <t>Coal (industrial)</t>
  </si>
  <si>
    <t>Emissions 1.01. (kg CO2e)</t>
  </si>
  <si>
    <t>Emissions CO2 1.01. (kg CO2e)</t>
  </si>
  <si>
    <t>Emissions CH4 1.01. (kg CO2e)</t>
  </si>
  <si>
    <t>Emissions N2O 1.01. (kg CO2e)</t>
  </si>
  <si>
    <t>Emissions 3.03. (kg CO2e)</t>
  </si>
  <si>
    <t>Final Emissions (kWh)</t>
  </si>
  <si>
    <t>Final Emissions (l)</t>
  </si>
  <si>
    <t>Final Emissions (kg)</t>
  </si>
  <si>
    <t>Final Emissions (tonnes)</t>
  </si>
  <si>
    <t>Final Emissions (m3)</t>
  </si>
  <si>
    <t>Diesel</t>
  </si>
  <si>
    <t>Petrol</t>
  </si>
  <si>
    <t>Hybrid</t>
  </si>
  <si>
    <t>Plug-in Hybrid Electric Vehicle</t>
  </si>
  <si>
    <t>Battery Electric Vehicle</t>
  </si>
  <si>
    <t>Vehicle</t>
  </si>
  <si>
    <t>km</t>
  </si>
  <si>
    <t>Small</t>
  </si>
  <si>
    <t>Scope 1.02. + Scope 3.03.</t>
  </si>
  <si>
    <t>Final Consumption (cubic meters)</t>
  </si>
  <si>
    <t>Vehicle Type</t>
  </si>
  <si>
    <t>Petrol (100% mineral petrol)</t>
  </si>
  <si>
    <t>Medium</t>
  </si>
  <si>
    <t>Large</t>
  </si>
  <si>
    <t>Average</t>
  </si>
  <si>
    <t>3.03. Fuel-and Energy-Related Emissions</t>
  </si>
  <si>
    <t>Final Emissions (km)</t>
  </si>
  <si>
    <t>Emissions N20 1.01. (kg CO2e)</t>
  </si>
  <si>
    <t>Diesel (100% mineral diesel)</t>
  </si>
  <si>
    <t>Scope 1.04. Fugitive Emissions</t>
  </si>
  <si>
    <t>Scope 1.04.</t>
  </si>
  <si>
    <t>Cooling Liquid</t>
  </si>
  <si>
    <t>kg CO2e/Unit</t>
  </si>
  <si>
    <t>Carbon dioxide</t>
  </si>
  <si>
    <t>kg</t>
  </si>
  <si>
    <t>Methane</t>
  </si>
  <si>
    <t>Nitrous oxide</t>
  </si>
  <si>
    <t>HFC-23</t>
  </si>
  <si>
    <t>HFC-32</t>
  </si>
  <si>
    <t>HFC-41</t>
  </si>
  <si>
    <t>HFC-125</t>
  </si>
  <si>
    <t>HFC-134</t>
  </si>
  <si>
    <t>HFC-134a</t>
  </si>
  <si>
    <t>HFC-143</t>
  </si>
  <si>
    <t>HFC-143a</t>
  </si>
  <si>
    <t>HFC-152a</t>
  </si>
  <si>
    <t>HFC-227ea</t>
  </si>
  <si>
    <t>HFC-236fa</t>
  </si>
  <si>
    <t>HFC-245fa</t>
  </si>
  <si>
    <t>HFC-43-I0mee</t>
  </si>
  <si>
    <t>Perfluoromethane (PFC-14)</t>
  </si>
  <si>
    <t>Perfluoroethane (PFC-116)</t>
  </si>
  <si>
    <t>Perfluoropropane (PFC-218)</t>
  </si>
  <si>
    <t>Perfluorocyclobutane (PFC-318)</t>
  </si>
  <si>
    <t>Perfluorobutane (PFC-3-1-10)</t>
  </si>
  <si>
    <t>Perfluoropentane (PFC-4-1-12)</t>
  </si>
  <si>
    <t>Perfluorohexane (PFC-5-1-14)</t>
  </si>
  <si>
    <t>PFC-9-1-18</t>
  </si>
  <si>
    <t>Perfluorocyclopropane</t>
  </si>
  <si>
    <t>Sulphur hexafluoride (SF6)</t>
  </si>
  <si>
    <t>HFC-152</t>
  </si>
  <si>
    <t>HFC-161</t>
  </si>
  <si>
    <t>HFC-236cb</t>
  </si>
  <si>
    <t>HFC-236ea</t>
  </si>
  <si>
    <t>HFC-245ca</t>
  </si>
  <si>
    <t>HFC-365mfc</t>
  </si>
  <si>
    <t>Nitrogen trifluoride</t>
  </si>
  <si>
    <t>R401A</t>
  </si>
  <si>
    <t>R401B</t>
  </si>
  <si>
    <t>R401C</t>
  </si>
  <si>
    <t>R402A</t>
  </si>
  <si>
    <t>R402B</t>
  </si>
  <si>
    <t>R403A</t>
  </si>
  <si>
    <t>R403B</t>
  </si>
  <si>
    <t>R404A</t>
  </si>
  <si>
    <t>R405A</t>
  </si>
  <si>
    <t>R406A</t>
  </si>
  <si>
    <t>R407A</t>
  </si>
  <si>
    <t>R407B</t>
  </si>
  <si>
    <t>R407C</t>
  </si>
  <si>
    <t>R407D</t>
  </si>
  <si>
    <t>R407E</t>
  </si>
  <si>
    <t>R407F</t>
  </si>
  <si>
    <t>R408A</t>
  </si>
  <si>
    <t>R409A</t>
  </si>
  <si>
    <t>R409B</t>
  </si>
  <si>
    <t>R410A</t>
  </si>
  <si>
    <t>R410B</t>
  </si>
  <si>
    <t>R411A</t>
  </si>
  <si>
    <t>R411B</t>
  </si>
  <si>
    <t>R412A</t>
  </si>
  <si>
    <t>R413A</t>
  </si>
  <si>
    <t>R414A</t>
  </si>
  <si>
    <t>R414B</t>
  </si>
  <si>
    <t>R415A</t>
  </si>
  <si>
    <t>R415B</t>
  </si>
  <si>
    <t>R416A</t>
  </si>
  <si>
    <t>R417A</t>
  </si>
  <si>
    <t>R417B</t>
  </si>
  <si>
    <t>R417C</t>
  </si>
  <si>
    <t>R418A</t>
  </si>
  <si>
    <t>R419A</t>
  </si>
  <si>
    <t>R419B</t>
  </si>
  <si>
    <t>R420A</t>
  </si>
  <si>
    <t>R421A</t>
  </si>
  <si>
    <t>R421B</t>
  </si>
  <si>
    <t>R422A</t>
  </si>
  <si>
    <t>R422B</t>
  </si>
  <si>
    <t>R422C</t>
  </si>
  <si>
    <t>R422D</t>
  </si>
  <si>
    <t>R422E</t>
  </si>
  <si>
    <t>R423A</t>
  </si>
  <si>
    <t>R424A</t>
  </si>
  <si>
    <t>R425A</t>
  </si>
  <si>
    <t>R426A</t>
  </si>
  <si>
    <t>R427A</t>
  </si>
  <si>
    <t>R428A</t>
  </si>
  <si>
    <t>R429A</t>
  </si>
  <si>
    <t>R430A</t>
  </si>
  <si>
    <t>R431A</t>
  </si>
  <si>
    <t>R432A</t>
  </si>
  <si>
    <t>R433A</t>
  </si>
  <si>
    <t>R433B</t>
  </si>
  <si>
    <t>R433C</t>
  </si>
  <si>
    <t>R434A</t>
  </si>
  <si>
    <t>R435A</t>
  </si>
  <si>
    <t>R436A</t>
  </si>
  <si>
    <t>R436B</t>
  </si>
  <si>
    <t>R437A</t>
  </si>
  <si>
    <t>R438A</t>
  </si>
  <si>
    <t>R439A</t>
  </si>
  <si>
    <t>R440A</t>
  </si>
  <si>
    <t>R441A</t>
  </si>
  <si>
    <t>R442A</t>
  </si>
  <si>
    <t>R443A</t>
  </si>
  <si>
    <t>R444A</t>
  </si>
  <si>
    <t>R445A</t>
  </si>
  <si>
    <t>R500</t>
  </si>
  <si>
    <t>R501</t>
  </si>
  <si>
    <t>R502</t>
  </si>
  <si>
    <t>R503</t>
  </si>
  <si>
    <t>R504</t>
  </si>
  <si>
    <t>R505</t>
  </si>
  <si>
    <t>R506</t>
  </si>
  <si>
    <t>R507A</t>
  </si>
  <si>
    <t>R508A</t>
  </si>
  <si>
    <t>R508B</t>
  </si>
  <si>
    <t>R509A</t>
  </si>
  <si>
    <t>R510A</t>
  </si>
  <si>
    <t>R511A</t>
  </si>
  <si>
    <t>R512A</t>
  </si>
  <si>
    <t>CFC-11/R11 = trichlorofluoromethane</t>
  </si>
  <si>
    <t>CFC-12/R12 = dichlorodifluoromethane</t>
  </si>
  <si>
    <t>CFC-13</t>
  </si>
  <si>
    <t>CFC-113</t>
  </si>
  <si>
    <t>CFC-114</t>
  </si>
  <si>
    <t>CFC-115</t>
  </si>
  <si>
    <t>Halon-1211</t>
  </si>
  <si>
    <t>Halon-1301</t>
  </si>
  <si>
    <t>Halon-2402</t>
  </si>
  <si>
    <t>Carbon tetrachloride</t>
  </si>
  <si>
    <t>Methyl bromide</t>
  </si>
  <si>
    <t>Methyl chloroform</t>
  </si>
  <si>
    <t>HCFC-22/R22 = chlorodifluoromethane</t>
  </si>
  <si>
    <t>HCFC-123</t>
  </si>
  <si>
    <t>HCFC-124</t>
  </si>
  <si>
    <t>HCFC-141b</t>
  </si>
  <si>
    <t>HCFC-142b</t>
  </si>
  <si>
    <t>HCFC-225ca</t>
  </si>
  <si>
    <t>HCFC-225cb</t>
  </si>
  <si>
    <t>HCFC-21</t>
  </si>
  <si>
    <t>kg CO2e/unit2</t>
  </si>
  <si>
    <t xml:space="preserve">       </t>
  </si>
  <si>
    <t xml:space="preserve">HGV </t>
  </si>
  <si>
    <t>Rigid (&gt;3.5 - 7.5 tonnes)</t>
  </si>
  <si>
    <t>Fuel / Load</t>
  </si>
  <si>
    <t>Rigid (&gt;7.5 - 17 tonnes)</t>
  </si>
  <si>
    <t>Rigid (&gt;17 tonnes)</t>
  </si>
  <si>
    <t>All rigids</t>
  </si>
  <si>
    <t>Articulated (&gt;33 tonnes)</t>
  </si>
  <si>
    <t>All artics</t>
  </si>
  <si>
    <t>All HGV's</t>
  </si>
  <si>
    <t>Freight Type</t>
  </si>
  <si>
    <t>Final Emissions  Cars (km)</t>
  </si>
  <si>
    <t>Final Emissions HGVs (km)</t>
  </si>
  <si>
    <t>Final Consumption Car (km)</t>
  </si>
  <si>
    <t>Final Consumption HGV (km)</t>
  </si>
  <si>
    <t>IEA Emission Factors</t>
  </si>
  <si>
    <t>Category</t>
  </si>
  <si>
    <t>kg CO2e</t>
  </si>
  <si>
    <t>kg CO2e of CO2 per unit</t>
  </si>
  <si>
    <t>kg CO2e of CH4 per unit</t>
  </si>
  <si>
    <t>kg CO2e of N2O per unit</t>
  </si>
  <si>
    <t>kg CO2e of Unspecified per unit</t>
  </si>
  <si>
    <t>GWP</t>
  </si>
  <si>
    <t>Life Cycle</t>
  </si>
  <si>
    <t>Year</t>
  </si>
  <si>
    <t>ISO-2 Code</t>
  </si>
  <si>
    <t>ISO-3 Code</t>
  </si>
  <si>
    <t>Country</t>
  </si>
  <si>
    <t>Source</t>
  </si>
  <si>
    <t>ID</t>
  </si>
  <si>
    <t>2.01. Electricity (Location-based)</t>
  </si>
  <si>
    <t>Direct Electricity</t>
  </si>
  <si>
    <t>TtW</t>
  </si>
  <si>
    <t>CY</t>
  </si>
  <si>
    <t>CYP</t>
  </si>
  <si>
    <t>Cyprus</t>
  </si>
  <si>
    <t>International Energy Agency</t>
  </si>
  <si>
    <t>MT</t>
  </si>
  <si>
    <t>MLT</t>
  </si>
  <si>
    <t>Malta</t>
  </si>
  <si>
    <t>RS</t>
  </si>
  <si>
    <t>SRB</t>
  </si>
  <si>
    <t>Serbia</t>
  </si>
  <si>
    <t>MD</t>
  </si>
  <si>
    <t>MDA</t>
  </si>
  <si>
    <t>Moldova</t>
  </si>
  <si>
    <t>RU</t>
  </si>
  <si>
    <t>RUS</t>
  </si>
  <si>
    <t>Russia</t>
  </si>
  <si>
    <t>DK</t>
  </si>
  <si>
    <t>DNK</t>
  </si>
  <si>
    <t>Denmark</t>
  </si>
  <si>
    <t>LT</t>
  </si>
  <si>
    <t>LTU</t>
  </si>
  <si>
    <t>Lithuania</t>
  </si>
  <si>
    <t>UY</t>
  </si>
  <si>
    <t>URY</t>
  </si>
  <si>
    <t>Uruguay</t>
  </si>
  <si>
    <t>LU</t>
  </si>
  <si>
    <t>LUX</t>
  </si>
  <si>
    <t>Luxembourg</t>
  </si>
  <si>
    <t>SI</t>
  </si>
  <si>
    <t>SVN</t>
  </si>
  <si>
    <t>Slovenia</t>
  </si>
  <si>
    <t>UA</t>
  </si>
  <si>
    <t>UKR</t>
  </si>
  <si>
    <t>Ukraine</t>
  </si>
  <si>
    <t>LV</t>
  </si>
  <si>
    <t>LVA</t>
  </si>
  <si>
    <t>Latvia</t>
  </si>
  <si>
    <t>FI</t>
  </si>
  <si>
    <t>FIN</t>
  </si>
  <si>
    <t>Finland</t>
  </si>
  <si>
    <t>SE</t>
  </si>
  <si>
    <t>SWE</t>
  </si>
  <si>
    <t>Sweden</t>
  </si>
  <si>
    <t>DE</t>
  </si>
  <si>
    <t>DEU</t>
  </si>
  <si>
    <t>Germany</t>
  </si>
  <si>
    <t>GR</t>
  </si>
  <si>
    <t>GRC</t>
  </si>
  <si>
    <t>Greece</t>
  </si>
  <si>
    <t>IR</t>
  </si>
  <si>
    <t>IRN</t>
  </si>
  <si>
    <t>Iran</t>
  </si>
  <si>
    <t>MENA</t>
  </si>
  <si>
    <t>Middle East</t>
  </si>
  <si>
    <t>Africa</t>
  </si>
  <si>
    <t>GH</t>
  </si>
  <si>
    <t>GHA</t>
  </si>
  <si>
    <t>Ghana</t>
  </si>
  <si>
    <t>JO</t>
  </si>
  <si>
    <t>JOR</t>
  </si>
  <si>
    <t>Jordan</t>
  </si>
  <si>
    <t>AT</t>
  </si>
  <si>
    <t>AUT</t>
  </si>
  <si>
    <t>Austria</t>
  </si>
  <si>
    <t>CZ</t>
  </si>
  <si>
    <t>CZE</t>
  </si>
  <si>
    <t>Czechia</t>
  </si>
  <si>
    <t>PL</t>
  </si>
  <si>
    <t>POL</t>
  </si>
  <si>
    <t>Poland</t>
  </si>
  <si>
    <t>NO</t>
  </si>
  <si>
    <t>NOR</t>
  </si>
  <si>
    <t>Norway</t>
  </si>
  <si>
    <t>EU</t>
  </si>
  <si>
    <t>European Union</t>
  </si>
  <si>
    <t>EU-UK</t>
  </si>
  <si>
    <t>European Union (with UK)</t>
  </si>
  <si>
    <t>UNFCCC-A2-142</t>
  </si>
  <si>
    <t>Annex II Europe (UNFCCC)</t>
  </si>
  <si>
    <t>World</t>
  </si>
  <si>
    <t>JP</t>
  </si>
  <si>
    <t>JPN</t>
  </si>
  <si>
    <t>Japan</t>
  </si>
  <si>
    <t>MK</t>
  </si>
  <si>
    <t>MKD</t>
  </si>
  <si>
    <t>North Macedonia</t>
  </si>
  <si>
    <t>KZ</t>
  </si>
  <si>
    <t>KAZ</t>
  </si>
  <si>
    <t>Kazakhstan</t>
  </si>
  <si>
    <t>OECD-150</t>
  </si>
  <si>
    <t>OECD Europe</t>
  </si>
  <si>
    <t>KYOTO</t>
  </si>
  <si>
    <t>Annex B Countries (Kyoto Protocol)</t>
  </si>
  <si>
    <t>UN-150</t>
  </si>
  <si>
    <t>Europe (UN)</t>
  </si>
  <si>
    <t>BR</t>
  </si>
  <si>
    <t>BRA</t>
  </si>
  <si>
    <t>Brazil</t>
  </si>
  <si>
    <t>RW</t>
  </si>
  <si>
    <t>RWA</t>
  </si>
  <si>
    <t>Rwanda</t>
  </si>
  <si>
    <t>G7</t>
  </si>
  <si>
    <t>Group of Seven (G7)</t>
  </si>
  <si>
    <t>IT</t>
  </si>
  <si>
    <t>ITA</t>
  </si>
  <si>
    <t>Italy</t>
  </si>
  <si>
    <t>G8</t>
  </si>
  <si>
    <t>Group of Eight (G8)</t>
  </si>
  <si>
    <t>UNFCCC-A2</t>
  </si>
  <si>
    <t>Annex II Countries (UNFCCC)</t>
  </si>
  <si>
    <t>UNFCCC-A1</t>
  </si>
  <si>
    <t>Annex I Countries (UNFCCC)</t>
  </si>
  <si>
    <t>EIT</t>
  </si>
  <si>
    <t>Annex I EIT (UNFCCC)</t>
  </si>
  <si>
    <t>GB</t>
  </si>
  <si>
    <t>GBR</t>
  </si>
  <si>
    <t>United Kingdom</t>
  </si>
  <si>
    <t>UNFCCC-A2-9</t>
  </si>
  <si>
    <t>Annex II Asia Oceania (UNFCCC)</t>
  </si>
  <si>
    <t>HK</t>
  </si>
  <si>
    <t>HKG</t>
  </si>
  <si>
    <t>Hong Kong</t>
  </si>
  <si>
    <t>OECD-142</t>
  </si>
  <si>
    <t>OECD Asia Oceania</t>
  </si>
  <si>
    <t>IEA</t>
  </si>
  <si>
    <t>IEA Total</t>
  </si>
  <si>
    <t>EC</t>
  </si>
  <si>
    <t>ECU</t>
  </si>
  <si>
    <t>Ecuador</t>
  </si>
  <si>
    <t>KR</t>
  </si>
  <si>
    <t>KOR</t>
  </si>
  <si>
    <t>South Korea</t>
  </si>
  <si>
    <t>YU</t>
  </si>
  <si>
    <t>YUG</t>
  </si>
  <si>
    <t>Former Yugoslavia</t>
  </si>
  <si>
    <t>TR</t>
  </si>
  <si>
    <t>TUR</t>
  </si>
  <si>
    <t>Türkiye</t>
  </si>
  <si>
    <t>RO</t>
  </si>
  <si>
    <t>ROU</t>
  </si>
  <si>
    <t>Romania</t>
  </si>
  <si>
    <t>BE</t>
  </si>
  <si>
    <t>BEL</t>
  </si>
  <si>
    <t>Belgium</t>
  </si>
  <si>
    <t>OECD</t>
  </si>
  <si>
    <t>OECD Total</t>
  </si>
  <si>
    <t>BG</t>
  </si>
  <si>
    <t>BGR</t>
  </si>
  <si>
    <t>Bulgaria</t>
  </si>
  <si>
    <t>NOECD-150</t>
  </si>
  <si>
    <t>Non-OECD Europe and Eurasia</t>
  </si>
  <si>
    <t>PY</t>
  </si>
  <si>
    <t>PRY</t>
  </si>
  <si>
    <t>Paraguay</t>
  </si>
  <si>
    <t>EE</t>
  </si>
  <si>
    <t>EST</t>
  </si>
  <si>
    <t>Estonia</t>
  </si>
  <si>
    <t>US</t>
  </si>
  <si>
    <t>USA</t>
  </si>
  <si>
    <t>United States</t>
  </si>
  <si>
    <t>CA</t>
  </si>
  <si>
    <t>CAN</t>
  </si>
  <si>
    <t>Canada</t>
  </si>
  <si>
    <t>UNFCCC-A2-21</t>
  </si>
  <si>
    <t>Annex II North America (UNFCCC)</t>
  </si>
  <si>
    <t>SK</t>
  </si>
  <si>
    <t>SVK</t>
  </si>
  <si>
    <t>Slovakia</t>
  </si>
  <si>
    <t>PS</t>
  </si>
  <si>
    <t>PSE</t>
  </si>
  <si>
    <t>Palestine</t>
  </si>
  <si>
    <t>IE</t>
  </si>
  <si>
    <t>IRL</t>
  </si>
  <si>
    <t>Ireland</t>
  </si>
  <si>
    <t>AU</t>
  </si>
  <si>
    <t>AUS</t>
  </si>
  <si>
    <t>Australia</t>
  </si>
  <si>
    <t>FR</t>
  </si>
  <si>
    <t>FRA</t>
  </si>
  <si>
    <t>France</t>
  </si>
  <si>
    <t>NL</t>
  </si>
  <si>
    <t>NLD</t>
  </si>
  <si>
    <t>Netherlands</t>
  </si>
  <si>
    <t>CH</t>
  </si>
  <si>
    <t>CHE</t>
  </si>
  <si>
    <t>Switzerland</t>
  </si>
  <si>
    <t>NOECD-19</t>
  </si>
  <si>
    <t>Non-OECD Americas</t>
  </si>
  <si>
    <t>CM</t>
  </si>
  <si>
    <t>CMR</t>
  </si>
  <si>
    <t>Cameroon</t>
  </si>
  <si>
    <t>HR</t>
  </si>
  <si>
    <t>HRV</t>
  </si>
  <si>
    <t>Croatia</t>
  </si>
  <si>
    <t>HU</t>
  </si>
  <si>
    <t>HUN</t>
  </si>
  <si>
    <t>Hungary</t>
  </si>
  <si>
    <t>CO</t>
  </si>
  <si>
    <t>COL</t>
  </si>
  <si>
    <t>Colombia</t>
  </si>
  <si>
    <t>UN-19</t>
  </si>
  <si>
    <t>Americas (UN)</t>
  </si>
  <si>
    <t>MY</t>
  </si>
  <si>
    <t>MYS</t>
  </si>
  <si>
    <t>Malaysia</t>
  </si>
  <si>
    <t>G20</t>
  </si>
  <si>
    <t>Group of Twenty</t>
  </si>
  <si>
    <t>ES</t>
  </si>
  <si>
    <t>ESP</t>
  </si>
  <si>
    <t>Spain</t>
  </si>
  <si>
    <t>BF</t>
  </si>
  <si>
    <t>BFA</t>
  </si>
  <si>
    <t>Burkina Faso</t>
  </si>
  <si>
    <t>OECD-19</t>
  </si>
  <si>
    <t>OECD Americas</t>
  </si>
  <si>
    <t>PT</t>
  </si>
  <si>
    <t>PRT</t>
  </si>
  <si>
    <t>Portugal</t>
  </si>
  <si>
    <t>IEA+</t>
  </si>
  <si>
    <t>IEA and Accession/Association countries</t>
  </si>
  <si>
    <t>TW</t>
  </si>
  <si>
    <t>TWN</t>
  </si>
  <si>
    <t>Taiwan</t>
  </si>
  <si>
    <t>UN-9</t>
  </si>
  <si>
    <t>Oceania (UN)</t>
  </si>
  <si>
    <t>GLOBAL</t>
  </si>
  <si>
    <t>BY</t>
  </si>
  <si>
    <t>BLR</t>
  </si>
  <si>
    <t>Belarus</t>
  </si>
  <si>
    <t>KE</t>
  </si>
  <si>
    <t>KEN</t>
  </si>
  <si>
    <t>Kenya</t>
  </si>
  <si>
    <t>CR</t>
  </si>
  <si>
    <t>CRI</t>
  </si>
  <si>
    <t>Costa Rica</t>
  </si>
  <si>
    <t>SZ</t>
  </si>
  <si>
    <t>SWZ</t>
  </si>
  <si>
    <t>Eswatini</t>
  </si>
  <si>
    <t>UG</t>
  </si>
  <si>
    <t>UGA</t>
  </si>
  <si>
    <t>Uganda</t>
  </si>
  <si>
    <t>CU</t>
  </si>
  <si>
    <t>CUB</t>
  </si>
  <si>
    <t>Cuba</t>
  </si>
  <si>
    <t>AZ</t>
  </si>
  <si>
    <t>AZE</t>
  </si>
  <si>
    <t>Azerbaijan</t>
  </si>
  <si>
    <t>BA</t>
  </si>
  <si>
    <t>BIH</t>
  </si>
  <si>
    <t>Bosnia and Herzegovina</t>
  </si>
  <si>
    <t>ZA</t>
  </si>
  <si>
    <t>ZAF</t>
  </si>
  <si>
    <t>South Africa</t>
  </si>
  <si>
    <t>CN</t>
  </si>
  <si>
    <t>CHN</t>
  </si>
  <si>
    <t>China</t>
  </si>
  <si>
    <t>ONOECD-19</t>
  </si>
  <si>
    <t>Other non-OECD Americas</t>
  </si>
  <si>
    <t>SG</t>
  </si>
  <si>
    <t>SGP</t>
  </si>
  <si>
    <t>Singapore</t>
  </si>
  <si>
    <t>TG</t>
  </si>
  <si>
    <t>TGO</t>
  </si>
  <si>
    <t>Togo</t>
  </si>
  <si>
    <t>MG</t>
  </si>
  <si>
    <t>MDG</t>
  </si>
  <si>
    <t>Madagascar</t>
  </si>
  <si>
    <t>NOECD</t>
  </si>
  <si>
    <t>Non-OECD Total</t>
  </si>
  <si>
    <t>DO</t>
  </si>
  <si>
    <t>DOM</t>
  </si>
  <si>
    <t>Dominican Republic</t>
  </si>
  <si>
    <t>UN-142</t>
  </si>
  <si>
    <t>Asia (UN)</t>
  </si>
  <si>
    <t>MU</t>
  </si>
  <si>
    <t>MUS</t>
  </si>
  <si>
    <t>Mauritius</t>
  </si>
  <si>
    <t>UNFCCC-NA1</t>
  </si>
  <si>
    <t>Non-annex I Countries (UNFCCC)</t>
  </si>
  <si>
    <t>UN-O2</t>
  </si>
  <si>
    <t>Other Africa</t>
  </si>
  <si>
    <t>OPEC</t>
  </si>
  <si>
    <t>Organization of the Petroleum Exporting Countries</t>
  </si>
  <si>
    <t>IDN</t>
  </si>
  <si>
    <t>Indonesia</t>
  </si>
  <si>
    <t>LA</t>
  </si>
  <si>
    <t>LAO</t>
  </si>
  <si>
    <t>Laos</t>
  </si>
  <si>
    <t>PH</t>
  </si>
  <si>
    <t>PHL</t>
  </si>
  <si>
    <t>Philippines</t>
  </si>
  <si>
    <t>ONOECD-142</t>
  </si>
  <si>
    <t>Other non-OECD Asia</t>
  </si>
  <si>
    <t>NI</t>
  </si>
  <si>
    <t>NIC</t>
  </si>
  <si>
    <t>Nicaragua</t>
  </si>
  <si>
    <t>PE</t>
  </si>
  <si>
    <t>PER</t>
  </si>
  <si>
    <t>Peru</t>
  </si>
  <si>
    <t>TZ</t>
  </si>
  <si>
    <t>TZA</t>
  </si>
  <si>
    <t>Tanzania</t>
  </si>
  <si>
    <t>MM</t>
  </si>
  <si>
    <t>MMR</t>
  </si>
  <si>
    <t>Myanmar</t>
  </si>
  <si>
    <t>SV</t>
  </si>
  <si>
    <t>SLV</t>
  </si>
  <si>
    <t>El Salvador</t>
  </si>
  <si>
    <t>PK</t>
  </si>
  <si>
    <t>PAK</t>
  </si>
  <si>
    <t>Pakistan</t>
  </si>
  <si>
    <t>ASEAN</t>
  </si>
  <si>
    <t>Association of South East Asian Nations</t>
  </si>
  <si>
    <t>KH</t>
  </si>
  <si>
    <t>KHM</t>
  </si>
  <si>
    <t>Cambodia</t>
  </si>
  <si>
    <t>UN-2</t>
  </si>
  <si>
    <t>HN</t>
  </si>
  <si>
    <t>HND</t>
  </si>
  <si>
    <t>Honduras</t>
  </si>
  <si>
    <t>NOECD-142</t>
  </si>
  <si>
    <t>Non-OECD Asia (</t>
  </si>
  <si>
    <t>TH</t>
  </si>
  <si>
    <t>THA</t>
  </si>
  <si>
    <t>Thailand</t>
  </si>
  <si>
    <t>GT</t>
  </si>
  <si>
    <t>GTM</t>
  </si>
  <si>
    <t>Guatemala</t>
  </si>
  <si>
    <t>IN</t>
  </si>
  <si>
    <t>IND</t>
  </si>
  <si>
    <t>India</t>
  </si>
  <si>
    <t>BO</t>
  </si>
  <si>
    <t>BOL</t>
  </si>
  <si>
    <t>Bolivia</t>
  </si>
  <si>
    <t>AR</t>
  </si>
  <si>
    <t>ARG</t>
  </si>
  <si>
    <t>Argentina</t>
  </si>
  <si>
    <t>MZ</t>
  </si>
  <si>
    <t>MOZ</t>
  </si>
  <si>
    <t>Mozambique</t>
  </si>
  <si>
    <t>NZ</t>
  </si>
  <si>
    <t>NZL</t>
  </si>
  <si>
    <t>New Zealand</t>
  </si>
  <si>
    <t>VN</t>
  </si>
  <si>
    <t>VNM</t>
  </si>
  <si>
    <t>Vietnam</t>
  </si>
  <si>
    <t>ZM</t>
  </si>
  <si>
    <t>ZMB</t>
  </si>
  <si>
    <t>Zambia</t>
  </si>
  <si>
    <t>GY</t>
  </si>
  <si>
    <t>GUY</t>
  </si>
  <si>
    <t>Guyana</t>
  </si>
  <si>
    <t>ZW</t>
  </si>
  <si>
    <t>ZWE</t>
  </si>
  <si>
    <t>Zimbabwe</t>
  </si>
  <si>
    <t>LK</t>
  </si>
  <si>
    <t>LKA</t>
  </si>
  <si>
    <t>Sri Lanka</t>
  </si>
  <si>
    <t>SN</t>
  </si>
  <si>
    <t>SEN</t>
  </si>
  <si>
    <t>Senegal</t>
  </si>
  <si>
    <t>GA</t>
  </si>
  <si>
    <t>GAB</t>
  </si>
  <si>
    <t>Gabon</t>
  </si>
  <si>
    <t>CL</t>
  </si>
  <si>
    <t>CHL</t>
  </si>
  <si>
    <t>Chile</t>
  </si>
  <si>
    <t>CI</t>
  </si>
  <si>
    <t>CIV</t>
  </si>
  <si>
    <t>Côte d'Ivoire</t>
  </si>
  <si>
    <t>JM</t>
  </si>
  <si>
    <t>JAM</t>
  </si>
  <si>
    <t>Jamaica</t>
  </si>
  <si>
    <t>MX</t>
  </si>
  <si>
    <t>MEX</t>
  </si>
  <si>
    <t>Mexico</t>
  </si>
  <si>
    <t>ML</t>
  </si>
  <si>
    <t>MLI</t>
  </si>
  <si>
    <t>Mali</t>
  </si>
  <si>
    <t>PA</t>
  </si>
  <si>
    <t>PAN</t>
  </si>
  <si>
    <t>Panama</t>
  </si>
  <si>
    <t>CD</t>
  </si>
  <si>
    <t>COD</t>
  </si>
  <si>
    <t>DR Congo</t>
  </si>
  <si>
    <t>KG</t>
  </si>
  <si>
    <t>KGZ</t>
  </si>
  <si>
    <t>Kyrgyzstan</t>
  </si>
  <si>
    <t>AE</t>
  </si>
  <si>
    <t>ARE</t>
  </si>
  <si>
    <t>United Arab Emirates</t>
  </si>
  <si>
    <t>BD</t>
  </si>
  <si>
    <t>BGD</t>
  </si>
  <si>
    <t>Bangladesh</t>
  </si>
  <si>
    <t>TJ</t>
  </si>
  <si>
    <t>TJK</t>
  </si>
  <si>
    <t>Tajikistan</t>
  </si>
  <si>
    <t>IL</t>
  </si>
  <si>
    <t>ISR</t>
  </si>
  <si>
    <t>Israel</t>
  </si>
  <si>
    <t>XK</t>
  </si>
  <si>
    <t>XXK</t>
  </si>
  <si>
    <t>Kosovo</t>
  </si>
  <si>
    <t>ME</t>
  </si>
  <si>
    <t>MNE</t>
  </si>
  <si>
    <t>Montenegro</t>
  </si>
  <si>
    <t>MA</t>
  </si>
  <si>
    <t>MAR</t>
  </si>
  <si>
    <t>Morocco</t>
  </si>
  <si>
    <t>UZ</t>
  </si>
  <si>
    <t>UZB</t>
  </si>
  <si>
    <t>Uzbekistan</t>
  </si>
  <si>
    <t>MN</t>
  </si>
  <si>
    <t>MNG</t>
  </si>
  <si>
    <t>Mongolia</t>
  </si>
  <si>
    <t>KP</t>
  </si>
  <si>
    <t>PRK</t>
  </si>
  <si>
    <t>North Korea</t>
  </si>
  <si>
    <t>NE</t>
  </si>
  <si>
    <t>NER</t>
  </si>
  <si>
    <t>Niger</t>
  </si>
  <si>
    <t>BW</t>
  </si>
  <si>
    <t>BWA</t>
  </si>
  <si>
    <t>Botswana</t>
  </si>
  <si>
    <t>BN</t>
  </si>
  <si>
    <t>BRN</t>
  </si>
  <si>
    <t>Brunei Darussalam</t>
  </si>
  <si>
    <t>NA</t>
  </si>
  <si>
    <t>NAM</t>
  </si>
  <si>
    <t>Namibia</t>
  </si>
  <si>
    <t>OM</t>
  </si>
  <si>
    <t>OMN</t>
  </si>
  <si>
    <t>Oman</t>
  </si>
  <si>
    <t>EG</t>
  </si>
  <si>
    <t>EGY</t>
  </si>
  <si>
    <t>Egypt</t>
  </si>
  <si>
    <t>AM</t>
  </si>
  <si>
    <t>ARM</t>
  </si>
  <si>
    <t>Armenia</t>
  </si>
  <si>
    <t>TN</t>
  </si>
  <si>
    <t>TUN</t>
  </si>
  <si>
    <t>Tunisia</t>
  </si>
  <si>
    <t>BJ</t>
  </si>
  <si>
    <t>BEN</t>
  </si>
  <si>
    <t>Benin</t>
  </si>
  <si>
    <t>GE</t>
  </si>
  <si>
    <t>GEO</t>
  </si>
  <si>
    <t>Georgia</t>
  </si>
  <si>
    <t>SY</t>
  </si>
  <si>
    <t>SYR</t>
  </si>
  <si>
    <t>Syria</t>
  </si>
  <si>
    <t>AO</t>
  </si>
  <si>
    <t>AGO</t>
  </si>
  <si>
    <t>Angola</t>
  </si>
  <si>
    <t>GI</t>
  </si>
  <si>
    <t>GIB</t>
  </si>
  <si>
    <t>Gibraltar</t>
  </si>
  <si>
    <t>QA</t>
  </si>
  <si>
    <t>QAT</t>
  </si>
  <si>
    <t>Qatar</t>
  </si>
  <si>
    <t>DZ</t>
  </si>
  <si>
    <t>DZA</t>
  </si>
  <si>
    <t>Algeria</t>
  </si>
  <si>
    <t>IQ</t>
  </si>
  <si>
    <t>IRQ</t>
  </si>
  <si>
    <t>Iraq</t>
  </si>
  <si>
    <t>KW</t>
  </si>
  <si>
    <t>KWT</t>
  </si>
  <si>
    <t>Kuwait</t>
  </si>
  <si>
    <t>NG</t>
  </si>
  <si>
    <t>NGA</t>
  </si>
  <si>
    <t>Nigeria</t>
  </si>
  <si>
    <t>SA</t>
  </si>
  <si>
    <t>SAU</t>
  </si>
  <si>
    <t>Saudi Arabia</t>
  </si>
  <si>
    <t>TT</t>
  </si>
  <si>
    <t>TTO</t>
  </si>
  <si>
    <t>Trinidad and Tobago</t>
  </si>
  <si>
    <t>LY</t>
  </si>
  <si>
    <t>LBY</t>
  </si>
  <si>
    <t>Libya</t>
  </si>
  <si>
    <t>VE</t>
  </si>
  <si>
    <t>VEN</t>
  </si>
  <si>
    <t>Venezuela</t>
  </si>
  <si>
    <t>GQ</t>
  </si>
  <si>
    <t>GNQ</t>
  </si>
  <si>
    <t>Equatorial Guinea</t>
  </si>
  <si>
    <t>YE</t>
  </si>
  <si>
    <t>YEM</t>
  </si>
  <si>
    <t>Yemen</t>
  </si>
  <si>
    <t>TM</t>
  </si>
  <si>
    <t>TKM</t>
  </si>
  <si>
    <t>Turkmenistan</t>
  </si>
  <si>
    <t>BH</t>
  </si>
  <si>
    <t>BHR</t>
  </si>
  <si>
    <t>Bahrain</t>
  </si>
  <si>
    <t>CG</t>
  </si>
  <si>
    <t>COG</t>
  </si>
  <si>
    <t>Congo Republic</t>
  </si>
  <si>
    <t>GL</t>
  </si>
  <si>
    <t>GRL</t>
  </si>
  <si>
    <t>Greenland</t>
  </si>
  <si>
    <t>CW</t>
  </si>
  <si>
    <t>CUW</t>
  </si>
  <si>
    <t>Curaçao</t>
  </si>
  <si>
    <t>HT</t>
  </si>
  <si>
    <t>HTI</t>
  </si>
  <si>
    <t>Haiti</t>
  </si>
  <si>
    <t>SD</t>
  </si>
  <si>
    <t>SDN</t>
  </si>
  <si>
    <t>Sudan</t>
  </si>
  <si>
    <t>LB</t>
  </si>
  <si>
    <t>LBN</t>
  </si>
  <si>
    <t>Lebanon</t>
  </si>
  <si>
    <t>NP</t>
  </si>
  <si>
    <t>NPL</t>
  </si>
  <si>
    <t>Nepal</t>
  </si>
  <si>
    <t>ET</t>
  </si>
  <si>
    <t>ETH</t>
  </si>
  <si>
    <t>Ethiopia</t>
  </si>
  <si>
    <t>ER</t>
  </si>
  <si>
    <t>ERI</t>
  </si>
  <si>
    <t>Eritrea</t>
  </si>
  <si>
    <t>SS</t>
  </si>
  <si>
    <t>SSD</t>
  </si>
  <si>
    <t>South Sudan</t>
  </si>
  <si>
    <t>SR</t>
  </si>
  <si>
    <t>SUR</t>
  </si>
  <si>
    <t>Suriname</t>
  </si>
  <si>
    <t>IS</t>
  </si>
  <si>
    <t>ISL</t>
  </si>
  <si>
    <t>Iceland</t>
  </si>
  <si>
    <t>MR</t>
  </si>
  <si>
    <t>MRT</t>
  </si>
  <si>
    <t>Mauritania</t>
  </si>
  <si>
    <t>TD</t>
  </si>
  <si>
    <t>TCD</t>
  </si>
  <si>
    <t>Chad</t>
  </si>
  <si>
    <t>Total</t>
  </si>
  <si>
    <t>3.03. Fuel- and Energy-Related Activities Not Included in Scope 1 or Scope 2</t>
  </si>
  <si>
    <t>Transmission &amp; Distribution Losses</t>
  </si>
  <si>
    <t>T&amp;D Losses</t>
  </si>
  <si>
    <t>Upstream Electricity</t>
  </si>
  <si>
    <t>WtT</t>
  </si>
  <si>
    <t>AL</t>
  </si>
  <si>
    <t>ALB</t>
  </si>
  <si>
    <t>Albania</t>
  </si>
  <si>
    <t>Location</t>
  </si>
  <si>
    <t>Emission and Scope Relevance</t>
  </si>
  <si>
    <t>Location Name</t>
  </si>
  <si>
    <t>Location 1</t>
  </si>
  <si>
    <t>Location 2</t>
  </si>
  <si>
    <t>Location 3</t>
  </si>
  <si>
    <t>Location 4</t>
  </si>
  <si>
    <t>Location 5</t>
  </si>
  <si>
    <t>Location 6</t>
  </si>
  <si>
    <t>Location 7</t>
  </si>
  <si>
    <t>Location 8</t>
  </si>
  <si>
    <t>Location 9</t>
  </si>
  <si>
    <t>Location 10</t>
  </si>
  <si>
    <t>Scope 2.01. + Scope 3.03.</t>
  </si>
  <si>
    <t>Disneyland Paris</t>
  </si>
  <si>
    <t>Consumption (kWh)</t>
  </si>
  <si>
    <t>Olympiastadion Berlin</t>
  </si>
  <si>
    <t>Scope 2.01. Electricity (LB)</t>
  </si>
  <si>
    <t>Scope 3.03. Fuel- and Energy-Related Emissions</t>
  </si>
  <si>
    <t>Number of Consumption Days</t>
  </si>
  <si>
    <t>Emission Factor ID LB</t>
  </si>
  <si>
    <t>kg CO2e LB</t>
  </si>
  <si>
    <t>CO2 kg CO2e LB</t>
  </si>
  <si>
    <t>CH4 kg CO2e LB`</t>
  </si>
  <si>
    <t>N2O kg CO2e LB</t>
  </si>
  <si>
    <t>Unspecified kg CO2e LB</t>
  </si>
  <si>
    <t>kg CO2e 3.03.</t>
  </si>
  <si>
    <t>CO2 kg CO2e 3.03.</t>
  </si>
  <si>
    <t>CH4 kg CO2e 3.03.</t>
  </si>
  <si>
    <t>N2O kg CO2e 3.03.</t>
  </si>
  <si>
    <t>Unspecified kg CO2e 3.03.</t>
  </si>
  <si>
    <t>Emission Factor ID Upstream</t>
  </si>
  <si>
    <t>Emission Factor ID T&amp;D</t>
  </si>
  <si>
    <t>Last Year with Direct Electricity EF</t>
  </si>
  <si>
    <t>Last Year with Upstream Electricity EF</t>
  </si>
  <si>
    <t>Last Year with T&amp;D EF</t>
  </si>
  <si>
    <t>Scope 2.02. District Heating</t>
  </si>
  <si>
    <t>Scope 2.02. + Scope 3.03.</t>
  </si>
  <si>
    <t>Activity</t>
  </si>
  <si>
    <t>Type</t>
  </si>
  <si>
    <t>WTT - Heat and Steam</t>
  </si>
  <si>
    <t>WTT - District Heat &amp; steam Distribution</t>
  </si>
  <si>
    <t>District heat and steam</t>
  </si>
  <si>
    <t>5% loss</t>
  </si>
  <si>
    <t>Emission Factor ID</t>
  </si>
  <si>
    <t>DH3031</t>
  </si>
  <si>
    <t>DH3032</t>
  </si>
  <si>
    <t>DH202</t>
  </si>
  <si>
    <t xml:space="preserve">   </t>
  </si>
  <si>
    <t>Scope 2.02. District Heating (LB)</t>
  </si>
  <si>
    <t>Raw Materials</t>
  </si>
  <si>
    <t>Packaging</t>
  </si>
  <si>
    <t>IT Hardware</t>
  </si>
  <si>
    <t>Software &amp; Cloud Services</t>
  </si>
  <si>
    <t>Professional Services</t>
  </si>
  <si>
    <t>Marketing &amp; Advertising</t>
  </si>
  <si>
    <t>Facilities Services</t>
  </si>
  <si>
    <t>Logistics Services</t>
  </si>
  <si>
    <t>Capital Equipment</t>
  </si>
  <si>
    <t>Office Supplies</t>
  </si>
  <si>
    <t>Maintenance &amp; Repair</t>
  </si>
  <si>
    <t>Utilities (if not in scope 1 &amp; 2)</t>
  </si>
  <si>
    <t>R&amp;D Services</t>
  </si>
  <si>
    <t>Total Spend</t>
  </si>
  <si>
    <t>Currency</t>
  </si>
  <si>
    <t>EUR</t>
  </si>
  <si>
    <t>Scope 3.01.</t>
  </si>
  <si>
    <t>EF Category</t>
  </si>
  <si>
    <t>CEDA Description</t>
  </si>
  <si>
    <t>CEDA Code</t>
  </si>
  <si>
    <t xml:space="preserve"> </t>
  </si>
  <si>
    <t>Afghanistan</t>
  </si>
  <si>
    <t>Antigua and Barbuda</t>
  </si>
  <si>
    <t>Burundi</t>
  </si>
  <si>
    <t>Bahamas</t>
  </si>
  <si>
    <t>Belize</t>
  </si>
  <si>
    <t>Barbados</t>
  </si>
  <si>
    <t>Bhutan</t>
  </si>
  <si>
    <t>Central African Republic</t>
  </si>
  <si>
    <t>Cote d'Ivoire</t>
  </si>
  <si>
    <t>Congo</t>
  </si>
  <si>
    <t>Czech Republic</t>
  </si>
  <si>
    <t>Dominica</t>
  </si>
  <si>
    <t>Fiji</t>
  </si>
  <si>
    <t>Guinea</t>
  </si>
  <si>
    <t>Gambia</t>
  </si>
  <si>
    <t>Guinea-Bissau</t>
  </si>
  <si>
    <t>Grenada</t>
  </si>
  <si>
    <t>Hong Kong, China</t>
  </si>
  <si>
    <t>Iran, Islamic Republic of</t>
  </si>
  <si>
    <t>Kiribati</t>
  </si>
  <si>
    <t>Saint Kitts and Nevis</t>
  </si>
  <si>
    <t>Lao People’s Democratic Rep.</t>
  </si>
  <si>
    <t>Saint Lucia</t>
  </si>
  <si>
    <t>Lesotho</t>
  </si>
  <si>
    <t>Moldova, Republic of</t>
  </si>
  <si>
    <t>Maldives</t>
  </si>
  <si>
    <t>Macedonia, the former Yugoslav Republic of</t>
  </si>
  <si>
    <t>Malawi</t>
  </si>
  <si>
    <t>Nauru</t>
  </si>
  <si>
    <t>Papua New Guinea</t>
  </si>
  <si>
    <t>Rest of World</t>
  </si>
  <si>
    <t>Russian Federation</t>
  </si>
  <si>
    <t>Solomon Islands</t>
  </si>
  <si>
    <t>Sierra Leone</t>
  </si>
  <si>
    <t>Slovak Republic</t>
  </si>
  <si>
    <t>Swaziland</t>
  </si>
  <si>
    <t>Seychelles</t>
  </si>
  <si>
    <t>Timor-Leste</t>
  </si>
  <si>
    <t>Turkey</t>
  </si>
  <si>
    <t>Chinese Taipei</t>
  </si>
  <si>
    <t>Tanzania_United Republic of</t>
  </si>
  <si>
    <t>Saint Vincent and the Grenadines</t>
  </si>
  <si>
    <t>Viet Nam</t>
  </si>
  <si>
    <t>Vanuatu</t>
  </si>
  <si>
    <t>Samoa</t>
  </si>
  <si>
    <t>Link</t>
  </si>
  <si>
    <t>EF Provider</t>
  </si>
  <si>
    <t>1111A0</t>
  </si>
  <si>
    <t>Oilseed farming</t>
  </si>
  <si>
    <t>https://openceda.org/en-GB/solutions/ceda#516fbe13-2f86-43f4-b2d6-8c6721856a22</t>
  </si>
  <si>
    <t>CEDA by Watershed</t>
  </si>
  <si>
    <t>1111B0</t>
  </si>
  <si>
    <t>Grain farming</t>
  </si>
  <si>
    <t>Other crop farming</t>
  </si>
  <si>
    <t>Dairy cattle and milk production</t>
  </si>
  <si>
    <t>Forestry and logging</t>
  </si>
  <si>
    <t>2122A0</t>
  </si>
  <si>
    <t>Iron, gold, silver, and other metal ore mining</t>
  </si>
  <si>
    <t>Stone mining and quarrying</t>
  </si>
  <si>
    <t>2123A0</t>
  </si>
  <si>
    <t>Other nonmetallic mineral mining and quarrying</t>
  </si>
  <si>
    <t>Electric power generation, transmission, and distribution</t>
  </si>
  <si>
    <t>Natural gas distribution</t>
  </si>
  <si>
    <t>Water, sewage and other systems</t>
  </si>
  <si>
    <t>Nonresidential maintenance and repair</t>
  </si>
  <si>
    <t>Residential maintenance and repair</t>
  </si>
  <si>
    <t>Glass and glass product manufacturing</t>
  </si>
  <si>
    <t>Aluminum product manufacturing from purchased aluminum + Alumina refining and primary aluminum production + Secondary smelting and alloying of aluminum</t>
  </si>
  <si>
    <t>Hardware manufacturing</t>
  </si>
  <si>
    <t>Construction machinery manufacturing</t>
  </si>
  <si>
    <t>33329A</t>
  </si>
  <si>
    <t>Other industrial machinery manufacturing</t>
  </si>
  <si>
    <t>33399A</t>
  </si>
  <si>
    <t>Other general purpose machinery manufacturing</t>
  </si>
  <si>
    <t>Electronic computer manufacturing</t>
  </si>
  <si>
    <t>Computer storage device manufacturing</t>
  </si>
  <si>
    <t>Other communications equipment manufacturing</t>
  </si>
  <si>
    <t>33441A</t>
  </si>
  <si>
    <t>Other electronic component manufacturing</t>
  </si>
  <si>
    <t>Surgical and medical instrument manufacturing</t>
  </si>
  <si>
    <t>Office supplies (except paper) manufacturing</t>
  </si>
  <si>
    <t>All other miscellaneous manufacturing</t>
  </si>
  <si>
    <t>Paperboard container manufacturing</t>
  </si>
  <si>
    <t>All other converted paper product manufacturing</t>
  </si>
  <si>
    <t>Printing</t>
  </si>
  <si>
    <t>Soap and cleaning compound manufacturing</t>
  </si>
  <si>
    <t>Plastics packaging materials and unlaminated film and sheet manufacturing</t>
  </si>
  <si>
    <t>Air transportation</t>
  </si>
  <si>
    <t>Rail transportation</t>
  </si>
  <si>
    <t>Water transportation</t>
  </si>
  <si>
    <t>Truck transportation</t>
  </si>
  <si>
    <t>Transit and ground passenger transportation + State and local government passenger transit</t>
  </si>
  <si>
    <t>Warehousing and storage</t>
  </si>
  <si>
    <t>Software publishers</t>
  </si>
  <si>
    <t>Wired telecommunications carriers</t>
  </si>
  <si>
    <t>Data processing, hosting, and related services</t>
  </si>
  <si>
    <t>531HSO</t>
  </si>
  <si>
    <t>Owner-occupied housing</t>
  </si>
  <si>
    <t>531HST</t>
  </si>
  <si>
    <t>Tenant-occupied housing</t>
  </si>
  <si>
    <t>Automotive equipment rental and leasing</t>
  </si>
  <si>
    <t>Commercial and industrial machinery and equipment rental and leasing</t>
  </si>
  <si>
    <t>532A00</t>
  </si>
  <si>
    <t>General and consumer goods rental</t>
  </si>
  <si>
    <t>Lessors of nonfinancial intangible assets</t>
  </si>
  <si>
    <t>Legal services</t>
  </si>
  <si>
    <t>Accounting, tax preparation, bookkeeping, and payroll services</t>
  </si>
  <si>
    <t>Architectural, engineering, and related services</t>
  </si>
  <si>
    <t>Management consulting services</t>
  </si>
  <si>
    <t>Scientific research and development services</t>
  </si>
  <si>
    <t>Advertising, public relations, and related services</t>
  </si>
  <si>
    <t>Services to buildings and dwellings</t>
  </si>
  <si>
    <t>Business support services</t>
  </si>
  <si>
    <t>Travel arrangement and reservation services</t>
  </si>
  <si>
    <t>Investigation and security services</t>
  </si>
  <si>
    <t>Waste management and remediation services</t>
  </si>
  <si>
    <t>Accommodation</t>
  </si>
  <si>
    <t>Automotive repair and maintenance</t>
  </si>
  <si>
    <t>Electronic and precision equipment repair and maintenance</t>
  </si>
  <si>
    <t>Commercial and industrial machinery and equipment repair and maintenance</t>
  </si>
  <si>
    <t>Personal and household goods repair and maintenance</t>
  </si>
  <si>
    <t>Median Value</t>
  </si>
  <si>
    <t>https://openceda.org/en-GB/solutions/ceda#516fbe13-2f86-43f4-b2d6-8c6721856a23</t>
  </si>
  <si>
    <t>https://openceda.org/en-GB/solutions/ceda#516fbe13-2f86-43f4-b2d6-8c6721856a24</t>
  </si>
  <si>
    <t>https://openceda.org/en-GB/solutions/ceda#516fbe13-2f86-43f4-b2d6-8c6721856a25</t>
  </si>
  <si>
    <t>https://openceda.org/en-GB/solutions/ceda#516fbe13-2f86-43f4-b2d6-8c6721856a26</t>
  </si>
  <si>
    <t>https://openceda.org/en-GB/solutions/ceda#516fbe13-2f86-43f4-b2d6-8c6721856a27</t>
  </si>
  <si>
    <t>https://openceda.org/en-GB/solutions/ceda#516fbe13-2f86-43f4-b2d6-8c6721856a28</t>
  </si>
  <si>
    <t>https://openceda.org/en-GB/solutions/ceda#516fbe13-2f86-43f4-b2d6-8c6721856a29</t>
  </si>
  <si>
    <t>Spend</t>
  </si>
  <si>
    <t>Emission Factor (kg CO2e/2025 EUR)</t>
  </si>
  <si>
    <t>Item</t>
  </si>
  <si>
    <t>Emissions (kg CO2e)</t>
  </si>
  <si>
    <t>Final Emissions kg CO2e</t>
  </si>
  <si>
    <t>(kg CO2e)</t>
  </si>
  <si>
    <t>Air Freight</t>
  </si>
  <si>
    <t xml:space="preserve">  </t>
  </si>
  <si>
    <t>Exchange Rate to USD</t>
  </si>
  <si>
    <t>https://www.exchangerates.org.uk/EUR-USD-spot-exchange-rates-history-2025.html</t>
  </si>
  <si>
    <t>CAD</t>
  </si>
  <si>
    <t>https://www.exchangerates.org.uk/CAD-USD-spot-exchange-rates-history-2025.html</t>
  </si>
  <si>
    <t>GBP</t>
  </si>
  <si>
    <t>https://www.exchangerates.org.uk/GBP-USD-spot-exchange-rates-history-2025.html</t>
  </si>
  <si>
    <t>AUD</t>
  </si>
  <si>
    <t>https://www.exchangerates.org.uk/AUD-USD-spot-exchange-rates-history-2025.html</t>
  </si>
  <si>
    <t>INR</t>
  </si>
  <si>
    <t>https://www.exchangerates.org.uk/INR-USD-spot-exchange-rates-history-2025.html</t>
  </si>
  <si>
    <t>MXN</t>
  </si>
  <si>
    <t>https://www.exchangerates.org.uk/MXN-USD-spot-exchange-rates-history-2025.html</t>
  </si>
  <si>
    <t>SGD</t>
  </si>
  <si>
    <t>https://www.exchangerates.org.uk/SGD-USD-spot-exchange-rates-history-2025.html</t>
  </si>
  <si>
    <t>AED</t>
  </si>
  <si>
    <t>https://www.exchangerates.org.uk/AED-USD-spot-exchange-rates-history-2025.html</t>
  </si>
  <si>
    <t>JPY</t>
  </si>
  <si>
    <t>https://www.exchangerates.org.uk/JPY-USD-spot-exchange-rates-history-2025.html</t>
  </si>
  <si>
    <t>CNY</t>
  </si>
  <si>
    <t>https://www.exchangerates.org.uk/CNY-USD-spot-exchange-rates-history-2025.html#:~:text=This%20is%20the%20Chinese%20Yuan,USD%20on%2009%20Apr%202025.</t>
  </si>
  <si>
    <t>KRW</t>
  </si>
  <si>
    <t>https://www.exchangerates.org.uk/KRW-USD-spot-exchange-rates-history-2025.html</t>
  </si>
  <si>
    <t>NOK</t>
  </si>
  <si>
    <t>https://www.exchangerates.org.uk/NOK-USD-spot-exchange-rates-history-2025.html</t>
  </si>
  <si>
    <t>AMD</t>
  </si>
  <si>
    <t>https://www.exchange-rates.org/exchange-rate-history/amd-usd-2025</t>
  </si>
  <si>
    <t>CHF</t>
  </si>
  <si>
    <t>https://www.exchangerates.org.uk/CHF-USD-spot-exchange-rates-history-2025.html</t>
  </si>
  <si>
    <t>JOD</t>
  </si>
  <si>
    <t>https://www.exchangerates.org.uk/JOD-USD-spot-exchange-rates-history-2025.html</t>
  </si>
  <si>
    <t>NZD</t>
  </si>
  <si>
    <t>https://www.exchangerates.org.uk/NZD-USD-spot-exchange-rates-history-2025.html</t>
  </si>
  <si>
    <t>COP</t>
  </si>
  <si>
    <t>https://www.exchangerates.org.uk/COP-USD-spot-exchange-rates-history-2025.html</t>
  </si>
  <si>
    <t>SEK</t>
  </si>
  <si>
    <t>https://www.exchangerates.org.uk/SEK-USD-spot-exchange-rates-history-2025.html</t>
  </si>
  <si>
    <t>DKK</t>
  </si>
  <si>
    <t>https://www.exchangerates.org.uk/DKK-USD-exchange-rate-history.html</t>
  </si>
  <si>
    <t>BHD</t>
  </si>
  <si>
    <t>https://www.exchangerates.org.uk/BHD-USD-spot-exchange-rates-history-2025.html</t>
  </si>
  <si>
    <t>MYR</t>
  </si>
  <si>
    <t>https://www.exchangerates.org.uk/MYR-USD-spot-exchange-rates-history-2025.html</t>
  </si>
  <si>
    <t>ZAR</t>
  </si>
  <si>
    <t>https://www.exchangerates.org.uk/ZAR-USD-spot-exchange-rates-history-2025.html</t>
  </si>
  <si>
    <t>TRY</t>
  </si>
  <si>
    <t>https://www.exchangerates.org.uk/TRY-USD-spot-exchange-rates-history-2025.html#:~:text=This%20is%20the%20Turkish%20Lira,USD%20on%2031%20Dec%202025.</t>
  </si>
  <si>
    <t>PLN</t>
  </si>
  <si>
    <t>https://www.exchangerates.org.uk/PLN-USD-spot-exchange-rates-history-2025.html</t>
  </si>
  <si>
    <t>CZK</t>
  </si>
  <si>
    <t>https://www.exchangerates.org.uk/CZK-USD-spot-exchange-rates-history-2025.html</t>
  </si>
  <si>
    <t>ARS</t>
  </si>
  <si>
    <t>https://www.exchangerates.org.uk/ARS-USD-spot-exchange-rates-history-2025.html</t>
  </si>
  <si>
    <t>BRL</t>
  </si>
  <si>
    <t>https://www.exchangerates.org.uk/BRL-USD-spot-exchange-rates-history-2025.html</t>
  </si>
  <si>
    <t>RSD</t>
  </si>
  <si>
    <t>https://www.exchange-rates.org/exchange-rate-history/rsd-usd-2025</t>
  </si>
  <si>
    <t>SAR</t>
  </si>
  <si>
    <t>https://www.exchangerates.org.uk/SAR-USD-spot-exchange-rates-history-2025.html</t>
  </si>
  <si>
    <t>IDR</t>
  </si>
  <si>
    <t>https://www.exchangerates.org.uk/IDR-USD-spot-exchange-rates-history-2025.html</t>
  </si>
  <si>
    <t>TWD</t>
  </si>
  <si>
    <t>https://www.exchangerates.org.uk/TWD-USD-spot-exchange-rates-history-2025.html</t>
  </si>
  <si>
    <t>QAR</t>
  </si>
  <si>
    <t>https://www.exchangerates.org.uk/QAR-USD-spot-exchange-rates-history-2025.html#:~:text=This%20is%20the%20Qatari%20Riyal,USD%20on%2009%20Oct%202025.</t>
  </si>
  <si>
    <t>HKD</t>
  </si>
  <si>
    <t>https://www.exchangerates.org.uk/HKD-USD-spot-exchange-rates-history-2025.html</t>
  </si>
  <si>
    <t>VND</t>
  </si>
  <si>
    <t>https://www.exchange-rates.org/exchange-rate-history/vnd-usd-2025</t>
  </si>
  <si>
    <t>RON</t>
  </si>
  <si>
    <t>https://www.exchangerates.org.uk/RON-USD-spot-exchange-rates-history-2025.html</t>
  </si>
  <si>
    <t>THB</t>
  </si>
  <si>
    <t>https://www.exchangerates.org.uk/THB-USD-spot-exchange-rates-history-2025.html</t>
  </si>
  <si>
    <t>HUF</t>
  </si>
  <si>
    <t>https://www.exchangerates.org.uk/HUF-USD-spot-exchange-rates-history-2025.html</t>
  </si>
  <si>
    <t>DOP</t>
  </si>
  <si>
    <t>https://www.exchangerates.org.uk/DOP-USD-spot-exchange-rates-history-2025.html</t>
  </si>
  <si>
    <t>PKR</t>
  </si>
  <si>
    <t>https://www.exchangerates.org.uk/PKR-USD-spot-exchange-rates-history-2025.html</t>
  </si>
  <si>
    <t>PAB</t>
  </si>
  <si>
    <t>https://www.exchangerates.org.uk/PAB-USD-exchange-rate-history.html</t>
  </si>
  <si>
    <t>CLP</t>
  </si>
  <si>
    <t>https://www.exchangerates.org.uk/CLP-USD-spot-exchange-rates-history-2025.html</t>
  </si>
  <si>
    <t>EGP</t>
  </si>
  <si>
    <t>https://www.exchangerates.org.uk/EGP-USD-spot-exchange-rates-history-2025.html</t>
  </si>
  <si>
    <t>CRC</t>
  </si>
  <si>
    <t>https://www.exchangerates.org.uk/CRC-USD-spot-exchange-rates-history-2025.html</t>
  </si>
  <si>
    <t>MAD</t>
  </si>
  <si>
    <t>https://www.exchangerates.org.uk/MAD-USD-spot-exchange-rates-history-2025.html</t>
  </si>
  <si>
    <t>Spend (EUR)</t>
  </si>
  <si>
    <t>USD</t>
  </si>
  <si>
    <t>Scope 3.01. Purchased Goods &amp; Services / 3.02. Capital Goods</t>
  </si>
  <si>
    <t>Scope 2.01. Electricity</t>
  </si>
  <si>
    <t>Scope 3.05. Waste</t>
  </si>
  <si>
    <t>Waste Type</t>
  </si>
  <si>
    <t>Food Waste</t>
  </si>
  <si>
    <t>Metals</t>
  </si>
  <si>
    <t>Plastics</t>
  </si>
  <si>
    <t>Paper</t>
  </si>
  <si>
    <t>Glass</t>
  </si>
  <si>
    <t>Wood</t>
  </si>
  <si>
    <t>Asbestos</t>
  </si>
  <si>
    <t>Concrete</t>
  </si>
  <si>
    <t>Building Materials</t>
  </si>
  <si>
    <t>Garden Waste</t>
  </si>
  <si>
    <t>Mixed Electronic Waste</t>
  </si>
  <si>
    <t>Scope 3.05. Water</t>
  </si>
  <si>
    <t>Final Consumption (m3)</t>
  </si>
  <si>
    <t>Final Consumption (tonnes)</t>
  </si>
  <si>
    <t>m3</t>
  </si>
  <si>
    <t>CEDA Emission Factors Scope 3.1 &amp; 3.2</t>
  </si>
  <si>
    <t>DEFRA Waste Emission Factors</t>
  </si>
  <si>
    <t>Waste type</t>
  </si>
  <si>
    <t>Waste Disposal Method</t>
  </si>
  <si>
    <t>Composting</t>
  </si>
  <si>
    <t>Combustion</t>
  </si>
  <si>
    <t>Closed Loop Recycling</t>
  </si>
  <si>
    <t xml:space="preserve">Average Plastics </t>
  </si>
  <si>
    <t>closed-loop recycling</t>
  </si>
  <si>
    <t>Household Residual Waste</t>
  </si>
  <si>
    <t>Landfill</t>
  </si>
  <si>
    <t>Average construction</t>
  </si>
  <si>
    <t>Open-loop</t>
  </si>
  <si>
    <t>WEEE - mixed</t>
  </si>
  <si>
    <t>Metal: scrap metal</t>
  </si>
  <si>
    <t>Organic: food and drink waste</t>
  </si>
  <si>
    <t>Paper and board: paper</t>
  </si>
  <si>
    <t>Residual Waste</t>
  </si>
  <si>
    <t>Organic: garden waste</t>
  </si>
  <si>
    <t>Conversion Factor</t>
  </si>
  <si>
    <t>Conversion to tonnes</t>
  </si>
  <si>
    <t>Emission Factor (kg CO2e/tonne)</t>
  </si>
  <si>
    <t>Residual waste</t>
  </si>
  <si>
    <t>Water</t>
  </si>
  <si>
    <t>Water Usage</t>
  </si>
  <si>
    <t>Water supply</t>
  </si>
  <si>
    <t>Water treatment</t>
  </si>
  <si>
    <t>Water Consumption</t>
  </si>
  <si>
    <t>Emission Factor Water Treatment (kg CO2e/unit)</t>
  </si>
  <si>
    <t>Emission Factor Water Supply 
(kg CO2e/unit)</t>
  </si>
  <si>
    <t>Emissions Water Treatment 
(kg CO2e)</t>
  </si>
  <si>
    <t>Emissions Water Supply 
(kg CO2e)</t>
  </si>
  <si>
    <t>Scope 3.06. Business Travel - Activity-based</t>
  </si>
  <si>
    <t>Travel Type</t>
  </si>
  <si>
    <t>Scope 3.06.</t>
  </si>
  <si>
    <t>DEFRA Business Travel Emission Factors</t>
  </si>
  <si>
    <t>Distance</t>
  </si>
  <si>
    <t>Class</t>
  </si>
  <si>
    <t>Flights</t>
  </si>
  <si>
    <t>Short-Haul</t>
  </si>
  <si>
    <t>Long-Haul</t>
  </si>
  <si>
    <t>Economy</t>
  </si>
  <si>
    <t>Business</t>
  </si>
  <si>
    <t xml:space="preserve">kg CO2e 3.03 </t>
  </si>
  <si>
    <t>National</t>
  </si>
  <si>
    <t>Rail</t>
  </si>
  <si>
    <t>International</t>
  </si>
  <si>
    <t>Unknown</t>
  </si>
  <si>
    <t>Car</t>
  </si>
  <si>
    <t>Taxi</t>
  </si>
  <si>
    <t>Regular Taxi</t>
  </si>
  <si>
    <t>Bus</t>
  </si>
  <si>
    <t>Average Local Bus</t>
  </si>
  <si>
    <t>Distance Travelled</t>
  </si>
  <si>
    <t>Flight</t>
  </si>
  <si>
    <t>Attribute Value</t>
  </si>
  <si>
    <t>Final Consumption (km)</t>
  </si>
  <si>
    <t>Emissions 3.06. (kg CO2e)</t>
  </si>
  <si>
    <t>Emissions CO2 3.06. (kg CO2e)</t>
  </si>
  <si>
    <t>Emissions CH4 3.06. (kg CO2e)</t>
  </si>
  <si>
    <t>Emissions N2O 3.06. (kg CO2e)</t>
  </si>
  <si>
    <t>Emissions WTT (kg CO2e)</t>
  </si>
  <si>
    <t>Flight Category</t>
  </si>
  <si>
    <t>Hotel Stay</t>
  </si>
  <si>
    <t>Room per night</t>
  </si>
  <si>
    <t>Korea</t>
  </si>
  <si>
    <t>Final Consumption (Nights)</t>
  </si>
  <si>
    <t>Nights Stayed</t>
  </si>
  <si>
    <t>Other</t>
  </si>
  <si>
    <t>Emission Factor (kg CO2e/night)</t>
  </si>
  <si>
    <t>Scope 3.06. Business Travel - Spend-based</t>
  </si>
  <si>
    <t>Travel Category</t>
  </si>
  <si>
    <t>Car Rental</t>
  </si>
  <si>
    <t>Train</t>
  </si>
  <si>
    <t>Public Transport</t>
  </si>
  <si>
    <t>Hotel</t>
  </si>
  <si>
    <t>Adjusted Spend</t>
  </si>
  <si>
    <t>Emission Factor
(kg CO2e/2025 EUR)</t>
  </si>
  <si>
    <t>Scope 3.07. Employee Commuting</t>
  </si>
  <si>
    <t>Car %</t>
  </si>
  <si>
    <t>Rail %</t>
  </si>
  <si>
    <t>Bus %</t>
  </si>
  <si>
    <t>Self-Propelled %</t>
  </si>
  <si>
    <t>Avg. Distance One-Way</t>
  </si>
  <si>
    <t>Check (100%)</t>
  </si>
  <si>
    <t>Employees (FTE Count)</t>
  </si>
  <si>
    <t>Total Distance (Two-Way)</t>
  </si>
  <si>
    <t>Total Distance Car (km)</t>
  </si>
  <si>
    <t>Total Distance Rail (km)</t>
  </si>
  <si>
    <t>Total Distance Bus (km)</t>
  </si>
  <si>
    <t>Total Distance Self-Propelled (km)</t>
  </si>
  <si>
    <t>Emissions Car (kg CO2e)</t>
  </si>
  <si>
    <t>Emissions Rail (kg CO2e)</t>
  </si>
  <si>
    <t>Emissions Bus (kg CO2e)</t>
  </si>
  <si>
    <t>Emissions Self-Propelled (kg CO2e)</t>
  </si>
  <si>
    <t>Self-Propelled</t>
  </si>
  <si>
    <t>Transport Mode</t>
  </si>
  <si>
    <t>DEFRA Factor Name</t>
  </si>
  <si>
    <t>passenger.km</t>
  </si>
  <si>
    <t>Downstream</t>
  </si>
  <si>
    <t>Average Car Unknown Fuel</t>
  </si>
  <si>
    <t>Light Rail and Tram</t>
  </si>
  <si>
    <t>Walking</t>
  </si>
  <si>
    <t>kg CO2e including WTT</t>
  </si>
  <si>
    <t>Emissions CO2 Car (kg CO2e)</t>
  </si>
  <si>
    <t>Emissions CH4 Car (kg CO2e)</t>
  </si>
  <si>
    <t>Emissions N2O Car (kg CO2e)</t>
  </si>
  <si>
    <t>Emissions CO2 Rail (kg CO2e)</t>
  </si>
  <si>
    <t>Emissions CH4 Rail (kg CO2e)</t>
  </si>
  <si>
    <t>Emissions N2O Rail (kg CO2e)</t>
  </si>
  <si>
    <t>Emissions CO2 Bus (kg CO2e)</t>
  </si>
  <si>
    <t>Emissions CH4 Bus (kg CO2e)</t>
  </si>
  <si>
    <t>Emissions N2O Bus (kg CO2e)</t>
  </si>
  <si>
    <t>Emissions CO2 Self-Propelled (kg CO2e)</t>
  </si>
  <si>
    <t>Emissions CH4 Self-Propelled (kg CO2e)</t>
  </si>
  <si>
    <t>Emissions N2O Self-Propelled (kg CO2e)</t>
  </si>
  <si>
    <t>Scope 3.08. Upstream Leased Assets</t>
  </si>
  <si>
    <t>Scope 3.08.</t>
  </si>
  <si>
    <t>Property and Facility Leasing</t>
  </si>
  <si>
    <t>Vehicle Leasing</t>
  </si>
  <si>
    <t>Licenses and Concessions</t>
  </si>
  <si>
    <t>Machinery and Equipment Leasing</t>
  </si>
  <si>
    <t>Scope 3.04. Upstream Transport &amp; Distribution</t>
  </si>
  <si>
    <t>Road Freight</t>
  </si>
  <si>
    <t>Sea Freight</t>
  </si>
  <si>
    <t>Rail Freight</t>
  </si>
  <si>
    <t>CEDA Upstream Transport &amp; Distribution</t>
  </si>
  <si>
    <t>Scope 3.04.</t>
  </si>
  <si>
    <t>Adjusted Spend (EUR)</t>
  </si>
  <si>
    <t>Emission Factor (kg CO2e/EUR)</t>
  </si>
  <si>
    <t>CO2 Emissions (kg CO2e)</t>
  </si>
  <si>
    <t>CH4 Emissions (kg CO2e)</t>
  </si>
  <si>
    <t>N2O Emissions (kg CO2e)</t>
  </si>
  <si>
    <t>Unspecified Emissions (kg CO2e)</t>
  </si>
  <si>
    <t>1.04. Fugitive Emissions</t>
  </si>
  <si>
    <t>2.01. Electricity Location-Based</t>
  </si>
  <si>
    <t>2.02. District Heating Location-Based</t>
  </si>
  <si>
    <t>Waste</t>
  </si>
  <si>
    <t>Total (Location-Based)</t>
  </si>
  <si>
    <t>Emissions 1.04. (kg CO2e)</t>
  </si>
  <si>
    <t>Total Emissions (kg CO2e)</t>
  </si>
  <si>
    <t>Total Emissions CO2 (kg CO2e</t>
  </si>
  <si>
    <t>Total Emissions CH4 (kg CO2e)</t>
  </si>
  <si>
    <t>Total Emissions N2O (kg CO2e)</t>
  </si>
  <si>
    <t>Natural Gas Boilers, Heating Oil Systems, On-Site Generators, CHP Plants</t>
  </si>
  <si>
    <t>Direct GHG emissions from fuel combustion in mobile sources owned or controlled by the company</t>
  </si>
  <si>
    <t>Direct GHG emissions from the combustion of fuels in stationary sources owned or controlled by the company</t>
  </si>
  <si>
    <t>Company-owned Trucks, Trucks and vans, Forklifts, Company aircraft or vessel</t>
  </si>
  <si>
    <t>Refrigerant leakage from air conditioning, Methane leaks, SF6 from electrical equipment</t>
  </si>
  <si>
    <t>Intentional or unintentional releases of GHGs from owned or controlled equipment</t>
  </si>
  <si>
    <t>Indirect Emissions from the generation of electricity purchased and consumed by the company</t>
  </si>
  <si>
    <t>Location-based electricity, Market-based Electricity</t>
  </si>
  <si>
    <t>Indirect emissions from the generation of purchased district heating, steam, or cooling consumed by the company</t>
  </si>
  <si>
    <t>Emissions from the production of goods and services purchased by the company (excluding capital goods)</t>
  </si>
  <si>
    <t>Raw materials, office supplies, consulting services, IT services</t>
  </si>
  <si>
    <t>Emissions from the production of capital goods purchased by the company</t>
  </si>
  <si>
    <t>Buildings, Machinery, Production Equipment, IT Hardware</t>
  </si>
  <si>
    <t>Upstream Emissions related to fuels and energy purchased and consumed by the company, outside of the company's operational control</t>
  </si>
  <si>
    <t>Extraction, production, and transport of fuels; Transmission &amp; Distribution losses of electricity</t>
  </si>
  <si>
    <t>Emissions from the transportation and distribution of products purchased by the company in the value chain before the company's operational control</t>
  </si>
  <si>
    <t>Supplier-to-company freight, Third-party warehousing, Distribution centers (upstream only)</t>
  </si>
  <si>
    <t>Emissions from third-party treatment and disposal of waste generated in the company's operation. Also includes the supply and treatment of water</t>
  </si>
  <si>
    <t>Landfill, Incineration, Recycling, Wastewater Treatment</t>
  </si>
  <si>
    <t>Emissions from transportations of employees for business-related activities in vehicles not owned or controlled by the company</t>
  </si>
  <si>
    <t>Commercial flights, rail travel, hotel stays, rental cars</t>
  </si>
  <si>
    <t>Emissions from transportation of employees between their homes and worksites</t>
  </si>
  <si>
    <t>Private cars, public transport, remote work (if home energy is included)</t>
  </si>
  <si>
    <t>Emissions from the operation of assets leased by the company that are not already included in scope 1 or 2 (usually because they are outside of operational control)</t>
  </si>
  <si>
    <t>Leased offices, leased vehicles, leased warehouses</t>
  </si>
  <si>
    <t>Scope 3.07. Teleworking</t>
  </si>
  <si>
    <t>Average Teleworking Days per Week</t>
  </si>
  <si>
    <t>Scope 3.07.</t>
  </si>
  <si>
    <t>Average Teleworking Hours per Week</t>
  </si>
  <si>
    <t>Average Teleworking Hours per Year</t>
  </si>
  <si>
    <t>DEFRA Teleworking Emission Factors</t>
  </si>
  <si>
    <t>Homeworking (office Equipment + Heating</t>
  </si>
  <si>
    <t>per FTE Working Hour</t>
  </si>
  <si>
    <t>Emission Factor (kg CO2e/Hour)</t>
  </si>
  <si>
    <t>Commuting</t>
  </si>
  <si>
    <t>Teleworking</t>
  </si>
  <si>
    <t>Activity Type</t>
  </si>
  <si>
    <t>Consumption Unit</t>
  </si>
  <si>
    <t>Source Tab</t>
  </si>
  <si>
    <t>"Scope 1"</t>
  </si>
  <si>
    <t>Articulated (&gt;3.5 - 33tonnes)</t>
  </si>
  <si>
    <t>"Scope 2"</t>
  </si>
  <si>
    <t>Consumption Days</t>
  </si>
  <si>
    <t>Sulphur Hexafluoride (SF6)</t>
  </si>
  <si>
    <t>"Scope 3.1, 3.2 &amp; 3.8"</t>
  </si>
  <si>
    <t>Total Spend (EUR)</t>
  </si>
  <si>
    <t>"Scope 3.4"</t>
  </si>
  <si>
    <t>3.05. Waste</t>
  </si>
  <si>
    <t>"Scope 3.5"</t>
  </si>
  <si>
    <t>3.05. Water</t>
  </si>
  <si>
    <t>"Scope 3.6"</t>
  </si>
  <si>
    <t>Nights</t>
  </si>
  <si>
    <t>Coolant</t>
  </si>
  <si>
    <t xml:space="preserve">    </t>
  </si>
  <si>
    <t>CH4 kg CO2e LB</t>
  </si>
  <si>
    <t>Final Consumption (EUR)</t>
  </si>
  <si>
    <t>Hotel 1</t>
  </si>
  <si>
    <t>Hotel 2</t>
  </si>
  <si>
    <t>Hotel 3</t>
  </si>
  <si>
    <t>Hotel 4</t>
  </si>
  <si>
    <t>Hotel 5</t>
  </si>
  <si>
    <t>Hotel 6</t>
  </si>
  <si>
    <t>Hotel 7</t>
  </si>
  <si>
    <t>Hotel 8</t>
  </si>
  <si>
    <t>Hotel 9</t>
  </si>
  <si>
    <t>Hotel 10</t>
  </si>
  <si>
    <t>Total Yearly Distance</t>
  </si>
  <si>
    <t>Constant Name</t>
  </si>
  <si>
    <t>Constant</t>
  </si>
  <si>
    <t>Description</t>
  </si>
  <si>
    <t>Yearly Working Days</t>
  </si>
  <si>
    <t>Total possible workdays - 260 days, 29 vacation days, 11 public holidays = 220 days</t>
  </si>
  <si>
    <t>Yearly Working Weeks</t>
  </si>
  <si>
    <t>220/5</t>
  </si>
  <si>
    <t>AR6</t>
  </si>
  <si>
    <t>contact@fiveglaciers.com</t>
  </si>
  <si>
    <t>3f54b79817b906ee862e50f8b153ee08</t>
  </si>
  <si>
    <t>6f3edf01f56742a12961e44fe69d7b2c</t>
  </si>
  <si>
    <t>9b6d3f5e3cd147b7e090a6691444abce</t>
  </si>
  <si>
    <t>8c3faf0b7936295b1931493460e64b12</t>
  </si>
  <si>
    <t>08c59445ba4dd99dbaad01ac09983118</t>
  </si>
  <si>
    <t>8291412aac8058e8429665c54f7db421</t>
  </si>
  <si>
    <t>1a66f16f5fd41fe200ae07dd58ad2966</t>
  </si>
  <si>
    <t>0ee9d0c20d205eb7af1630e5ca760eb1</t>
  </si>
  <si>
    <t>428f2d02277e2a1c4caa4df9b4a0f32c</t>
  </si>
  <si>
    <t>6efdcc07e6ee24cb0b3c58a7d796479b</t>
  </si>
  <si>
    <t>26479030ac1289192d4a9bd13b2a6abc</t>
  </si>
  <si>
    <t>72a4fd6c3c72c110c72b7306ea09d084</t>
  </si>
  <si>
    <t>be3561431ab93ea0bc80a8345fa91a70</t>
  </si>
  <si>
    <t>eddf081ace7dfebd25bc49196433bc73</t>
  </si>
  <si>
    <t>e484340d4483c8359bc547b3ff396036</t>
  </si>
  <si>
    <t>97460ba2c0cb14a99ac719330c23fbd8</t>
  </si>
  <si>
    <t>840572ea8910d0afb61ec25a577406b5</t>
  </si>
  <si>
    <t>ae800e7e7e2376895e26e7975c94b601</t>
  </si>
  <si>
    <t>009585fe6b853b4bc37603ea4fd24e45</t>
  </si>
  <si>
    <t>0a0005622542b1d3a181fd4b7ae19a60</t>
  </si>
  <si>
    <t>64d9c2e9952973ed392439fb75075c49</t>
  </si>
  <si>
    <t>d4934060d4e5b4c6da64e8aa85dfbaaf</t>
  </si>
  <si>
    <t>4427377330a9f62baf4bf1fbd80b2965</t>
  </si>
  <si>
    <t>d9dbb2c7f68de41f9c4be2647978705f</t>
  </si>
  <si>
    <t>299473987eb75cc73318078ac57e1160</t>
  </si>
  <si>
    <t>7f1654c581c3e5542f317ac638508a51</t>
  </si>
  <si>
    <t>d900d6764efce7773f4fff80a70bf2f4</t>
  </si>
  <si>
    <t>62314a7befcab02b621ba73c80eaeed0</t>
  </si>
  <si>
    <t>d4015a06f1c3b3f968afd0978c193102</t>
  </si>
  <si>
    <t>fbde529e93d33302dc319a87f63c1774</t>
  </si>
  <si>
    <t>93e0e02fc0cebb149c5d2d67f264b443</t>
  </si>
  <si>
    <t>935c38c7dfacb91e823f4a1c3f80fa2d</t>
  </si>
  <si>
    <t>45cf8ad67179dd23c0afd92aa2987cde</t>
  </si>
  <si>
    <t>44e694c1b2ebd34635b7d26851eadff2</t>
  </si>
  <si>
    <t>c9cef3a712d46bc07f73fc86421d22ab</t>
  </si>
  <si>
    <t>016a2a040847813027247155a435ec0b</t>
  </si>
  <si>
    <t>df64808c7676d6df2e6a74c3b607dbe4</t>
  </si>
  <si>
    <t>432174e93948286c82335bdfcba16be1</t>
  </si>
  <si>
    <t>78d744379f6196b238af447ae61de3c4</t>
  </si>
  <si>
    <t>ab15477d8fd5f4fd1dc22c8441cf0333</t>
  </si>
  <si>
    <t>34dad732afb40292e4fa6e99b58cd0e6</t>
  </si>
  <si>
    <t>0f363e9b6a17cdf78a271d68db6e6842</t>
  </si>
  <si>
    <t>5bb32ed9fe47f9a772e0c0522d440e3f</t>
  </si>
  <si>
    <t>0ddfe343aa1d0f1e5057982a58989fa9</t>
  </si>
  <si>
    <t>c2424ffc822f180cdb89cb1a098bd663</t>
  </si>
  <si>
    <t>c52ab7bccf25cc54d39c144c042db934</t>
  </si>
  <si>
    <t>a086a127720cfff37362473113754a57</t>
  </si>
  <si>
    <t>fc211ecad0a647308e274d127cd24d91</t>
  </si>
  <si>
    <t>ab1513cc78b7a42ea564f2ab2057ab4d</t>
  </si>
  <si>
    <t>abfeb99b9a5f6c3dd7f2eb0c217e55aa</t>
  </si>
  <si>
    <t>68f83829eb632f0b1834ded5558d37fb</t>
  </si>
  <si>
    <t>b2a22b1b7aba043d3bf565d96fc01b4e</t>
  </si>
  <si>
    <t>8cab2113e7e8656b1b3f0800e3afd0a3</t>
  </si>
  <si>
    <t>8e8b9579825871482f91ae9cc457c4e3</t>
  </si>
  <si>
    <t>2e957465f5f7d2bf125feaef4733981a</t>
  </si>
  <si>
    <t>4322823ef79fa7b5e6b3af8d643169a5</t>
  </si>
  <si>
    <t>a6e5fc2d64cb269a718a74ab589af288</t>
  </si>
  <si>
    <t>ff40289b4670dfad76a379974e9b2760</t>
  </si>
  <si>
    <t>f9f5500081c395d9d0cb6bef56b6a2a5</t>
  </si>
  <si>
    <t>809df21f438972ce7afced2638d81a5d</t>
  </si>
  <si>
    <t>e8126169dc5e53cca7781eb1604d91e1</t>
  </si>
  <si>
    <t>825ae25fe9396d298fd1a0bc93998073</t>
  </si>
  <si>
    <t>3cabece584d41f5e15965ec2c58f11f4</t>
  </si>
  <si>
    <t>e9390d5eb9c39a7243305d217dc85720</t>
  </si>
  <si>
    <t>26ab693560b85655b265055866597b69</t>
  </si>
  <si>
    <t>3bfafd5a55b3f7f22a610fa473f88d73</t>
  </si>
  <si>
    <t>4c90a51521410e2bf70c149b2acb15e4</t>
  </si>
  <si>
    <t>9c24315bae4502d4cc32c2808cef12af</t>
  </si>
  <si>
    <t>ec43da201bb5d8c979b5dbe5b6fe85ac</t>
  </si>
  <si>
    <t>5521bcec065bef2f6e9613d860062cc2</t>
  </si>
  <si>
    <t>da852c12787d3810c43078ec9cc3811a</t>
  </si>
  <si>
    <t>e1a06369ce1de6ef4d96845e788e7851</t>
  </si>
  <si>
    <t>1dde059d75ef656bf4beb21bcc0f6568</t>
  </si>
  <si>
    <t>1c8aa17c953da058cc4726367801eec3</t>
  </si>
  <si>
    <t>bbb04fba04aec6dc753bdaeb040a985a</t>
  </si>
  <si>
    <t>2a4a9cbe35a390b22efa3b8a579c9ee5</t>
  </si>
  <si>
    <t>79099365f6ea3721fc0e8dfb9906335d</t>
  </si>
  <si>
    <t>1feaa5af483de5c0b18cd57a083191de</t>
  </si>
  <si>
    <t>4e6b45e94df3cc2978064a8503559c0d</t>
  </si>
  <si>
    <t>b603d243d8b60a8895615a7003c3da1b</t>
  </si>
  <si>
    <t>07fd153ea437ff5b485b0f69f821c1b5</t>
  </si>
  <si>
    <t>60b1c7b75b038b6b699b9bc59d1c0634</t>
  </si>
  <si>
    <t>8909d7cd0304c2bbad918029794769a0</t>
  </si>
  <si>
    <t>898920e46acf43052f10c2846171c650</t>
  </si>
  <si>
    <t>840fef908ff2b0ac47564f985e5a344e</t>
  </si>
  <si>
    <t>efeaa5b566128a1be50fbfd03e6b43e4</t>
  </si>
  <si>
    <t>f4377112cb3bc28bb98aa126bde7b970</t>
  </si>
  <si>
    <t>3dba347a7fec7bd51c4b515a7bb98b48</t>
  </si>
  <si>
    <t>8779816cfc0b910ad52c2b397e2b81a3</t>
  </si>
  <si>
    <t>6d3102fea318387d6350e935e83cbe06</t>
  </si>
  <si>
    <t>ba6d798c26eabfd403f5f61b58791188</t>
  </si>
  <si>
    <t>bfdcddd2a878f8d644e25a957b722513</t>
  </si>
  <si>
    <t>8917a8b7f30bf0179fd453b63b180261</t>
  </si>
  <si>
    <t>ae6ab55e3e4a61146a69a36a9f8ed03a</t>
  </si>
  <si>
    <t>0e34b841336dd414a445a777580bbb3f</t>
  </si>
  <si>
    <t>6ed6ef669c682a1ebc6fc6e910d6447d</t>
  </si>
  <si>
    <t>4f29c1fe60c5580764f1115d1a35b79b</t>
  </si>
  <si>
    <t>fd03d6fced4548565933b97f74910aa6</t>
  </si>
  <si>
    <t>db684881744f3fb23b8bdb0a83bd3a60</t>
  </si>
  <si>
    <t>23dca55c071462c78c1771872cee87d5</t>
  </si>
  <si>
    <t>ef8c1dc49ddb7a46181b643d43c345e3</t>
  </si>
  <si>
    <t>71127055d867ae757c6fd8ee8694c201</t>
  </si>
  <si>
    <t>988691650035adf8691e50d7becbbc8e</t>
  </si>
  <si>
    <t>90514ce148e5701a6c303693e112493f</t>
  </si>
  <si>
    <t>6165f81d9266bb1b7147858abe690d79</t>
  </si>
  <si>
    <t>ef0d46f71cbdd4aff606209b2558e6f3</t>
  </si>
  <si>
    <t>9573a5f3e6c182b3c7e1ed32ca555763</t>
  </si>
  <si>
    <t>39fe5f219af073ede85b0b892a4d4f66</t>
  </si>
  <si>
    <t>8431aa1752c2c8b556df0c11fafb1d50</t>
  </si>
  <si>
    <t>e514ca3cb700b04234bf12a84e63b2f4</t>
  </si>
  <si>
    <t>a463a06599db635c5973bb83b6aa1483</t>
  </si>
  <si>
    <t>83bd0e18a84dcb9f80f61fb31f20c348</t>
  </si>
  <si>
    <t>2709400d0a6dbd89a6ea76cfd96b956f</t>
  </si>
  <si>
    <t>5a9014b689649571d4cbc9cc105188df</t>
  </si>
  <si>
    <t>d46c5fb99ae54806ac4cb5669ba85839</t>
  </si>
  <si>
    <t>2fb07bb97abd59716399d2b31da824c1</t>
  </si>
  <si>
    <t>113bc14f1478eb2c44492174e82183db</t>
  </si>
  <si>
    <t>cb6ee1222599874fe2ffcad56faf4d21</t>
  </si>
  <si>
    <t>3a883e8a2e1dffb425ccffeeaa36fbcd</t>
  </si>
  <si>
    <t>947a7d1379514e4803225c5313943cff</t>
  </si>
  <si>
    <t>bf882b15a50a8e08dae23a3ce4727dc2</t>
  </si>
  <si>
    <t>e3c49c162aaf247621bd23a8c5d2435c</t>
  </si>
  <si>
    <t>4cda6ddf6e057e45fc170707c5232924</t>
  </si>
  <si>
    <t>ceb0c57e12116bb5dad390427979b7fa</t>
  </si>
  <si>
    <t>25ce3bcb0381509c544f42f17c143ee6</t>
  </si>
  <si>
    <t>29b807b80a6c24f7daf7d801931a32cf</t>
  </si>
  <si>
    <t>e99ce2b6df42c778e989241a0537b8dd</t>
  </si>
  <si>
    <t>3045286efb64507110aaac6bf92b06dd</t>
  </si>
  <si>
    <t>07d21a249113fb8e1aa53eea4b4e5c6d</t>
  </si>
  <si>
    <t>60f594b7dd7d9358386713c7762b8d01</t>
  </si>
  <si>
    <t>76bdf46bf3257055d8ba1f2d81138ab1</t>
  </si>
  <si>
    <t>cc306047dd21efed428580bacbeab2d2</t>
  </si>
  <si>
    <t>8502b0c771ab3885dc753da9b2923850</t>
  </si>
  <si>
    <t>a3b75897df1c9e1a1d5fa15425f71506</t>
  </si>
  <si>
    <t>12a09fc2498aaafe42da5c9c0b83525f</t>
  </si>
  <si>
    <t>8995124ee96fc422ea03f8459b3269ba</t>
  </si>
  <si>
    <t>297387c81aae7314dd6e2f99bb7307f6</t>
  </si>
  <si>
    <t>9d06ec20739ee0b9bb2e0951250f485d</t>
  </si>
  <si>
    <t>7105afe090a8754ddab4977009850513</t>
  </si>
  <si>
    <t>71806e287b7a485c18f7d0aced69324b</t>
  </si>
  <si>
    <t>b2230ad9dcfa53ff2f1ef2414f33a8d7</t>
  </si>
  <si>
    <t>5f64aba06db7465127e5b2e18b1697f1</t>
  </si>
  <si>
    <t>0e333644d802eff945906c91668b3c60</t>
  </si>
  <si>
    <t>2d9e8699392bbec3c07f8b6a1a93bb30</t>
  </si>
  <si>
    <t>6181fb74a2e677f5de1b88b602e627d8</t>
  </si>
  <si>
    <t>62fa0110303d2f013fb46be06f507099</t>
  </si>
  <si>
    <t>ae70c864faa79ccbe2fa2cb2aa062ee1</t>
  </si>
  <si>
    <t>a7abb0ad3e51eac3b245af13ec305488</t>
  </si>
  <si>
    <t>a7d2aca021d3d2e0046ada8b0731803a</t>
  </si>
  <si>
    <t>4da1a63deedf2c3b011345daf94537c2</t>
  </si>
  <si>
    <t>96c9153befdabff87a2263c03ca740b9</t>
  </si>
  <si>
    <t>7e8dfc0864c4c46936794528d102154c</t>
  </si>
  <si>
    <t>28cdc8e666422ccfc5f5bc0ed4cd24f7</t>
  </si>
  <si>
    <t>f3f59ea7ada3be18a4559c77b5d0b0af</t>
  </si>
  <si>
    <t>10e0452840f5312f6049eb3805443028</t>
  </si>
  <si>
    <t>a3ca72fb41e88d0f5daef36b59b6464e</t>
  </si>
  <si>
    <t>199e0b6772d3746b4e9016dfdcb6cb69</t>
  </si>
  <si>
    <t>8e23168dcd99b9e7057d2395a6b2ad8f</t>
  </si>
  <si>
    <t>d7789b81398ffb2b70290aea75329336</t>
  </si>
  <si>
    <t>51a7ed518ed7553cff7acd3373ebe3fb</t>
  </si>
  <si>
    <t>a25da70b3617f3fd6ccd6b548b4e3cdd</t>
  </si>
  <si>
    <t>e3725ab4f9983c621f6a4f2e7185c53c</t>
  </si>
  <si>
    <t>3b33632cfc5cd70518162aa4c0a30c6f</t>
  </si>
  <si>
    <t>deac03d19cdc176251fc9a0b46f9c2d7</t>
  </si>
  <si>
    <t>ac8d62252a85e2f7e8dff94034ee7f97</t>
  </si>
  <si>
    <t>59c5ba40845d09322d358916dff15fad</t>
  </si>
  <si>
    <t>52dddc1787c13b48d8a515ae51a19655</t>
  </si>
  <si>
    <t>4d1cfba6e12039aea3bfcb9daf77a3b9</t>
  </si>
  <si>
    <t>9464247df22873f7498bc8a3a225e990</t>
  </si>
  <si>
    <t>daa6b91f8b4031c2130912c7e796ad38</t>
  </si>
  <si>
    <t>4fd235bd157f6b5298450438470baf21</t>
  </si>
  <si>
    <t>5a2edc9b56deb283db8b97ced81aca36</t>
  </si>
  <si>
    <t>1be51b531d1a78983ed00426a9002ccf</t>
  </si>
  <si>
    <t>7525b97c18f84dd5b62cf4e0f7a967be</t>
  </si>
  <si>
    <t>fc8ff5545991402b9c7e70e939c2dfde</t>
  </si>
  <si>
    <t>e06b5b2ccdd9cdd6146d9ead6f817c63</t>
  </si>
  <si>
    <t>db35f48b36e6c9e45920a5c4cc5572c4</t>
  </si>
  <si>
    <t>02ffc19092470c69726d613ace6db968</t>
  </si>
  <si>
    <t>0f24596ab0fc4ca429149c0ae9a442b8</t>
  </si>
  <si>
    <t>92fbba10f6f7e873e47687c005dbca1b</t>
  </si>
  <si>
    <t>0993d474cbc7c666e044f8df47a8b832</t>
  </si>
  <si>
    <t>80e40ac49262f8dc76cb2c428f2d16f7</t>
  </si>
  <si>
    <t>4521dffd8c10b6ebfe1dc15b41afe2eb</t>
  </si>
  <si>
    <t>684eaba2b38392d94606aeeba7847f24</t>
  </si>
  <si>
    <t>f53edce45f13fdaf1a2fbe90f82f9ed5</t>
  </si>
  <si>
    <t>7efd1bc71101884c633f4ffd8b94e06e</t>
  </si>
  <si>
    <t>fe2606e6a3be41d3eaec76ccdd9fc993</t>
  </si>
  <si>
    <t>200662d583240cea7e7ed11ff7325c73</t>
  </si>
  <si>
    <t>b6e73742db1c52a30a5534acafddf6cf</t>
  </si>
  <si>
    <t>9df13261b62a9b0416476925b893d4f1</t>
  </si>
  <si>
    <t>5bd8d85e0f326bfa869b70b6c71cf1fe</t>
  </si>
  <si>
    <t>1b09c851c62cbd956c28055efdee9a17</t>
  </si>
  <si>
    <t>fc4544c698ef4630f8e386fb4d0e9ffd</t>
  </si>
  <si>
    <t>c66162f41450b9fe97f1ec991366e8b7</t>
  </si>
  <si>
    <t>68c3fa199362ef867703051a5d4064aa</t>
  </si>
  <si>
    <t>e4e88c9224736898ed750b048535b1fa</t>
  </si>
  <si>
    <t>ba22697449246fb35286782de98caf8a</t>
  </si>
  <si>
    <t>3ef664d5b4673472ef5bb664b602be1a</t>
  </si>
  <si>
    <t>f4cf4e4a27dc4eeccf4ffeb95c67427e</t>
  </si>
  <si>
    <t>da8eae18adaace2cce901e78bdb85078</t>
  </si>
  <si>
    <t>4cd7791ecaf6ac57e2ad6ff5da767cc0</t>
  </si>
  <si>
    <t>6dd996e93f9b148e9f9f0e5dad6cca35</t>
  </si>
  <si>
    <t>2083fdbb30364dd27c966644269a59a5</t>
  </si>
  <si>
    <t>082bcd3958933c1e34d7c91c99c5f9fc</t>
  </si>
  <si>
    <t>43f905be20862c95e1068febf45009f4</t>
  </si>
  <si>
    <t>d0f4ccda8f10b99d77fef7aa9c3c175b</t>
  </si>
  <si>
    <t>6a2b0957f5a392739f78710a8aa0d0dc</t>
  </si>
  <si>
    <t>0ad60cea86308f2f728a555ef3d5ea8b</t>
  </si>
  <si>
    <t>f7bbe8342b75a1a8d2ec89f73a28fedb</t>
  </si>
  <si>
    <t>a6de194d50d616b0b117eb369a7d0954</t>
  </si>
  <si>
    <t>941ec359e72a92a4dc8aa8e91659df20</t>
  </si>
  <si>
    <t>4004eee3e12320aa6d57381e7997b61d</t>
  </si>
  <si>
    <t>b727e886dca43cc660a208464969cc26</t>
  </si>
  <si>
    <t>78102979f4e76e57d25ad5dd61675e38</t>
  </si>
  <si>
    <t>ee97cfde6dceaf60ab57ac75845e7330</t>
  </si>
  <si>
    <t>a1f8a34c46f5b4859ed245594c6c88e3</t>
  </si>
  <si>
    <t>405e76e5464ee820c14017417326ab1c</t>
  </si>
  <si>
    <t>e9836596f82356e5dfe04d697973f1a1</t>
  </si>
  <si>
    <t>ea798edf80670f6954145a175b929926</t>
  </si>
  <si>
    <t>4e28b4ccd0d0fd919a4fe7e464b3a1bd</t>
  </si>
  <si>
    <t>3ac07c9f85b8c4d4d2befa3b05054321</t>
  </si>
  <si>
    <t>da5f3ea49e613e7ceec36dfbeb9ae341</t>
  </si>
  <si>
    <t>8cf9605bb543a2fa9d4a062f5ac73480</t>
  </si>
  <si>
    <t>2619b5085f6ea5e18134ddf804e39bf8</t>
  </si>
  <si>
    <t>556f453a27475244439fa66aac3218ba</t>
  </si>
  <si>
    <t>7ac89d1cd0bd658f345cce70fafb9011</t>
  </si>
  <si>
    <t>7d146e4d5146cf0b84f7c7be382c752e</t>
  </si>
  <si>
    <t>456a6d754b311ec378121dd3fe5e2208</t>
  </si>
  <si>
    <t>278b49f5d575f591a16fec4e066bbb48</t>
  </si>
  <si>
    <t>194d4f463528511d5a2b487a20fbb3c2</t>
  </si>
  <si>
    <t>39d177bb3c5e8ec4bf5a0d25c9615040</t>
  </si>
  <si>
    <t>a2204263643fa541406d9388569e81bd</t>
  </si>
  <si>
    <t>bc711b9dccd21a41e1fff573f65a5c54</t>
  </si>
  <si>
    <t>40f06626de619ae6628282ec50f526eb</t>
  </si>
  <si>
    <t>bfd7ffd3098a2143d42cbb446687b8fb</t>
  </si>
  <si>
    <t>82eff81bd33f9b03a1184bbb82e4c115</t>
  </si>
  <si>
    <t>e24cbbc255aa848f5fc1c3a3fae7dbb7</t>
  </si>
  <si>
    <t>c0ae63f1061efca6b0dd8ad55962988c</t>
  </si>
  <si>
    <t>8466d6c2ec88f5e4af58ae7ab89c73e1</t>
  </si>
  <si>
    <t>e67dcd36ad46cb1ea782c50e7b863825</t>
  </si>
  <si>
    <t>feee3393ac990a8523315641cb5ef711</t>
  </si>
  <si>
    <t>c794698c62522a80c327170c25bf9432</t>
  </si>
  <si>
    <t>0ac6e1cec3f9c2981e9eea070afa1543</t>
  </si>
  <si>
    <t>16cd02a7cf5271d9ef97dfda12e4bb0d</t>
  </si>
  <si>
    <t>9b884006d2c34d284ca1fb17a47f03c9</t>
  </si>
  <si>
    <t>c0ed7a9583722d21d02a97094fc2cd80</t>
  </si>
  <si>
    <t>0a37bdd7ee44f7804e1c80b16efba007</t>
  </si>
  <si>
    <t>8889b3bd91a39a6c6830bf4658b28d06</t>
  </si>
  <si>
    <t>f02380cb712218a483e5888c1fa97977</t>
  </si>
  <si>
    <t>5bd8f5510a60d65ac2e03375f1ff7472</t>
  </si>
  <si>
    <t>f2fafe0b7981dac5215561667b31a9ca</t>
  </si>
  <si>
    <t>398cedf6917700c419fc9bfc01e0582d</t>
  </si>
  <si>
    <t>2c01a89095e5e50d6da6b31d91d788ff</t>
  </si>
  <si>
    <t>7d7d1596d3f76485becf51ad94a46d1e</t>
  </si>
  <si>
    <t>b6665c8a13e8ec6f118c433c4bef4a95</t>
  </si>
  <si>
    <t>ca9ba781226a36be699ba66fa7a4fccc</t>
  </si>
  <si>
    <t>13f0cb5dda4f1341f672e18939648901</t>
  </si>
  <si>
    <t>97086d4e6c7ec99b671304317d7c807d</t>
  </si>
  <si>
    <t>0d08fe6875a087b3a86c6ce683d14223</t>
  </si>
  <si>
    <t>97a6a514a650529c7844cdc57bdc21df</t>
  </si>
  <si>
    <t>e964c79213f385366273145781d9060b</t>
  </si>
  <si>
    <t>14779090d7e2556b38be8d1f3d76f7cb</t>
  </si>
  <si>
    <t>d70193c14335625d0c694d6185121ade</t>
  </si>
  <si>
    <t>fd8a31d54bca46cf08393e9c83aafefa</t>
  </si>
  <si>
    <t>a56a0b1d85f867beec9863a75037d59d</t>
  </si>
  <si>
    <t>cb9e1a577646954d3ce04c775f61ea86</t>
  </si>
  <si>
    <t>4e83879c460631eec794cbdcf5d88deb</t>
  </si>
  <si>
    <t>2fab3a3e8ff94de5e60f5d8dc690f40d</t>
  </si>
  <si>
    <t>9991299b8524f23167b93e6ab0372339</t>
  </si>
  <si>
    <t>a5b5cc01d46b4ea2f37c412d66e00f38</t>
  </si>
  <si>
    <t>e6bbe5ef214e0353e9450349c0e08c88</t>
  </si>
  <si>
    <t>f0377fff5f0e98df84cb5fc8e6542776</t>
  </si>
  <si>
    <t>a92fadc9a2990ca3888c4724590da7a7</t>
  </si>
  <si>
    <t>e2fb166a66e0266250baf62b8dabebdb</t>
  </si>
  <si>
    <t>4ffb83dfe21b03ab8c2993129af7ee6d</t>
  </si>
  <si>
    <t>b111a3ad8bfd7c3972c1df00b646fc3c</t>
  </si>
  <si>
    <t>14ba3685b85351554ca557bdeddb2321</t>
  </si>
  <si>
    <t>ad2ede5a9b20001977861159c1380d91</t>
  </si>
  <si>
    <t>7738e6ef17c0e78515e47ce7e1fc88fe</t>
  </si>
  <si>
    <t>6faf7bc38aeb7c57dcd8c0eb720b5438</t>
  </si>
  <si>
    <t>7d14f81b91d5fb9129f4206f686f7f1c</t>
  </si>
  <si>
    <t>568dc12f64717ef55ce817aed2716081</t>
  </si>
  <si>
    <t>2071ec9184ae2e5769b7f7aa9ef6db62</t>
  </si>
  <si>
    <t>69ceb319947e82b9a3f4f07790fa86b5</t>
  </si>
  <si>
    <t>2a8ecf4e3906b68a8736c1660fa2cf01</t>
  </si>
  <si>
    <t>e657a467c8ff22382d103c1a7e4acdce</t>
  </si>
  <si>
    <t>8492454b222f2cdc07f758ecbad71905</t>
  </si>
  <si>
    <t>688121d53b5b1df72b51e25eb2e75e4c</t>
  </si>
  <si>
    <t>84df812b0fbbaf2b47ac963b4edf9733</t>
  </si>
  <si>
    <t>6d59522e702730d5b11aa907a3023445</t>
  </si>
  <si>
    <t>660c70ad72affc39d5b6fcfe426a8e6e</t>
  </si>
  <si>
    <t>d2db2bf981c7ff7c2e5053a58e1a8be4</t>
  </si>
  <si>
    <t>2f4a206a0b0c83e65c468821e9afa1a3</t>
  </si>
  <si>
    <t>79f9ada25124813c96c43d8fe82c000a</t>
  </si>
  <si>
    <t>2490808b722786913ee3b2a2e0e672b2</t>
  </si>
  <si>
    <t>a1d3c37ac60fbad4db024048bcfae4f4</t>
  </si>
  <si>
    <t>3f14c27faddacae445c38c62f7898c53</t>
  </si>
  <si>
    <t>07aeab972ecc9c8aee51f96edb24b5e3</t>
  </si>
  <si>
    <t>f87b4839df2c9666682700085746fdff</t>
  </si>
  <si>
    <t>faae327420633b26e2c81e90f253b8b2</t>
  </si>
  <si>
    <t>3c7323c9a80cc49fcfdd65255709e103</t>
  </si>
  <si>
    <t>04d3cc7f4bf0842efd352703d57986d2</t>
  </si>
  <si>
    <t>ffd2165e5b5b3c95d96e7bccf81e3099</t>
  </si>
  <si>
    <t>eed0765e789b35af238bd9b63c7802bf</t>
  </si>
  <si>
    <t>6ae9c76da116966074a9f27b93ba46e5</t>
  </si>
  <si>
    <t>dbf2ea78ef852d17ec39bd82d82d9233</t>
  </si>
  <si>
    <t>2c8c1ec7e233eef1d46df01b88ba02f4</t>
  </si>
  <si>
    <t>bcb063d521ade89a8101d97931643e0a</t>
  </si>
  <si>
    <t>56856452e3b78735b6c99b4b2d60d274</t>
  </si>
  <si>
    <t>bb8e6bd4acc4ee0a67a3d01227814cd7</t>
  </si>
  <si>
    <t>8d9f0cdacbe0ae024c7881e5affa9a03</t>
  </si>
  <si>
    <t>d035a7fcf973013827f8ce386062aaff</t>
  </si>
  <si>
    <t>6b99cb8af59825430a933c32ef5c883c</t>
  </si>
  <si>
    <t>726c6ec744c7befd77e8c1f3a4722899</t>
  </si>
  <si>
    <t>1e1cf874f393f99cd70c9b732954e0ab</t>
  </si>
  <si>
    <t>95f174a59a24107ea526a03e65dc75db</t>
  </si>
  <si>
    <t>ad5cff505c7aa98a89fd3b8742b3cd6a</t>
  </si>
  <si>
    <t>ab7c71aa171f0e6de2e0a1a185ddb795</t>
  </si>
  <si>
    <t>d5143ea4cf4a17b751f815977c25413b</t>
  </si>
  <si>
    <t>78939fe37feaee0a693e250a54b329d0</t>
  </si>
  <si>
    <t>add3b4152003c39222259331cb3fbaa1</t>
  </si>
  <si>
    <t>a94501423e5e6ed8d212416c531cd5a3</t>
  </si>
  <si>
    <t>3d5b131a89489b3d67c46350c814ae2c</t>
  </si>
  <si>
    <t>76cb8ffac7e11611694b79e30c8afa62</t>
  </si>
  <si>
    <t>f0b47054bb6624a457e0bf470e58793a</t>
  </si>
  <si>
    <t>f18dd21d5b08577269f97774785f1320</t>
  </si>
  <si>
    <t>fdd1bb385bfdae28d06a51e4fa7ab78f</t>
  </si>
  <si>
    <t>73deaa124ab6076be71bec41dddd6893</t>
  </si>
  <si>
    <t>978bc95d1acde3f9c2fd6ec1f281a87d</t>
  </si>
  <si>
    <t>d749ab54d4436df5a1262c4106175462</t>
  </si>
  <si>
    <t>fcdc059b4aac76995fb8765bcb8ff954</t>
  </si>
  <si>
    <t>aade3470c6cecb561368f103fd8fa536</t>
  </si>
  <si>
    <t>5c69a0e0cdcee97cf094c237ea169495</t>
  </si>
  <si>
    <t>2afe95874416493cb040f5036e14bc07</t>
  </si>
  <si>
    <t>70fe702a369c5c2abc75a3884619c342</t>
  </si>
  <si>
    <t>443cdebf3c9a68a366f7677cd5cc5e73</t>
  </si>
  <si>
    <t>d3e08ae1d0e00b60eeb8993cb39c8793</t>
  </si>
  <si>
    <t>99636db93c27e515b0051bbcadd715ce</t>
  </si>
  <si>
    <t>909d4a9a61f0600e9df9f34667005c2d</t>
  </si>
  <si>
    <t>a2f91934fc02b6f534b5d0ba37be60af</t>
  </si>
  <si>
    <t>e0c5964823ecdbb6d2ba105f524cfe9c</t>
  </si>
  <si>
    <t>9d3cc4be5eb313ff43ad9df7cbd2c77d</t>
  </si>
  <si>
    <t>40635008b726d7be30bc57fd8dd80ffe</t>
  </si>
  <si>
    <t>dc18f053402e14e162ab51ff5081818a</t>
  </si>
  <si>
    <t>a7c5865546cff0e0c9d10303c1295ddc</t>
  </si>
  <si>
    <t>f06c8436bd002101d4f576435055c1a8</t>
  </si>
  <si>
    <t>5d17fb85840b3c0448e80192b3cfead5</t>
  </si>
  <si>
    <t>c729b65e1da01bdc98c67a5add7b0e96</t>
  </si>
  <si>
    <t>e1b9e9d24bfa2286f7db61c54f02ad99</t>
  </si>
  <si>
    <t>955360f39230981655c33360ccb1b31e</t>
  </si>
  <si>
    <t>4421e1d437a647ab2029d816c9d8f5c1</t>
  </si>
  <si>
    <t>4d6a4f19637653c50238bb521775163c</t>
  </si>
  <si>
    <t>f095c8c94f66eb35146c3c686de295fa</t>
  </si>
  <si>
    <t>61657f235992f128857635cdd2ab2358</t>
  </si>
  <si>
    <t>cbf4097a3b283007497c4c7058d50a26</t>
  </si>
  <si>
    <t>da90428f74e0ce5ecb217e778d8841ab</t>
  </si>
  <si>
    <t>f15c340d5e185bfa866907b35a03cb10</t>
  </si>
  <si>
    <t>b27ea4b9f7bd2ad8336d1a0cb442b26f</t>
  </si>
  <si>
    <t>ad58820a20f174f57033d52e4123882b</t>
  </si>
  <si>
    <t>6eed6874c1af0dabe0bec8a1b89ef5d8</t>
  </si>
  <si>
    <t>beb2a441e4d54f60d1d9830b785644f1</t>
  </si>
  <si>
    <t>1b2ad5f0a22187319531e5072a9f4c74</t>
  </si>
  <si>
    <t>a2f71eadfba9a729db03ee48a1b3587c</t>
  </si>
  <si>
    <t>c2016b9906da276fbeab595ef5927cbc</t>
  </si>
  <si>
    <t>a6b922d7b8a4a14136c3e4cc78195e46</t>
  </si>
  <si>
    <t>7250f7219da23244a190a9ec8cb975fa</t>
  </si>
  <si>
    <t>5717f0d1e45abc6793856c4654408639</t>
  </si>
  <si>
    <t>6c15596abe241a4ce225a2b8f0dd8781</t>
  </si>
  <si>
    <t>77849c079007e250aeed133a6ddb1923</t>
  </si>
  <si>
    <t>bce8d36cd0bd0f675ec5e1335c892657</t>
  </si>
  <si>
    <t>fa4adb21e0a061e90ed8629cf8de26e5</t>
  </si>
  <si>
    <t>8e64faa7806f10e52bb1c080d3ee59db</t>
  </si>
  <si>
    <t>50fcbb2ce17720af0027775cb6ac3eee</t>
  </si>
  <si>
    <t>ee6ee9293c077ebc71364f52ef07f021</t>
  </si>
  <si>
    <t>7117cd80b9ac76b656932dab92946dc5</t>
  </si>
  <si>
    <t>1693a2013131cd568ebaeb3b1317badc</t>
  </si>
  <si>
    <t>915ffd3860a4de515e40edf88621ec9d</t>
  </si>
  <si>
    <t>4d2b137ace5441770b044d101dafb32b</t>
  </si>
  <si>
    <t>2c716ba968b88a9d0252298c24cbfdea</t>
  </si>
  <si>
    <t>9cd0867e2d5ae8cab7c658cdf372222e</t>
  </si>
  <si>
    <t>9c52ac5f900e54c988c0a0860119418d</t>
  </si>
  <si>
    <t>bd860db35072b3e5fa5b05ddd4470fab</t>
  </si>
  <si>
    <t>f00b0ec58b6ce224f5fdaf27437562c1</t>
  </si>
  <si>
    <t>3cc38e9c1305b90a8da1afeb79e264ac</t>
  </si>
  <si>
    <t>61d62b5631015f22b1723247a7390dc2</t>
  </si>
  <si>
    <t>8625b9708b79ba765cba14a8b64fb672</t>
  </si>
  <si>
    <t>eae24462f8e4083def3e3e85ab76b487</t>
  </si>
  <si>
    <t>4e896a8ea4f32db27a71c94fd3fcfafc</t>
  </si>
  <si>
    <t>f460a1e2eb159f4601a0067853c6e6a5</t>
  </si>
  <si>
    <t>e1d9b77015beb38ff3f63f09083521b6</t>
  </si>
  <si>
    <t>6d70b329c7957ddf89f90d839c068ee9</t>
  </si>
  <si>
    <t>127345d705095e1f3711f14fbdb2d877</t>
  </si>
  <si>
    <t>1c3b14e7b01fc1c6b755d5d96b423f85</t>
  </si>
  <si>
    <t>2d3fee5ea5e8e4e4d325bb081f39cdd6</t>
  </si>
  <si>
    <t>2b2211bf2069e990db4646d761a809d6</t>
  </si>
  <si>
    <t>63067cf4afe5876252c8d31aad7ab7ca</t>
  </si>
  <si>
    <t>4047ace3ebb93d134da4f5d6f85cb408</t>
  </si>
  <si>
    <t>1d51e09dff74e1989bd504e9d82e6889</t>
  </si>
  <si>
    <t>54af802c6fa101d61a07a994ecedbfa5</t>
  </si>
  <si>
    <t>45d6d9ec6e527604882452cd0f7e99a3</t>
  </si>
  <si>
    <t>91dae6c5addb3fb7ce13030e2ef65fe6</t>
  </si>
  <si>
    <t>18d8fdd1da7d7aa75b68594be1ebb72d</t>
  </si>
  <si>
    <t>d327ea70a4eb3cc373e4302ae737a387</t>
  </si>
  <si>
    <t>4ffee504538131806632be26fc6108e0</t>
  </si>
  <si>
    <t>83f7917b9dc9dc3d8937e87a16a5bc6a</t>
  </si>
  <si>
    <t>d1d212919462a6cbfcbbf169091373ed</t>
  </si>
  <si>
    <t>228cca3e52fbdab0eded2e3c4052df93</t>
  </si>
  <si>
    <t>e068cd277482f3f7d49d28a5b2a6fb4e</t>
  </si>
  <si>
    <t>837c8a8ebf41d7bc107a4aa405c62f77</t>
  </si>
  <si>
    <t>51cba1b5fdb80bc203f6518de9c6f61b</t>
  </si>
  <si>
    <t>5415bb9225dcfdd04378a8539f3abc5b</t>
  </si>
  <si>
    <t>b1ff97c6fc97e8838b3937b17914b9c6</t>
  </si>
  <si>
    <t>c796d7d8c6d230fed6a67b4c47f1053f</t>
  </si>
  <si>
    <t>e2129a670dbc89c7daf565be7363720a</t>
  </si>
  <si>
    <t>ac2f323702c367e8299be4568c67db17</t>
  </si>
  <si>
    <t>25daacc16d52bbff269fc0d4deea4ff3</t>
  </si>
  <si>
    <t>0b070eefe78b61747dcd4123779526b1</t>
  </si>
  <si>
    <t>94bb35b394dac661201133230de5099f</t>
  </si>
  <si>
    <t>d39db9301293282c0705a3bfac267f8f</t>
  </si>
  <si>
    <t>a281d42d02bd376d528ed6d4d5569b5c</t>
  </si>
  <si>
    <t>f3147784ac988edc8a97d45501909a78</t>
  </si>
  <si>
    <t>0e708a364fd1cb0b41962ed730c774f0</t>
  </si>
  <si>
    <t>9d8a4e7cc0ad6486687932828cf75cc6</t>
  </si>
  <si>
    <t>ec42b7a8a0e2658321d53e00e54328fb</t>
  </si>
  <si>
    <t>2683e56a3cfc7d961a1210fdd7ea3337</t>
  </si>
  <si>
    <t>6e1617343838c0004bca13ab447f2b4e</t>
  </si>
  <si>
    <t>29a62515800481c5a6e1f2ec25c86e9f</t>
  </si>
  <si>
    <t>5517c462d0325ce71b5d17d9892de324</t>
  </si>
  <si>
    <t>a2d0de6f8a64f00a92da5a854c375955</t>
  </si>
  <si>
    <t>d04aa048243c3e6ebd382f08189a5b4e</t>
  </si>
  <si>
    <t>e43b9b654ff2f878c08fcb759022ce7d</t>
  </si>
  <si>
    <t>d1d6c50a2d22be754a8260cb081172d8</t>
  </si>
  <si>
    <t>dc16a6834978fc4e7fb0fb74d4795ccf</t>
  </si>
  <si>
    <t>a2b31ac6aa3ed0fd17ee20caeecf9818</t>
  </si>
  <si>
    <t>5e43f6227867eb1f8e1f52e873e3b936</t>
  </si>
  <si>
    <t>c8dc536ce1434040607094b4da76454e</t>
  </si>
  <si>
    <t>132f3134285701c1777a3f63e56ceaca</t>
  </si>
  <si>
    <t>a6411db6fcf2ead783f97ad393d9a4b1</t>
  </si>
  <si>
    <t>6c6ebf073248f36568425c080aad0581</t>
  </si>
  <si>
    <t>923e78283abf9809dfcd88286f596a6e</t>
  </si>
  <si>
    <t>c55e49fcb7c28638ca38f034cf2336f9</t>
  </si>
  <si>
    <t>f16458819de97249aee5afb433f47ac0</t>
  </si>
  <si>
    <t>1517748d168e26534c2cdfc5cda66c83</t>
  </si>
  <si>
    <t>61f8e6c26fddbad4dbc905d0e03cdbb4</t>
  </si>
  <si>
    <t>77061dba64028361521875fa338a9d64</t>
  </si>
  <si>
    <t>73b4f36d52bd53b64168c66e71a0b4d7</t>
  </si>
  <si>
    <t>805ee7ad5c5ba6e9e70d9ba6f14c4aa6</t>
  </si>
  <si>
    <t>1f1f5e325283cc12a5039222a9afd0f9</t>
  </si>
  <si>
    <t>401e234b1cc783496e8add6ac3e68bd8</t>
  </si>
  <si>
    <t>371b0d1119826b963df4122cf1a24021</t>
  </si>
  <si>
    <t>f4f30bfec8152c8b8bfaf5000d4ca9a8</t>
  </si>
  <si>
    <t>bbad441aacd0122e24cdeab829fa6462</t>
  </si>
  <si>
    <t>acc7d72b6f7fde864da505cacb871094</t>
  </si>
  <si>
    <t>834fa5432faadc8c5e452850b13112ad</t>
  </si>
  <si>
    <t>5626f05d7ba0e0229641c69379eb4137</t>
  </si>
  <si>
    <t>f7850168302649cb57f3bd480c2fcb9f</t>
  </si>
  <si>
    <t>60e3395ecbd56cb1864a9bf1351e9505</t>
  </si>
  <si>
    <t>ac3aa0cee703e8f917211ebfdcfef374</t>
  </si>
  <si>
    <t>fa84b4610d579b71f416cc0fa6fd7064</t>
  </si>
  <si>
    <t>68eb0a43d613e1ce849bd2786c7baffe</t>
  </si>
  <si>
    <t>aad367f9705bb8b2d907873780ffe807</t>
  </si>
  <si>
    <t>365526b83244aa5cca31632fee47324d</t>
  </si>
  <si>
    <t>9a2ebf89271da82882532e958f341d0d</t>
  </si>
  <si>
    <t>8a797b0c6178b08c5fe28f53d5b50f72</t>
  </si>
  <si>
    <t>1c34f6872ffd3d58691c3605c8d905be</t>
  </si>
  <si>
    <t>ef126dac3baad18b625532fd37adc366</t>
  </si>
  <si>
    <t>b17cb45d0f1e4d57ee8049a0072a22ff</t>
  </si>
  <si>
    <t>d77728bbbe70c122806a0377ba5b5f2f</t>
  </si>
  <si>
    <t>49dbdc274d7e2a224c98b776004dfed2</t>
  </si>
  <si>
    <t>68d0ae596f45525e93764b28a9506974</t>
  </si>
  <si>
    <t>65dace5cd09578459d04f467cbc98767</t>
  </si>
  <si>
    <t>62fa869d289bcc360e99261ac9e0b6eb</t>
  </si>
  <si>
    <t>b33d58ca30f6171de37b7676b1f35e66</t>
  </si>
  <si>
    <t>dbaee0a399508c44bef1eed26f853d9a</t>
  </si>
  <si>
    <t>ed9bc976876a310ee7a6419ea57308ee</t>
  </si>
  <si>
    <t>66f4332b1323ed19af5e7a20adaf9ce7</t>
  </si>
  <si>
    <t>804d219530a22d265538de482327cdcc</t>
  </si>
  <si>
    <t>ef0963843b55ae3956274661703567b4</t>
  </si>
  <si>
    <t>297fcf137b0fb6aa47c12db7d1a60be5</t>
  </si>
  <si>
    <t>2ca013816737a9b1b156092e8dfade3d</t>
  </si>
  <si>
    <t>880e730b54d0f49e7a90f58339e8b123</t>
  </si>
  <si>
    <t>a75f39b835bce892c30594aa928e440b</t>
  </si>
  <si>
    <t>5ba566a5847c58dd14ca12e66359119f</t>
  </si>
  <si>
    <t>76bb23353b695d6802a4f18352f3f45a</t>
  </si>
  <si>
    <t>44a097f648910ac7d1b52db6c9ad184e</t>
  </si>
  <si>
    <t>b45f808a37e97892ef29b7302b64b90b</t>
  </si>
  <si>
    <t>dc8600be8e4f53e66b5a8393f0da3cdb</t>
  </si>
  <si>
    <t>b92d9db59f0bcea350827be7a49035b9</t>
  </si>
  <si>
    <t>0490cd7426cf1a452a03e97111b48a17</t>
  </si>
  <si>
    <t>cbb5db329de914fc902db8328b905a66</t>
  </si>
  <si>
    <t>f593904ea9fb3503c77988c0f6b2a5ac</t>
  </si>
  <si>
    <t>10c2eff2766ee31b0ab5496e5a5b37ab</t>
  </si>
  <si>
    <t>16b4b08c43b95646c4233e25ece82876</t>
  </si>
  <si>
    <t>876d3a5dbbc93b65dcc820b21a99a919</t>
  </si>
  <si>
    <t>906dcd3c61a966102ef1c02d1f1d6cf9</t>
  </si>
  <si>
    <t>fad656ea30262da3cf57870c38e23017</t>
  </si>
  <si>
    <t>a3d3858c3b4c6f1dfbe10b640f4ad953</t>
  </si>
  <si>
    <t>937505093fa2f117ff994e16d952094a</t>
  </si>
  <si>
    <t>5191f1dd54e02621818247dda01749ae</t>
  </si>
  <si>
    <t>a883820c833f344a76e478c8960a7f4b</t>
  </si>
  <si>
    <t>d33ff941fb7ca83d5ae60d9186970927</t>
  </si>
  <si>
    <t>7c05c7b75910634f2a17ca7936570b8b</t>
  </si>
  <si>
    <t>89b3c23e9ee4931eac86a8eb541ac99e</t>
  </si>
  <si>
    <t>4057b9e90d5a927fa873339bd7553363</t>
  </si>
  <si>
    <t>3cdb633ed89d15013a2d0ff218eee5fc</t>
  </si>
  <si>
    <t>fd0e3a9deda18dd4d2cdb2eac46df8a2</t>
  </si>
  <si>
    <t>d61dff314457df5fac16d717f4d994ee</t>
  </si>
  <si>
    <t>1d461d12fc24b5a41608df4e6eb6fb1d</t>
  </si>
  <si>
    <t>db10d5b5eb1b351bdc23df2437b499df</t>
  </si>
  <si>
    <t>0d5ef7971eff9d70be95708077e5c320</t>
  </si>
  <si>
    <t>9fd1c53974eec359ed48c13b87428a1f</t>
  </si>
  <si>
    <t>158fe78c2ffa032d32f2c3ab07bdb662</t>
  </si>
  <si>
    <t>e6c4d491e681bdef41a01240528470dd</t>
  </si>
  <si>
    <t>95c5dc4daae97a154433871f22f7f58e</t>
  </si>
  <si>
    <t>c1f5c51ec1f46e20e4c08e4585946c34</t>
  </si>
  <si>
    <t>db0054b6aaa92f32d7e6ee3aa6797302</t>
  </si>
  <si>
    <t>a2aeb62d821287a6d2288d681a9175b2</t>
  </si>
  <si>
    <t>57c030a38cd9abb6e5c8d983e0136c7d</t>
  </si>
  <si>
    <t>ed670a9ea14be76d5fa7017e0b936f2c</t>
  </si>
  <si>
    <t>8315ea976d402b05d325327057fe19e1</t>
  </si>
  <si>
    <t>182558656aceaf22026637ecd25bbbe3</t>
  </si>
  <si>
    <t>505b3ae674977d8d06e28077bd89c26d</t>
  </si>
  <si>
    <t>5a3579ae6565e0ae861995c414d5032a</t>
  </si>
  <si>
    <t>3d1a41c520e5a4399db58051b3e67f15</t>
  </si>
  <si>
    <t>f60650d8f131a59674fb7704eda20e86</t>
  </si>
  <si>
    <t>47bd1934c6e557d76b59149b71632499</t>
  </si>
  <si>
    <t>b84b29cc8cc0958a007b10d6f6150ec0</t>
  </si>
  <si>
    <t>d3d527daaa2a2afb1594e7bcf1e9e49a</t>
  </si>
  <si>
    <t>74f34e548fd6664b93287c19750f6cf1</t>
  </si>
  <si>
    <t>29d7b4f6bcfe47337d9a8bf1562579a5</t>
  </si>
  <si>
    <t>d625608b969e9ec49ee67493697e9c73</t>
  </si>
  <si>
    <t>e80b4e1b81d16f0b03dd9862b9cd8523</t>
  </si>
  <si>
    <t>46aa021d2b25823c80b3dc78fa01c146</t>
  </si>
  <si>
    <t>ac5443b9cfb247b25fd4c67f781887eb</t>
  </si>
  <si>
    <t>1d776c703ef682038d17795fd491a45e</t>
  </si>
  <si>
    <t>0a656950dc571b30b3c736ef889cae91</t>
  </si>
  <si>
    <t>e2ce2b7ba693a99905263cd70909c1a5</t>
  </si>
  <si>
    <t>e1a8e91032ef1d40e079d0b0748caa00</t>
  </si>
  <si>
    <t>7507e5d1b1453da0bf7152cf8c33b84b</t>
  </si>
  <si>
    <t>16dcbb200c797a0cf25eb03eed53996f</t>
  </si>
  <si>
    <t>ac4792e891ed9e89f0b8ec75673edd84</t>
  </si>
  <si>
    <t>56d193edae25d78856558c61a365db44</t>
  </si>
  <si>
    <t>7f978a9b240db83dbbf7b5d593ccb5d0</t>
  </si>
  <si>
    <t>295a9b753bbde4425ae825f1d9a680f6</t>
  </si>
  <si>
    <t>808e6d5439069634d6f2501fe906daea</t>
  </si>
  <si>
    <t>fff596fe8747c079bcbef895fde35fe5</t>
  </si>
  <si>
    <t>23d090f144665aa3b1b7d513a9c752ab</t>
  </si>
  <si>
    <t>99731822910bc42dbe1b599a26b7e65b</t>
  </si>
  <si>
    <t>e32027a64ce90c8c094eba6dd0a6872c</t>
  </si>
  <si>
    <t>1c4899466bc385f36e6fbe6c9e1ffc91</t>
  </si>
  <si>
    <t>bd1f925b26011db76d942ccca5e5963e</t>
  </si>
  <si>
    <t>6f15ff87f47a957be90b642580f7b98a</t>
  </si>
  <si>
    <t>81eb25b04396e118487953a98bfd96aa</t>
  </si>
  <si>
    <t>c1c72d8dc32c3fcddd1115414ef92434</t>
  </si>
  <si>
    <t>fbdbfca7e377a37b53adb158cff6ab3a</t>
  </si>
  <si>
    <t>8e553ff0c74ce354d4e3d79e74c8359f</t>
  </si>
  <si>
    <t>cc7a2fc4f14c675947a0abf759c90607</t>
  </si>
  <si>
    <t>6c5088d90c50a414c9c5caffb503c70f</t>
  </si>
  <si>
    <t>3b37246ecd5845175f8def1fccabdec6</t>
  </si>
  <si>
    <t>2dd2652652b7924b86e4a188d6bd44f6</t>
  </si>
  <si>
    <t>f642431c5646773b2b3ac0b479b8f433</t>
  </si>
  <si>
    <t>a055cd8e909de2c3c06856614e034f66</t>
  </si>
  <si>
    <t>c27e826c51334b626ca389f4869aca74</t>
  </si>
  <si>
    <t>0c0b4aab26b8263595ccf4e87a0cc7e2</t>
  </si>
  <si>
    <t>1d8e260dd72aeb17d1efa00585749960</t>
  </si>
  <si>
    <t>be3a16145ce35d3aafa946a8e74e7190</t>
  </si>
  <si>
    <t>db97c0a1fd364851c2f8b46746b32dd5</t>
  </si>
  <si>
    <t>42145898b5edd8c6813c8eb88ee3c10c</t>
  </si>
  <si>
    <t>7b0c3b3fbcc13d10a7b33a4daf301b3e</t>
  </si>
  <si>
    <t>2f5328883f9b093f7667f95c2a9b5b0a</t>
  </si>
  <si>
    <t>b961f0173761752453758ce323978643</t>
  </si>
  <si>
    <t>0401e65f8fe0f02ffd6ed706d780a4e6</t>
  </si>
  <si>
    <t>54058ca6ac300986838339a203b624a4</t>
  </si>
  <si>
    <t>044daa6e9002e22b6bb00db172d63452</t>
  </si>
  <si>
    <t>d5a39b4d6e69400c3b059d0064f82a51</t>
  </si>
  <si>
    <t>6f3530d161fa2ae7972a487220ae8051</t>
  </si>
  <si>
    <t>6e56dd1563dc9410c91ca0fd36af2bce</t>
  </si>
  <si>
    <t>8005963a3f3b9637432f430276730e3a</t>
  </si>
  <si>
    <t>4e12c7c1d5d1da5a9987f9dda25e8a2d</t>
  </si>
  <si>
    <t>34d279b8a49b3a0af15bc34e97a480eb</t>
  </si>
  <si>
    <t>1fe9db93cd9d8c348b3b1120abe5a932</t>
  </si>
  <si>
    <t>99865cdae8e561e62bbb8c2f3cac06e9</t>
  </si>
  <si>
    <t>c154c19aa2e1fe41ef7235d16e1407ea</t>
  </si>
  <si>
    <t>e9cf5250910dd9e3a1a7d0e3dedd52fa</t>
  </si>
  <si>
    <t>756f0c122c578989c39420618beaf38c</t>
  </si>
  <si>
    <t>0f192e859b1030696f5cd14b6e91a237</t>
  </si>
  <si>
    <t>30bec1b180140ee548d231b28eb695d4</t>
  </si>
  <si>
    <t>8d58fc32b49b3d7631a0a3f6d1f9a444</t>
  </si>
  <si>
    <t>2feec2863f6ea6f1c7f6ab8429024712</t>
  </si>
  <si>
    <t>c8b53884b122192a427730c185953e92</t>
  </si>
  <si>
    <t>ec273c2831fd2473c063b3875a9c114d</t>
  </si>
  <si>
    <t>08accb9a3f95483d085198c21d8348fc</t>
  </si>
  <si>
    <t>d267010a9c75fc50661ee2b568d2088f</t>
  </si>
  <si>
    <t>8cab0ceff6042de049c43845e4b3f5e9</t>
  </si>
  <si>
    <t>cb98cfdc9603987263b5be2347c0fe34</t>
  </si>
  <si>
    <t>867c90c4de43db795001c0ce727fd6d8</t>
  </si>
  <si>
    <t>0d103c746704d597ee7264e7f2ef4b12</t>
  </si>
  <si>
    <t>28f4c588d8cb792ab1fe92fbc34f4de1</t>
  </si>
  <si>
    <t>d0c57fa7109499d1857761ba7868989c</t>
  </si>
  <si>
    <t>960588e84c9cac120789f7b822ce55bf</t>
  </si>
  <si>
    <t>8a7a27b96cdb4092c5b6f6f82c86fe80</t>
  </si>
  <si>
    <t>d47abdc8b791ea206c6268a5f92a762c</t>
  </si>
  <si>
    <t>43c6c52132c25f613a1b182ac53afba7</t>
  </si>
  <si>
    <t>ed398f341ca3e1ec29727198fc196a9f</t>
  </si>
  <si>
    <t>e9e2809168d01a3933de1fe97d06a920</t>
  </si>
  <si>
    <t>f275f988605154bbea5802e56e1804da</t>
  </si>
  <si>
    <t>c451c301e524215c590ec8fff031fe7a</t>
  </si>
  <si>
    <t>f47730207f6eec688343426004d4e13c</t>
  </si>
  <si>
    <t>6e80ed32cd4c80d9b6418d7dafd9a873</t>
  </si>
  <si>
    <t>9be18546f8c2b44c1778dbcc6024e29f</t>
  </si>
  <si>
    <t>95488f66a749e1de62148a64a125182c</t>
  </si>
  <si>
    <t>71c5ead3d4c1b9440b8ca18bbfce5495</t>
  </si>
  <si>
    <t>1fa396e5cec2d316d622c1f86bf0fa8f</t>
  </si>
  <si>
    <t>7898c4a215cd120fa96048db206eb3e2</t>
  </si>
  <si>
    <t>835376becbdda19707bfdf35d8e7f605</t>
  </si>
  <si>
    <t>744f9e0c3a488557d32690778055f626</t>
  </si>
  <si>
    <t>3e284b7fe36cd4530f1a1f931750949b</t>
  </si>
  <si>
    <t>21d37c2b7e2642acae4788cb366eef34</t>
  </si>
  <si>
    <t>fd14cbd50cfbf67b34ebd95b32a6508e</t>
  </si>
  <si>
    <t>aa7be9699118de2624b114942a2f1d87</t>
  </si>
  <si>
    <t>49bc85c9fc5a042868bac51f2e9d8c0d</t>
  </si>
  <si>
    <t>75676fda058e54e6ee71a37b2854d5c5</t>
  </si>
  <si>
    <t>20823765d4a108f70a6c5508b4d995fa</t>
  </si>
  <si>
    <t>7c43dc5df6a19de129f58165530144eb</t>
  </si>
  <si>
    <t>0b4f9834ee99550f9a2b691cf2378212</t>
  </si>
  <si>
    <t>fd9230489894420e3dd8205c5e5ed47e</t>
  </si>
  <si>
    <t>860c438c693afd1ca72e448934b314ed</t>
  </si>
  <si>
    <t>378e77786f489543894e0ee5a0f92ada</t>
  </si>
  <si>
    <t>e5281a4491eb5e625d4841395b51faf3</t>
  </si>
  <si>
    <t>c03446f30df24429d03b9aab5bd8352c</t>
  </si>
  <si>
    <t>87d261f63b4f98cdaa4c98811ab78140</t>
  </si>
  <si>
    <t>46eb318e282ac8c96160285478cfad71</t>
  </si>
  <si>
    <t>052ba252ee5bdb6874c0d9b611e8ba74</t>
  </si>
  <si>
    <t>398872c5cfa56701fc54f29ee867cdf7</t>
  </si>
  <si>
    <t>0e23a7c01cbb3241796d6cbf8835b978</t>
  </si>
  <si>
    <t>a4a064deccbb5888da9ba3257935d485</t>
  </si>
  <si>
    <t>4cc27f8369e2e960c24e403afc424f55</t>
  </si>
  <si>
    <t>9bb5776da941f753a59f523f8d95ab50</t>
  </si>
  <si>
    <t>c9190072213936c6b715785ef97965fb</t>
  </si>
  <si>
    <t>2a4046c24acb344002ebc82ec5c27921</t>
  </si>
  <si>
    <t>b7285330427ff5806e15d67bdd2c4435</t>
  </si>
  <si>
    <t>9a0dc1d0c3c0c803a97e51ba21dfb5ce</t>
  </si>
  <si>
    <t>ab6cc450b04643879428bc8bea255fcf</t>
  </si>
  <si>
    <t>f880bdfbcf915d56428b99e93b8d21ee</t>
  </si>
  <si>
    <t>58a3f6ca7125c15e438970667b66672e</t>
  </si>
  <si>
    <t>66158e8949e7342d4d9f74f00edc1185</t>
  </si>
  <si>
    <t>8ed47622e8d64736916ed84fdf4dc173</t>
  </si>
  <si>
    <t>41f9bccd943d3746dac44fbc85e1d1c7</t>
  </si>
  <si>
    <t>59f333e36efca4a503f71622deebfb02</t>
  </si>
  <si>
    <t>2aada1bdf048285f3d6b9148d710845b</t>
  </si>
  <si>
    <t>8020dc4ba15c3a5e5ecb5141b9277390</t>
  </si>
  <si>
    <t>afc5b23908070b95ff854a4bd84170a1</t>
  </si>
  <si>
    <t>f6d62bc8c7a4b60555f61d2a4335ae2e</t>
  </si>
  <si>
    <t>a47a130c763b1fbc45ebfbf12bb21254</t>
  </si>
  <si>
    <t>000765c77e460ff4aba94b312a17e13e</t>
  </si>
  <si>
    <t>36151001d94fafde0dc27bae92cdb633</t>
  </si>
  <si>
    <t>5a894e3faac02d0b0e8ab5def91aedb1</t>
  </si>
  <si>
    <t>75c6dee33657106181a3a476bf60efe9</t>
  </si>
  <si>
    <t>0eb864f2d2330dc39e692ad1031ed8a7</t>
  </si>
  <si>
    <t>6b0f557d526a73c5388defd1ff3164e9</t>
  </si>
  <si>
    <t>905129d7609649b3b50c81f0a180ebc8</t>
  </si>
  <si>
    <t>cced9068f3e222e1eaeefb684bcd41ff</t>
  </si>
  <si>
    <t>f91935a700ef70dd5ff1cdce80087acc</t>
  </si>
  <si>
    <t>e4b745c7c8b648bb0bcda51f629fe520</t>
  </si>
  <si>
    <t>0ec30c0032a22a49a24ff289fae07d46</t>
  </si>
  <si>
    <t>b8ab68ad7d3390f2e32eb23e05fb8488</t>
  </si>
  <si>
    <t>07fcf6d9cc42bd85b574764515cd0794</t>
  </si>
  <si>
    <t>ad3fea36c794bf6d04f0e4ff63d45b37</t>
  </si>
  <si>
    <t>1fb3c2484836c16f3e9a9615a665d6ad</t>
  </si>
  <si>
    <t>49040da579997de9d69a564fbe7fda9a</t>
  </si>
  <si>
    <t>60af345f7c7ef1fa67f09a1eaaeef42b</t>
  </si>
  <si>
    <t>ebd9b1c1c7bf0b3181ec331a5a078523</t>
  </si>
  <si>
    <t>f04238179fd959489c752fc0247ce76b</t>
  </si>
  <si>
    <t>47ca29f01f492deab6ec8d4eac492568</t>
  </si>
  <si>
    <t>ade23df514b1ee0408ab653f4aa45570</t>
  </si>
  <si>
    <t>2757929b1b7ff410d61af327cdbe2381</t>
  </si>
  <si>
    <t>ae7658be71ecd1373a0ba5ee04847090</t>
  </si>
  <si>
    <t>3c2701fcaa6d7e5821dabf101869e6a3</t>
  </si>
  <si>
    <t>4c3ef2ae6902ee832aa27e8a9f4d010e</t>
  </si>
  <si>
    <t>fa0b2b8d7df3a2b7373f48a1e93251db</t>
  </si>
  <si>
    <t>2c6040cda1d3a6a85b0e50aa07ec624d</t>
  </si>
  <si>
    <t>f043d7db27bc690be0f89c56d31110a6</t>
  </si>
  <si>
    <t>e0cd2253be99ac8b10607db323e76418</t>
  </si>
  <si>
    <t>6c46aeb0937ac0064d79d6220e5df40e</t>
  </si>
  <si>
    <t>92dc0047849bbdcd745f12364a4b22db</t>
  </si>
  <si>
    <t>8e652a4b01a906da8dfb187dfddb2e78</t>
  </si>
  <si>
    <t>8acd26dac131837f58a914e818d1e8a5</t>
  </si>
  <si>
    <t>5667618a2df14cedf079e0e21d2935f3</t>
  </si>
  <si>
    <t>d8e61b6ad5e6b415c43c682a08c4ca7a</t>
  </si>
  <si>
    <t>383ca39ed4a855182a35ffc45409b938</t>
  </si>
  <si>
    <t>aa8eef74d8b88e43905c3ea4f55ee76b</t>
  </si>
  <si>
    <t>a127623a28257f5e0d887ff2b4790e83</t>
  </si>
  <si>
    <t>082b21bcac96ba3219b3889d1e0615e4</t>
  </si>
  <si>
    <t>d7f2d08f7f6ef45f4ba1f98d150f53cd</t>
  </si>
  <si>
    <t>657bcea8b8d3b85583a6cef7073d8489</t>
  </si>
  <si>
    <t>6c250a3b1c189c5bb9a1a6ecf2b29448</t>
  </si>
  <si>
    <t>2cbf504855ec50944e2cfad726bf353f</t>
  </si>
  <si>
    <t>0a9c2f4acafdb78235c8671761f07b08</t>
  </si>
  <si>
    <t>753b2ff1112eba17362868e661207023</t>
  </si>
  <si>
    <t>964423bd9a038163e238d38a59a550cd</t>
  </si>
  <si>
    <t>3ec1ff78112deed1b668ab850d239a40</t>
  </si>
  <si>
    <t>e984056d3e9f398c266f5cf67f1d58b5</t>
  </si>
  <si>
    <t>d6095a29837b5cdb1fe7b52d7f39da07</t>
  </si>
  <si>
    <t>d9eb318a7d98110c42dc4074001e17a8</t>
  </si>
  <si>
    <t>112c7a87379eb573d6972b4612d7c551</t>
  </si>
  <si>
    <t>f2849ffbdf8769f7edbdeccffa458b74</t>
  </si>
  <si>
    <t>510cdcaa779801cb364e813e470f182a</t>
  </si>
  <si>
    <t>5b72237d74c201dffa22585bc1866029</t>
  </si>
  <si>
    <t>a010ceae2e0d0bcfbbb67ebec4d265da</t>
  </si>
  <si>
    <t>b8337e9c56daa0d784e00d00e1f7aeee</t>
  </si>
  <si>
    <t>7a7bd3289e7d33c11e46ba99eae08fd2</t>
  </si>
  <si>
    <t>aeb67d820dee2d9d6934c7afa544f0a1</t>
  </si>
  <si>
    <t>3560496b13c34ac17a32b36f5c5e1088</t>
  </si>
  <si>
    <t>1bf9e9d21d1b8cfae54a859082b6bb09</t>
  </si>
  <si>
    <t>9540911a13c9a2a966572f0b261d3b13</t>
  </si>
  <si>
    <t>8c1a9106e39f40060071e30421a2bcb5</t>
  </si>
  <si>
    <t>e6a70aa5661ffbefcff0e10a44d8e013</t>
  </si>
  <si>
    <t>9afbc09a1e086e5820d93e526ba7bb65</t>
  </si>
  <si>
    <t>99e291eb2ba4dcf759bfb48b6653ff5c</t>
  </si>
  <si>
    <t>a27b2ea9bce8535dca26cb4817bcf623</t>
  </si>
  <si>
    <t>48db042af35deac222bb0540c83ea9a1</t>
  </si>
  <si>
    <t>74859094a51bbcdc9c1404840838fec2</t>
  </si>
  <si>
    <t>db088541c2a5a4bc65e882070d6b7e0e</t>
  </si>
  <si>
    <t>9bb2125364d02c096b1e1d24c8b23a8b</t>
  </si>
  <si>
    <t>529b542aa2558d22ba9da02673d6bafc</t>
  </si>
  <si>
    <t>4d4f2c4ce54cc4ad362be0f327dbcd05</t>
  </si>
  <si>
    <t>77a5a7de44a5707134d96020be2973b5</t>
  </si>
  <si>
    <t>7bf3512cacef334387023f967686ccec</t>
  </si>
  <si>
    <t>eb231aed70f6d8b82ac1f2fb06cb60c1</t>
  </si>
  <si>
    <t>1e560e2c1e9fcafac14a91a82279a9ad</t>
  </si>
  <si>
    <t>30b5d8e2d82b3149dad768956f0ea8d6</t>
  </si>
  <si>
    <t>b1ee54c9d68524394ce3cfc87ccf5966</t>
  </si>
  <si>
    <t>127a8d26087023b0babdee4f4c186e81</t>
  </si>
  <si>
    <t>8674fb354cddfe0f230ee8f776a7e7f9</t>
  </si>
  <si>
    <t>84fd19e8122cd60a8fa3b2fe691cd984</t>
  </si>
  <si>
    <t>8bc78bacc0eea70aaeb4fed19d548f68</t>
  </si>
  <si>
    <t>beea9747b343bc3f3c6bd2e39a972dab</t>
  </si>
  <si>
    <t>a557e29c95e156f0b7fb4f1d3fac70c2</t>
  </si>
  <si>
    <t>f9c907054f8c91df0acdf614bd7a8f33</t>
  </si>
  <si>
    <t>d824d339a6955ac955a1045c937168ae</t>
  </si>
  <si>
    <t>97699154b126dfb52705c39b4fbc3316</t>
  </si>
  <si>
    <t>b43d2322c29f325d3b93eb79864f855e</t>
  </si>
  <si>
    <t>68e821b9e5cb0958cb383fe4a478f8cb</t>
  </si>
  <si>
    <t>a2d7b1d01e67e435f7344d69c58958d5</t>
  </si>
  <si>
    <t>722bd135f472b66e8232ffc7332d112f</t>
  </si>
  <si>
    <t>a78a534bab059a1b76accff6b5aea61d</t>
  </si>
  <si>
    <t>5bc37f610930d139db67951b573e0505</t>
  </si>
  <si>
    <t>636c7e0f6af45aee3ed52b9ca5de80cf</t>
  </si>
  <si>
    <t>7ea4723b4850678e8b4fd0c54b71cf17</t>
  </si>
  <si>
    <t>5e6573c796a569c35d6656d9563622c6</t>
  </si>
  <si>
    <t>59dc67204b6ad340eb1da14d38610cbb</t>
  </si>
  <si>
    <t>90a1860fbfc2e86993868b2aee42b3c4</t>
  </si>
  <si>
    <t>c3329db467f719596c6d82c8e0f4139a</t>
  </si>
  <si>
    <t>89a00c3d8e4fe105683ba4926368d600</t>
  </si>
  <si>
    <t>a12bb2fcb8d7a997414df81e674dcc3e</t>
  </si>
  <si>
    <t>1f47869c0fe36a1d16053efd8c375b6f</t>
  </si>
  <si>
    <t>f5969fee67f9e2d9eb1b96432b011dcd</t>
  </si>
  <si>
    <t>bb6060ca2288a4d752d9a85ff84fabb2</t>
  </si>
  <si>
    <t>7c5e380c419884a49e1dbeef8a9414bf</t>
  </si>
  <si>
    <t>c23c471f42ba689b77816c056dd7cf6c</t>
  </si>
  <si>
    <t>0ce4aa113c14b171177aa541747fbca2</t>
  </si>
  <si>
    <t>31e4c0b79a7997ea1bc833e5a12e9bb7</t>
  </si>
  <si>
    <t>8034e2dfc17dbc5f77e0973abc773901</t>
  </si>
  <si>
    <t>533eda9ed841f90e3c2c5e9d98fa3832</t>
  </si>
  <si>
    <t>ac87b9e54fcaca3b1ab0a983522fc005</t>
  </si>
  <si>
    <t>eec308106709a570be0e69cdd7de8409</t>
  </si>
  <si>
    <t>327c6b141dc450b628dfa05c7daef72b</t>
  </si>
  <si>
    <t>139114d98a2a141dca06778fbc261915</t>
  </si>
  <si>
    <t>5b795aec8b53e985234f033d5ee76cd1</t>
  </si>
  <si>
    <t>a67d00d02b8654524034d3a09337ce12</t>
  </si>
  <si>
    <t>1e256ab7744e35ab301ed163d2cd6546</t>
  </si>
  <si>
    <t>d1f5c25da8b6d950269d78030f3ec880</t>
  </si>
  <si>
    <t>37b6a0ea973b1d769fbdd34050831e59</t>
  </si>
  <si>
    <t>3c50fd4bbef655c2aa5517be59fbf8d7</t>
  </si>
  <si>
    <t>27017cb30faf1d112f96c1771edae3e6</t>
  </si>
  <si>
    <t>9c3f293d450845d9a3562c25cf09cf2e</t>
  </si>
  <si>
    <t>0330be402af3d0ab308168d3f54128cc</t>
  </si>
  <si>
    <t>f0cc03da07951b7170794300fd607d7b</t>
  </si>
  <si>
    <t>3fc76195f605ae5db17a03437e2f1c6d</t>
  </si>
  <si>
    <t>65a262cfd0a1e634b3c120da1e863012</t>
  </si>
  <si>
    <t>86cbf74701fe21cb887762c332e5c8a9</t>
  </si>
  <si>
    <t>1102ceb72d34d024b809c11b7e64b727</t>
  </si>
  <si>
    <t>75131e107bde278111862270b8eb8cfb</t>
  </si>
  <si>
    <t>816d7803b6df2edcb09f348d71d72c49</t>
  </si>
  <si>
    <t>f1bf09e606123612e7a07cddc034c36a</t>
  </si>
  <si>
    <t>9ce2ff704ec0be69eb6811673a85157b</t>
  </si>
  <si>
    <t>733cc9405461e70ee7432f7efb7486c7</t>
  </si>
  <si>
    <t>79af796118ef452167ef3e8e80b5ab14</t>
  </si>
  <si>
    <t>36af9b9dc08f9490ca0c76be9ec30045</t>
  </si>
  <si>
    <t>89145881ca383a37b6cdbc1aa85a2365</t>
  </si>
  <si>
    <t>048fa2b3b41503502ca12ac9c28ed283</t>
  </si>
  <si>
    <t>9433baf2500b04e2aedee6830bf20a00</t>
  </si>
  <si>
    <t>d6b138f00c946cc03f5e597238c7f12f</t>
  </si>
  <si>
    <t>9c24ec18c29069a1174b4bbd7239ed36</t>
  </si>
  <si>
    <t>ee4b651893529ecea164efae0b3e225b</t>
  </si>
  <si>
    <t>008066b848b74df15c712b6d613f8eb8</t>
  </si>
  <si>
    <t>79fab7771116379b0443247c76381764</t>
  </si>
  <si>
    <t>52c3165e5eade7a9e90d62409c929fab</t>
  </si>
  <si>
    <t>6a933b61a93f1ca250b7991cc02fca49</t>
  </si>
  <si>
    <t>27b8497a8fc2d03f77fbdb35d8f4b306</t>
  </si>
  <si>
    <t>6435c9637448ff46b4a6d96bcc429b06</t>
  </si>
  <si>
    <t>b9d4171acca1c83eec1c9194e3b69faa</t>
  </si>
  <si>
    <t>22a0f5870121693e29fefd260373ae49</t>
  </si>
  <si>
    <t>518128abccc455d1abc915437cdf1f90</t>
  </si>
  <si>
    <t>af407c6aa0d609b54636d5197bcd2127</t>
  </si>
  <si>
    <t>3cddb7858b1d30542535bedcb0f7c054</t>
  </si>
  <si>
    <t>54b0a70705682dc73986aedae8bfa4d0</t>
  </si>
  <si>
    <t>60d247f10818e0fc888c844280b8ff3c</t>
  </si>
  <si>
    <t>b5e8c232589bfc6ca8158d7215f79683</t>
  </si>
  <si>
    <t>58de30132fb0395c4e86a682a53a400c</t>
  </si>
  <si>
    <t>b2cdfeb2d6ae2001c154cd2195f51f61</t>
  </si>
  <si>
    <t>fce8d29e8d74369ff70d0bedea49a948</t>
  </si>
  <si>
    <t>cfdd478e1eb4d2b60e3abcaad3ed2f99</t>
  </si>
  <si>
    <t>bf72a04fe8bffca794700eef23abc44e</t>
  </si>
  <si>
    <t>1e77134f1373312777c15deee1a759f3</t>
  </si>
  <si>
    <t>11277c8e407d9c9ef777baa074b4bf10</t>
  </si>
  <si>
    <t>891d498fab5178e7b503ca4c232298f7</t>
  </si>
  <si>
    <t>02196847d8f67c6313158bce5731c31b</t>
  </si>
  <si>
    <t>7fce6c9032979f3fbbede33c5d183f5f</t>
  </si>
  <si>
    <t>6a6fa2458caacad3b86fd24371bd6baa</t>
  </si>
  <si>
    <t>592869ccd53f8b8b02866b57c465039e</t>
  </si>
  <si>
    <t>7a7331b70b6775fd00d6d4ade47a5906</t>
  </si>
  <si>
    <t>a2782cd47c315993ea25711f5037dfed</t>
  </si>
  <si>
    <t>df31f617d1c1e3052e383a1bc5f7b12c</t>
  </si>
  <si>
    <t>d6c8956b0bd31d8f2045312ec0698b29</t>
  </si>
  <si>
    <t>e0f4582a88f36f772af2420dee154098</t>
  </si>
  <si>
    <t>4c83f41a716f19e6f847e44997b730ce</t>
  </si>
  <si>
    <t>751c289e8106d870989f5510b1cc75f5</t>
  </si>
  <si>
    <t>ca5301a164e66187b10a85c0d23b311f</t>
  </si>
  <si>
    <t>19a93a2ee2e67b2b2e6bbf38aeb15c3c</t>
  </si>
  <si>
    <t>13a0e02d206bb819988f67f03303d241</t>
  </si>
  <si>
    <t>bb91547fe61220d52d3e82ed3d04999f</t>
  </si>
  <si>
    <t>a267486446b67e76856fe4da5f7f3d3a</t>
  </si>
  <si>
    <t>839f2d53bbe4be51d0a193e1d41f95ce</t>
  </si>
  <si>
    <t>580caf092b3e558cfe60572da15ef5fb</t>
  </si>
  <si>
    <t>67cf2229e1c4cb8d15c6c53a807f886e</t>
  </si>
  <si>
    <t>6f07c88da5d470a5312013554a08dd25</t>
  </si>
  <si>
    <t>ef6a7701e4b960cb4a6b08a1507f554c</t>
  </si>
  <si>
    <t>9da3f591c1b56db453ea98bef1db8ea7</t>
  </si>
  <si>
    <t>49d7584fb1a6cd5a13b2d5b25f0ab34a</t>
  </si>
  <si>
    <t>18a4d4bc3d41ff4dcd17ef9325c0defb</t>
  </si>
  <si>
    <t>dca23e21f927c9d2b722507df87cc081</t>
  </si>
  <si>
    <t>82b83db5fdc6df47d384b24b290e73e7</t>
  </si>
  <si>
    <t>17b226816fe965e00b5fdb5597078c1c</t>
  </si>
  <si>
    <t>e293e8879a2c75583c5bb34e4c46c662</t>
  </si>
  <si>
    <t>71bb1b7ac52fd07814356ac88a09d95e</t>
  </si>
  <si>
    <t>d796c26a77fc429f289831848ccfe817</t>
  </si>
  <si>
    <t>16cb0c522f63b149d437f1fac4f9391a</t>
  </si>
  <si>
    <t>d7c957f8a0b662800bd72d558507d414</t>
  </si>
  <si>
    <t>d649e22ed65c1b2233d60228386c9f45</t>
  </si>
  <si>
    <t>34c558644d8b1bc7339cdccd98d0daa5</t>
  </si>
  <si>
    <t>b997f8810d213a5f97c19160d0925223</t>
  </si>
  <si>
    <t>80fa75841c2e32c24573a4685cc19af5</t>
  </si>
  <si>
    <t>2d850fadfd7fb30da8161fae6a5fe586</t>
  </si>
  <si>
    <t>3f305405638bb175233bcde80b266e37</t>
  </si>
  <si>
    <t>f40824eafa9bd2156dbcb7b32a9fbb7a</t>
  </si>
  <si>
    <t>72e1cca5b0aa21bc1254d2a39ea14d60</t>
  </si>
  <si>
    <t>def002cca88f6f0a7e4ca0a0d266156c</t>
  </si>
  <si>
    <t>b09f571376bb07a27d6356b3eac5a039</t>
  </si>
  <si>
    <t>317096c33bc93348092eb362736412d6</t>
  </si>
  <si>
    <t>1dc3deb8f4c26e22387b188aede38e89</t>
  </si>
  <si>
    <t>cd4db3f9486c76121848bd16edbfa56e</t>
  </si>
  <si>
    <t>610222d6b4665f23e824218fc3f8a3fe</t>
  </si>
  <si>
    <t>62ab30a4eac84fcdc04cf026def6b36c</t>
  </si>
  <si>
    <t>645596db0378734ef4bf37bdd2bf650a</t>
  </si>
  <si>
    <t>478c9bca5f8cf786cda018343328d208</t>
  </si>
  <si>
    <t>23ebf6b835d24fac40598d821c123470</t>
  </si>
  <si>
    <t>7ec0986d251a3692de6131b9cf67ebc0</t>
  </si>
  <si>
    <t>1a762674bc6652cb5f263402f8af067e</t>
  </si>
  <si>
    <t>55f3d96f1d63a5c84c7a381d52d31013</t>
  </si>
  <si>
    <t>d4caac96fc737e8fa0626bb66d71aced</t>
  </si>
  <si>
    <t>9c33eac280b6cd46df7591c5e2f2f88f</t>
  </si>
  <si>
    <t>0dde871743a9316e0ed65cfff795b287</t>
  </si>
  <si>
    <t>89da1f896a721ee7d571473f07a057ee</t>
  </si>
  <si>
    <t>c9850b52507b1cfa3ce4280802e0dbca</t>
  </si>
  <si>
    <t>7c397362a87d8cf6a137a56f745fc62e</t>
  </si>
  <si>
    <t>fc4f375af44111150c2be9e0fc76fbfe</t>
  </si>
  <si>
    <t>88cb498b075567236b4655fafb046af2</t>
  </si>
  <si>
    <t>43b25ef45f7c5e69bf1d73eeb4118817</t>
  </si>
  <si>
    <t>79caa32a4229328fac425f7283596c78</t>
  </si>
  <si>
    <t>85c175ba052671d86f507c444455d4c9</t>
  </si>
  <si>
    <t>3383a4684a68955a04f5049cea323720</t>
  </si>
  <si>
    <t>198cc6aa8357a1ca15125be88298d223</t>
  </si>
  <si>
    <t>443e9d553ed206fcf9c6acdcc6a0adf6</t>
  </si>
  <si>
    <t>81218fd47ee256cb0c7c167b309d1885</t>
  </si>
  <si>
    <t>d6ecc04b18bd13ed7ac568a5f729295b</t>
  </si>
  <si>
    <t>d979a5d161d26b87b6a3353a944db89f</t>
  </si>
  <si>
    <t>d6433d6e5fd3c9dc793a210afef06ec8</t>
  </si>
  <si>
    <t>0407282bdf2c0e200a96fd201adc53e3</t>
  </si>
  <si>
    <t>f1c166da4d0b056ccd827085cd0c0435</t>
  </si>
  <si>
    <t>bf300d03b137bc72d85db28195ce9610</t>
  </si>
  <si>
    <t>ba754c04efc172d8b981bd29b1a637f2</t>
  </si>
  <si>
    <t>c56d71c7d4146e96cb47341e1ed52d75</t>
  </si>
  <si>
    <t>fc3ede8ef28d4463bb44e188ec6986b8</t>
  </si>
  <si>
    <t>cebeafe35006a3787e7558a53ecff590</t>
  </si>
  <si>
    <t>50b39c5ad114c8696e9430afe95108c6</t>
  </si>
  <si>
    <t>357f9dfab3a7407a1e7f635f11c3e3ee</t>
  </si>
  <si>
    <t>1b828ce1fcd9af058d10b82bdf1f3732</t>
  </si>
  <si>
    <t>cb6e9990d7b3be569491370f3280bd71</t>
  </si>
  <si>
    <t>7a945b925480d245247cc746291acfb3</t>
  </si>
  <si>
    <t>6deb4b246012fc4db897cb941615038e</t>
  </si>
  <si>
    <t>9fef6a51c6d81a2e5688257939775348</t>
  </si>
  <si>
    <t>ecf23ac90c25b47e285c7927558746a4</t>
  </si>
  <si>
    <t>6aa1313e7eebe41d3f4070995f55b19c</t>
  </si>
  <si>
    <t>566d81b3771ad75c10cc5b801a0a064e</t>
  </si>
  <si>
    <t>d5e013a5a9c6f3cd4f655080a6942cb0</t>
  </si>
  <si>
    <t>6f7d3a34da5f2ba81703849d69e256bd</t>
  </si>
  <si>
    <t>ab5bc5fa12138d939760ab872f4ee346</t>
  </si>
  <si>
    <t>2366c7bbebe8a8821e36a61c3f5996bc</t>
  </si>
  <si>
    <t>a02d6f1f2105a53eb7eec241362035eb</t>
  </si>
  <si>
    <t>28376b6dec0ff55ff4bd520ac976b144</t>
  </si>
  <si>
    <t>54446c7af9768f5b4ba672d3df265918</t>
  </si>
  <si>
    <t>6a91a7913bdb4a06077c9e0d4fa925c9</t>
  </si>
  <si>
    <t>f745a61ba6782dd02102c5a6661761e2</t>
  </si>
  <si>
    <t>ac57eb8ee07ebb10ebb324ca19b5e1f6</t>
  </si>
  <si>
    <t>64c4bfe66add42d7279efb9eb524e3e0</t>
  </si>
  <si>
    <t>8e103b105d7cc0602b2bda55dc3e9a90</t>
  </si>
  <si>
    <t>8733d121b0c6ec6ceb945ed2311ee2f6</t>
  </si>
  <si>
    <t>b905e9b956186247724631eb256e68a7</t>
  </si>
  <si>
    <t>d86b9c3f0f2f90e97ba27e66960c15b4</t>
  </si>
  <si>
    <t>d1b0f22f49aa9dd3f9a23ea56d137879</t>
  </si>
  <si>
    <t>7dd318c86dd30a4d1c3f772d9865f4b5</t>
  </si>
  <si>
    <t>4d5d58e8779df51a0319ee3eeccd4889</t>
  </si>
  <si>
    <t>d630cbae321fb5b0bd443f01780a6ca5</t>
  </si>
  <si>
    <t>ea68d3265f225e937022c2265d6918b0</t>
  </si>
  <si>
    <t>9e90f97ff0a006a4f4984fcd0bbabc93</t>
  </si>
  <si>
    <t>ef56413891f63b0a63e66afec94ed26d</t>
  </si>
  <si>
    <t>88dd0e15b31743f663e1e0945bdf5546</t>
  </si>
  <si>
    <t>b07a20c146b4e89515664de7579e64b6</t>
  </si>
  <si>
    <t>9cb2200886eb48135e65221a8c18b8a4</t>
  </si>
  <si>
    <t>cdd3cef15207a3c42cf3d928f67e8b94</t>
  </si>
  <si>
    <t>50095f030401140fa17691f9b9da744e</t>
  </si>
  <si>
    <t>8ceed6b68580320fff78df33ba1c2e70</t>
  </si>
  <si>
    <t>31680429b389f3873a0d6052f49eb368</t>
  </si>
  <si>
    <t>be76d0cfbe0e3af255ce4caafa5e89ca</t>
  </si>
  <si>
    <t>055ef225e2c03550ad08424e3c394c22</t>
  </si>
  <si>
    <t>c94a222dd93c70af417c095f87a6c896</t>
  </si>
  <si>
    <t>784b3bcf251d14b7d8989ff147b139e2</t>
  </si>
  <si>
    <t>94de3ca7f3bc6a53d6022ce71a8a2923</t>
  </si>
  <si>
    <t>ae67398d01b82b6d451b74c158ea521f</t>
  </si>
  <si>
    <t>e90fe386246bdcb44813118d0de9065e</t>
  </si>
  <si>
    <t>4de0f80f3d79c62c38c4d561c7054d35</t>
  </si>
  <si>
    <t>5af9aead261ecc7352c886b7a897d040</t>
  </si>
  <si>
    <t>7439b2c107031195ea8b9293acf44be6</t>
  </si>
  <si>
    <t>5700be917f55c895e02822b8527a79ba</t>
  </si>
  <si>
    <t>deff837877b8df51ef7eafc589d440f0</t>
  </si>
  <si>
    <t>9a7b8c0186c611907a2cfe88b0892102</t>
  </si>
  <si>
    <t>153fbe32f59efaea0027a46635d9ca87</t>
  </si>
  <si>
    <t>6fda8042a525843d67ce310fec29e037</t>
  </si>
  <si>
    <t>70185acc014a82e3203d1e464e12474d</t>
  </si>
  <si>
    <t>e25e504352e37c683f79d3c574bce3ca</t>
  </si>
  <si>
    <t>7a306ca43b07550bd4545e24e24f2ec6</t>
  </si>
  <si>
    <t>28a1ef298a4275f1af820caa5f71a1f5</t>
  </si>
  <si>
    <t>24545dd7170dd7d6ae586f7e9a3902ba</t>
  </si>
  <si>
    <t>abe13c00221b6706be054ff0d483758f</t>
  </si>
  <si>
    <t>66a6159e8839d07890a8034f10a2fd42</t>
  </si>
  <si>
    <t>474feb50b15ad39cbe08416224c623e3</t>
  </si>
  <si>
    <t>213dd8aed9c9a0c528b527aaac6d8c40</t>
  </si>
  <si>
    <t>5cd9c5d0896801e69c0e5a14207536fa</t>
  </si>
  <si>
    <t>e0cbce630c36daf786ff0ecc6c38379d</t>
  </si>
  <si>
    <t>a78ae17fec39e86147097f016d0715b3</t>
  </si>
  <si>
    <t>e001a3bf7a3c84a5cace962967f6d423</t>
  </si>
  <si>
    <t>e75ba3e3cb883eb3ce8efe0e10fea35b</t>
  </si>
  <si>
    <t>0520f292dea22326b4bb1709f6e95b9b</t>
  </si>
  <si>
    <t>4870916ca223b1420fe375a2f4e06fe6</t>
  </si>
  <si>
    <t>9c5dea49a123aa8de8b9713df3492c5a</t>
  </si>
  <si>
    <t>234cb4ecd3cecc1e1ff522d2ae1344dc</t>
  </si>
  <si>
    <t>1ee0639304ea78b778a4e62b31c628f3</t>
  </si>
  <si>
    <t>7c072e1181f1a75ce5e66f628c2b2419</t>
  </si>
  <si>
    <t>6948eda87f80c52df46b485b2e07280b</t>
  </si>
  <si>
    <t>a5e020935f51c7b5229978dc9333d556</t>
  </si>
  <si>
    <t>0d3f0f3e372cf8efe640ac49e2755ea2</t>
  </si>
  <si>
    <t>432e0f88861ac895508e09f595ade258</t>
  </si>
  <si>
    <t>446453fddb015c5c7185deb524b151f4</t>
  </si>
  <si>
    <t>e661bbcd811473a293736ac9ac5fe87d</t>
  </si>
  <si>
    <t>686ca7ab194766a96c87030fc8df29ca</t>
  </si>
  <si>
    <t>a61f27e4b687ff9663337b7736edc81f</t>
  </si>
  <si>
    <t>2e60fb029c808c94023469c6ee48425c</t>
  </si>
  <si>
    <t>7edc59f1f7b491ccedca887a265d5b6f</t>
  </si>
  <si>
    <t>4feaa266fd59ae1d2d9cadd7838c735c</t>
  </si>
  <si>
    <t>d796c3c89a8a947bb41859a0c501adfc</t>
  </si>
  <si>
    <t>60b655c852fe6f4f18be08f288f1dd00</t>
  </si>
  <si>
    <t>9593ad2894e84b7881bd60c2a2cc9caa</t>
  </si>
  <si>
    <t>74b1bf00dae2ccfc4223262471048b4c</t>
  </si>
  <si>
    <t>0fc36e76ea93665b7b11315ce1115b96</t>
  </si>
  <si>
    <t>27aa90ff3c2d3132df2cfe31fc7779ff</t>
  </si>
  <si>
    <t>f4c47fd2d63f92827ca8184eefbaa9cd</t>
  </si>
  <si>
    <t>f388a85d5b300985ee2fd89fd9c5f4ed</t>
  </si>
  <si>
    <t>f736e7d473b350528b0a6440a4d8d624</t>
  </si>
  <si>
    <t>b46eb29124bc4e27635e4b034cda8072</t>
  </si>
  <si>
    <t>ba011ffb38c2f983ecab46dc77123d52</t>
  </si>
  <si>
    <t>25a14aa033fe04f187601b15b13999c5</t>
  </si>
  <si>
    <t>049afdb2ce9be7882ce21cd96e5ce9e7</t>
  </si>
  <si>
    <t>79b98070c1b4ee7a46296c1b9aaf765d</t>
  </si>
  <si>
    <t>d6f7a6bac33ca9934835bbfbbb6ec905</t>
  </si>
  <si>
    <t>771369392155faead930c408ae7433a6</t>
  </si>
  <si>
    <t>69f581e098e67ac71b232630d297448b</t>
  </si>
  <si>
    <t>a61fecefd81cc5667c9047bc768f83d6</t>
  </si>
  <si>
    <t>e87dc09914e7b35085870d4f2d5516f7</t>
  </si>
  <si>
    <t>f6e5ceb4de072c9738f5fd788bdb4057</t>
  </si>
  <si>
    <t>512edd2e0162f9ab48a4d86d72d5405c</t>
  </si>
  <si>
    <t>0c800e8dea9fc89c3cedb281b19cf76f</t>
  </si>
  <si>
    <t>44646850dc6ccb0a9b607ac0ce12ebd2</t>
  </si>
  <si>
    <t>de9b22851722c12c34752b27e3978da3</t>
  </si>
  <si>
    <t>ae334f98a54b37578fb0279ea288f34d</t>
  </si>
  <si>
    <t>1a426b0784a137d6a234e188e5f38312</t>
  </si>
  <si>
    <t>39829e03f5b63dc423acb78b2474e9da</t>
  </si>
  <si>
    <t>d80ddbde81577e8f9bdfcd3bd613fb77</t>
  </si>
  <si>
    <t>495cc8112d01e2d382138467ecd2b87f</t>
  </si>
  <si>
    <t>36c0c77c88d43f19b9e40cdb5402dede</t>
  </si>
  <si>
    <t>3e7dbff7759babb2aa9742dbcdc15fed</t>
  </si>
  <si>
    <t>9b47cd38a83d83af27fd5eb58b827c80</t>
  </si>
  <si>
    <t>951f5c3298aead8a81260d30e13cbd79</t>
  </si>
  <si>
    <t>85ad4c749e66360cecdf313543a16e67</t>
  </si>
  <si>
    <t>adee8fae74380ec4ca464ce6f557db7c</t>
  </si>
  <si>
    <t>0a2bc5d0f195b119fbaf6b680406177e</t>
  </si>
  <si>
    <t>6607676946b13320985e45a75a87b70e</t>
  </si>
  <si>
    <t>015f8407bad717ab8776de50264b3fd6</t>
  </si>
  <si>
    <t>7ae99b2ad18580a6802e20b46d79d0a5</t>
  </si>
  <si>
    <t>129eaaa47ddb67b1e2ae12563aa00ec6</t>
  </si>
  <si>
    <t>fe8f3a1a25de3472912c15a3cdce907e</t>
  </si>
  <si>
    <t>548452c15eb561240cfdd5a2ea69bf8e</t>
  </si>
  <si>
    <t>f9381d3e6994297de24ed6f6a47b86d9</t>
  </si>
  <si>
    <t>1c6b0931e92a5c39501ba4de43f4ed35</t>
  </si>
  <si>
    <t>534a9d3f996dbe901f439bd4a54442c0</t>
  </si>
  <si>
    <t>d5d7da2fd94219271c48c4edbc97b7b2</t>
  </si>
  <si>
    <t>ae090ab1bf8c73437231f6854fc46a08</t>
  </si>
  <si>
    <t>83a87c80ed8d520d4fd9dae3731c46f0</t>
  </si>
  <si>
    <t>eeacb5a3d2c154d4751f44b35941f5bb</t>
  </si>
  <si>
    <t>1f32fedd4ae7468b4f66aaec8f1d4a21</t>
  </si>
  <si>
    <t>c13a8cfe20cfcd224802921ccdaa812d</t>
  </si>
  <si>
    <t>d10647255705576f5c94d0f8af2338e0</t>
  </si>
  <si>
    <t>b75d7c4f9177d527c7ce3563edc0b000</t>
  </si>
  <si>
    <t>fadac5c7b4e91f0b8c10f7cb976882d4</t>
  </si>
  <si>
    <t>c453b7a582038b5edac2ee8b727e4b44</t>
  </si>
  <si>
    <t>b784e8ce29dfedcf7833465cd1be0f24</t>
  </si>
  <si>
    <t>b1a2c4a1a6cf9aab98d98191b1235ac0</t>
  </si>
  <si>
    <t>713b1c6d490fe58f1d83743318e19001</t>
  </si>
  <si>
    <t>48a9f797f3a2ca21d0ab9e67e1927223</t>
  </si>
  <si>
    <t>bc85100c5ec8c9e17970e57eae3fceb0</t>
  </si>
  <si>
    <t>43b875083132fc4a9d59ace49e2028c3</t>
  </si>
  <si>
    <t>b6029f1e4eb161d0dfad3394674c6e0c</t>
  </si>
  <si>
    <t>482b05f3aeb6dc47680133283ac80aa6</t>
  </si>
  <si>
    <t>4bbf1231dfe90c292124ae28ed18c63d</t>
  </si>
  <si>
    <t>22f33b4871e112a5250eb3f6d216eafa</t>
  </si>
  <si>
    <t>762898644b1abaf38b19192522814932</t>
  </si>
  <si>
    <t>df83bca33c7b0bbdb58caa286839f06c</t>
  </si>
  <si>
    <t>5c81e6ae6340f0cc522fa690d2666009</t>
  </si>
  <si>
    <t>efd014da7b4dca7f900cc4bedf561063</t>
  </si>
  <si>
    <t>6f1c2c904c4a1dd70e6e1fff72eb3491</t>
  </si>
  <si>
    <t>f55c3b23596a9229577f1db0eda22eb7</t>
  </si>
  <si>
    <t>d062082760511d3bfd7f410c6e4cf7ae</t>
  </si>
  <si>
    <t>2537572253e6ab47bf860d6029d3e0c7</t>
  </si>
  <si>
    <t>48f6e0496dc05332ff3dabd146c57075</t>
  </si>
  <si>
    <t>c9112194355796d78a818dfc476ba44d</t>
  </si>
  <si>
    <t>6e2ee09892aa370777c9aac7f5869464</t>
  </si>
  <si>
    <t>be6a7d5b7a1307ad1bd34c21166951ed</t>
  </si>
  <si>
    <t>7f272db49f80fb19dded0e07cda2f01c</t>
  </si>
  <si>
    <t>2325def8a5fef92392d42249af438a04</t>
  </si>
  <si>
    <t>9bb9fa8ee3b3a83dbbc09c8b8a6d60f2</t>
  </si>
  <si>
    <t>72ee3cb943026e8338598e7b637a579e</t>
  </si>
  <si>
    <t>a82d0e455e21865404b6623d3620505d</t>
  </si>
  <si>
    <t>cff5c56bb1bb473b40a3078a1912f4ca</t>
  </si>
  <si>
    <t>72aed404a97c04d751bcf2f32ceaeffa</t>
  </si>
  <si>
    <t>676e7413d5533e496aec35c53450d975</t>
  </si>
  <si>
    <t>21ea51b08de692872da59592f5228999</t>
  </si>
  <si>
    <t>e955c663eef3df35c8cbcd0d7f0f2d10</t>
  </si>
  <si>
    <t>6e4f105bcbe605f7762be5587f613ae5</t>
  </si>
  <si>
    <t>44dd51d4cd96a2c21d07d0ba5a4deed9</t>
  </si>
  <si>
    <t>04916ee790ab65c6268edd6a73ac3dba</t>
  </si>
  <si>
    <t>1c2f3ad52d735017d08e5ab7d3993899</t>
  </si>
  <si>
    <t>8f67ad69efe3f24ecacd0ea2a15af3be</t>
  </si>
  <si>
    <t>8424e3d8927517a776dc1a8f5e28309c</t>
  </si>
  <si>
    <t>413ebe82c60cfe95f5d5f3a36993e93c</t>
  </si>
  <si>
    <t>342364156a62da37ca832fcce5bf583c</t>
  </si>
  <si>
    <t>52d642343d200680c59e8cd28ee3737b</t>
  </si>
  <si>
    <t>6d8b65db555dacf1d4a6d05f021a5ceb</t>
  </si>
  <si>
    <t>96effa94f2fa906aba3657df941a8787</t>
  </si>
  <si>
    <t>884ce5ff3f2448c457c5b91c841cc08a</t>
  </si>
  <si>
    <t>6f7d60a6bbb720f0a55b142f5ff64b78</t>
  </si>
  <si>
    <t>ba835704526ad72955851f7dc11e67f8</t>
  </si>
  <si>
    <t>e9c70ba08c3a81e83f72ae4c4158e4bb</t>
  </si>
  <si>
    <t>416f00138a4ed1b12f8a968c80aea1a5</t>
  </si>
  <si>
    <t>c96940bc0f882a8e65e5f0cd48af185b</t>
  </si>
  <si>
    <t>aca8b0483f35a2be5d489fb5c79fb0cc</t>
  </si>
  <si>
    <t>154c40d30a0e4d464b64c20f9d303733</t>
  </si>
  <si>
    <t>9dfb38b8b5cf71ee5a3ca583e526b20d</t>
  </si>
  <si>
    <t>0596cd930fd16f206c5cc7cfca70d4ed</t>
  </si>
  <si>
    <t>dc04102ecd7ef872d0d493426579e888</t>
  </si>
  <si>
    <t>4897038c52c1d0416990e2dc6dea7306</t>
  </si>
  <si>
    <t>e3f156d3760c8d365d2334e539c8c9e9</t>
  </si>
  <si>
    <t>9c7627a48872f33f0e1fa403f006ce55</t>
  </si>
  <si>
    <t>fc4a95d8fe826d644f610c7cde77b1cc</t>
  </si>
  <si>
    <t>dd8094950f1247a76a3e7db0e7430208</t>
  </si>
  <si>
    <t>43838a875a7095fc32b672eded690708</t>
  </si>
  <si>
    <t>a35a852fb55f1f79da6912df6451df9d</t>
  </si>
  <si>
    <t>8846ba4ee2600a3c573c7194b07010b9</t>
  </si>
  <si>
    <t>2cfc4ee47c112e559f9d54b145dc2c40</t>
  </si>
  <si>
    <t>1de29db7bf8aa9ea6c9866af7ec9bdbc</t>
  </si>
  <si>
    <t>283313ffa2bc2f7737a39a1ce457662e</t>
  </si>
  <si>
    <t>8f318e11d10c57cb6ad014bac1e33874</t>
  </si>
  <si>
    <t>1e6a494b1de8d5e5b4e1e1bf9adc5249</t>
  </si>
  <si>
    <t>17864b7062927b84ef7bf0414b136d80</t>
  </si>
  <si>
    <t>9ec273fa3e5d6f35496bd0ca49142abe</t>
  </si>
  <si>
    <t>5a771eec825c7f2dfe729d53b4d22b1e</t>
  </si>
  <si>
    <t>96fabd606191335655dcfe772b6c971f</t>
  </si>
  <si>
    <t>cf89ba1c1a97c7366f6bf43b189d4b3b</t>
  </si>
  <si>
    <t>bbc9c2bbd9157c48bcf8286d33c65936</t>
  </si>
  <si>
    <t>a55d2efff2ae47adfa1ac1267d82347f</t>
  </si>
  <si>
    <t>ada1aa4a3a8f6ac2c3568ad6e71f1a3a</t>
  </si>
  <si>
    <t>169ec6d76d463c4ac9ca3e359d1ac416</t>
  </si>
  <si>
    <t>a6af184e38f796c028e166569fa25cb6</t>
  </si>
  <si>
    <t>4d9ba607e15ef1059f0933e586f209b6</t>
  </si>
  <si>
    <t>b8bab1a0be04dd924728e9162fa9b495</t>
  </si>
  <si>
    <t>43572509b1c3bbe31826aff7c263b73d</t>
  </si>
  <si>
    <t>a26f14777c2d18b50670caf82c106724</t>
  </si>
  <si>
    <t>ef79218faaac20a9c62760a283b285b5</t>
  </si>
  <si>
    <t>5d050a082c91a67a7933b73f2a03ef52</t>
  </si>
  <si>
    <t>0a615362e2b66a80fa75eb37010aee83</t>
  </si>
  <si>
    <t>823155bd200847164f0afd67d9879e20</t>
  </si>
  <si>
    <t>74e592a8eba53a39a75ccf3df3ec49c2</t>
  </si>
  <si>
    <t>f8e236904918da059ccfa44fbd0c79b3</t>
  </si>
  <si>
    <t>13486af74aaa52c2c20d5b45cc612759</t>
  </si>
  <si>
    <t>133e1eb9dc4c58a01de1d4665fc056a5</t>
  </si>
  <si>
    <t>86e0fa842a0d204543e8bdda307f1b74</t>
  </si>
  <si>
    <t>5fa8815f7fcfdaf3ba1073edf418b29e</t>
  </si>
  <si>
    <t>096eb2d6d5a9df9d41c78ca600636846</t>
  </si>
  <si>
    <t>34c85914789bf0480db3178a8a042ee6</t>
  </si>
  <si>
    <t>f7dd9bc9a97883e184a359e4c08f9dbc</t>
  </si>
  <si>
    <t>db83a6b07256a32c30112403239813c2</t>
  </si>
  <si>
    <t>6e1b1e78e6dc302bd41844c5c6464191</t>
  </si>
  <si>
    <t>5ad39645292e12594fb5aba3307167ba</t>
  </si>
  <si>
    <t>ace022d6a74d4743f0833bed0ba57b44</t>
  </si>
  <si>
    <t>86492557115063a3dd2ccc1193956b5a</t>
  </si>
  <si>
    <t>ca5897b2af92fd15425fb50f17f0b568</t>
  </si>
  <si>
    <t>78deadb91971b251cee3ffffb810d4b1</t>
  </si>
  <si>
    <t>0896a2e48d7d8cd87a2aafa700af1b8f</t>
  </si>
  <si>
    <t>9da171d2a76db538e947fb2c6957c24a</t>
  </si>
  <si>
    <t>2d72b5b04982a1a79cf4b887647ebf57</t>
  </si>
  <si>
    <t>dabfb99fabd576a6f71673ab20bae0c1</t>
  </si>
  <si>
    <t>5e174019438398abf2c3d8e41c0469a5</t>
  </si>
  <si>
    <t>2d6589d6903e34dc2f62f23e206deddf</t>
  </si>
  <si>
    <t>1d8cae1780d46519ff450095be08c735</t>
  </si>
  <si>
    <t>22be244a3c98992a3ef1ee025a60babb</t>
  </si>
  <si>
    <t>871fe115ad8447f7089308ec00783655</t>
  </si>
  <si>
    <t>kg CO2e of Unspecified per unit2</t>
  </si>
  <si>
    <t>Contributor Contact</t>
  </si>
  <si>
    <t>3.07. Commuting</t>
  </si>
  <si>
    <t>"Scope 3.7"</t>
  </si>
  <si>
    <t>3.07. Teleworking</t>
  </si>
  <si>
    <t>hours</t>
  </si>
  <si>
    <t>Further Characteristics</t>
  </si>
  <si>
    <t>EF (kg CO2e/unit)</t>
  </si>
  <si>
    <t>EF CO2 (kg CO2e/unit)</t>
  </si>
  <si>
    <t>EF N2O (kg CO2e/unit)</t>
  </si>
  <si>
    <t>EF CH4 (kg CO2e/unit)</t>
  </si>
  <si>
    <t>Emissions CO2 (kg CO2e)</t>
  </si>
  <si>
    <t>Emissions CH4 (kg CO2e)</t>
  </si>
  <si>
    <t>Emissions N2O (kg CO2e)</t>
  </si>
  <si>
    <t>EF Unspecified (kg CO2e/unit)</t>
  </si>
  <si>
    <t>Emissions Unspecified (kg CO2e)</t>
  </si>
  <si>
    <t>Heat and Steam</t>
  </si>
  <si>
    <t>3.06. Hotel</t>
  </si>
  <si>
    <t>3.03. Stationary Combustion</t>
  </si>
  <si>
    <t>3.03. Mobile Combustion</t>
  </si>
  <si>
    <t>3.03. Electricity</t>
  </si>
  <si>
    <t>3.03. District Heating</t>
  </si>
  <si>
    <r>
      <rPr>
        <b/>
        <sz val="11"/>
        <color rgb="FF125359"/>
        <rFont val="Calibri"/>
        <family val="2"/>
        <scheme val="minor"/>
      </rPr>
      <t>GENERAL INTRODUCTION</t>
    </r>
    <r>
      <rPr>
        <sz val="11"/>
        <color rgb="FF125359"/>
        <rFont val="Calibri"/>
        <family val="2"/>
        <scheme val="minor"/>
      </rPr>
      <t xml:space="preserve">
This document serves as a simple, free-access tool for computing a company's Corporate Carbon Footprint (CCF). It has been designed by experts at Five Glaciers Consulting, with a strong focus on climate and sustainability topics.
The tool calculates emissions for scope 1, scope 2, and scope 3 according to the guidelines set by the Greenhouse Gas Protocol, while scope 3 downstream categories are covered in a simplified form (3.11, 3.12) or as externally calculated totals (3.09, 3.10, 3.13-3.15). The methodology chosen for this model aligns with the stringent demands of several reporting entities like the Greenhouse Gas Protocol, the SBTi, and the CDP, and relies on several reputable emission factor sources. 
The purpose of the tool is to give users an idea of the scale of their company's greenhouse gas emissions. The model may be applied either to all scopes outlined in the tab "CCF Scopes" or for individual scopes only. Data should be entered in the tabs in the "Input Templates" section. Specific instructions are offered per scope. Please make sure to only enter data in blue cells. Grey cells are fixed, and relevant to the calculation process. As soon as data is entered in the input tabs, final emission results should appear in the tab "Results Summary". 
For several scopes, for example 3.01. - Purchased Goods &amp; Services, as well as 3.07. - Employee Commuting, it might be necessary to first organize financial data to match the exact format necessary for an accurate calculation. The necessary structure for data inputs was kept as simple as possible and has been outlined in the respective input tabs. </t>
    </r>
  </si>
  <si>
    <t>Five Glaciers Consulting</t>
  </si>
  <si>
    <r>
      <t xml:space="preserve">SCOPE 1
</t>
    </r>
    <r>
      <rPr>
        <sz val="11"/>
        <color rgb="FF125359"/>
        <rFont val="Calibri"/>
        <family val="2"/>
        <scheme val="minor"/>
      </rPr>
      <t xml:space="preserve">According to the Greenhouse Gas Protocol, scope 1 Greenhouse Gas Emissions (GHG) encompass all emissions from sources that are owned or controlled by the organization. These emissions may come from activities such as: the combustion of fuels in owned or controlled boilers, furnaces, and vehicles; further emissions from company-owned vehicles, process emissions resulting from industrial activities, and fugitive emissions (in the case of this model mostly from refrigerants such as those from air conditioning systems). 
In this model, an organization may report its activity-based consumption of a selection of fuels for either heating or powering vehicles. Depending on the fuel, a selection of several units has also been offered. Furthermore, emissions from vehicles may also be calculated by entering the total distance travelled. It is important to note, that for a single vehicle, consumption may only be reported either by quantity of fuel or distance covered, to avoid double counting. Consumption of cooling liquants that lead to fugitive emissions may only be reported in kg of coolant. </t>
    </r>
  </si>
  <si>
    <r>
      <rPr>
        <b/>
        <sz val="11"/>
        <color rgb="FF125359"/>
        <rFont val="Calibri"/>
        <family val="2"/>
        <scheme val="minor"/>
      </rPr>
      <t xml:space="preserve">SCOPE 2
</t>
    </r>
    <r>
      <rPr>
        <sz val="11"/>
        <color rgb="FF125359"/>
        <rFont val="Calibri"/>
        <family val="2"/>
        <scheme val="minor"/>
      </rPr>
      <t xml:space="preserve">The GHG Protocol defines scope 2 GHG emissions as indirect greenhouse gas emissions resulting from the generation of purchased or acquired energy consumed by the organisation. These emissions can result from: Purchased electricity, purchased steam, purchased heating, and purchased cooling. Although emissions are usually created at the energy generation facility, they are attributed to the reporting company that uses the energy.
In this model, location-based emissions from the acquisition of energy and district heating can be calculated. For electricity, the country of origin and the duration of energy consumption can be specified to more accurately match emission factors. For district heating, only the temporal duration of consumption habits is noted. 
Consumption is usually derived from utility bills provided by each office location. Please ensure that the consumption covers the entire period for which the location was operative. Should data only be available for part of said period, please extrapolate before entering in the model. </t>
    </r>
  </si>
  <si>
    <r>
      <t xml:space="preserve">SCOPE 3
</t>
    </r>
    <r>
      <rPr>
        <sz val="11"/>
        <color rgb="FF125359"/>
        <rFont val="Calibri"/>
        <family val="2"/>
        <scheme val="minor"/>
      </rPr>
      <t xml:space="preserve">Finally, the GHG Protocol defines scope 3 GHG emissions as indirect emissions that occur in the organisation's value chain, outside of Scope 1 and Scope 2. Emissions in this category arise from activities that are not directly owned or controlled by the reporting organization, which are, however linked to its operations. This could include: The purchasing of goods and services, Business Travel, Employee Commuting, Waste generated in operations, the supply and treatment of water, upstream and downstream transport and distribution and, use and end-of-life treatment of sold products.
As previously mentioned, this model only covers the upstream segment of Scope 3 GHG emissions, as the downstream transport, useage and disposal of products varies strongly between entities and professional fields. </t>
    </r>
    <r>
      <rPr>
        <b/>
        <sz val="11"/>
        <color rgb="FF125359"/>
        <rFont val="Calibri"/>
        <family val="2"/>
        <scheme val="minor"/>
      </rPr>
      <t xml:space="preserve">
</t>
    </r>
    <r>
      <rPr>
        <sz val="11"/>
        <color rgb="FF125359"/>
        <rFont val="Calibri"/>
        <family val="2"/>
        <scheme val="minor"/>
      </rPr>
      <t>As the purchasing of goods &amp; services and capital goods, as well as the leasing of upstream assets are spend-based calculations in this model, these categories have been combined in one tab. For these scopes, please divide your organizations spend into the provided categories before entering in the model. All capital goods should be collected in the category "</t>
    </r>
    <r>
      <rPr>
        <b/>
        <sz val="11"/>
        <color rgb="FF125359"/>
        <rFont val="Calibri"/>
        <family val="2"/>
        <scheme val="minor"/>
      </rPr>
      <t xml:space="preserve">Capital Equipment". </t>
    </r>
    <r>
      <rPr>
        <sz val="11"/>
        <color rgb="FF125359"/>
        <rFont val="Calibri"/>
        <family val="2"/>
        <scheme val="minor"/>
      </rPr>
      <t>The country from which this spend originates should also be noted, along with the currency. To match emission factors, all currencies will be converted to Euro. The model will do this automatically as long as the correct currency is given. 
The same spend-based approach was chosen for the upstream transport &amp; distribution of products and has also been offered for business travel in case activity-based data is not available. For Waste generated in operations, the supply and treatment of water, business travel (preferrably), and commuting activity-based data is required. For commuting, these inputs should either result from an internal employee questionnaire, or they should be estimated if no other accurate data is available.</t>
    </r>
  </si>
  <si>
    <t>Fuel used for heating - no activity needed in this column</t>
  </si>
  <si>
    <t>Please fill out fuel consumption. If a fuel was not used, simply leave blank</t>
  </si>
  <si>
    <t>Please choose from the dropdown the unit in which consumption was given if applicable</t>
  </si>
  <si>
    <t>Fixed Cell - No data entry required</t>
  </si>
  <si>
    <t>Description Cell - Explains the requirements for its respective columns</t>
  </si>
  <si>
    <t>CELL COLOR CODING</t>
  </si>
  <si>
    <t>Input Cell - Please enter the information requested in the description cell</t>
  </si>
  <si>
    <t>Consumption relevant to listed scopes - no activity needed in this column</t>
  </si>
  <si>
    <t>Fuel used in company vehicle - no activity needed in this column</t>
  </si>
  <si>
    <t>Fuel for company vehicles may only be entered in liters</t>
  </si>
  <si>
    <t>Please fill out fuel consumption. If a fuel was not used, or consumption was given in liters, leave blank</t>
  </si>
  <si>
    <t>Fuel for company vehicles may only be entered in km</t>
  </si>
  <si>
    <t>Fuel used in heavy goods vehicle - no activity needed in this column</t>
  </si>
  <si>
    <t>Fuel for heavy good vehicles may only be entered in km</t>
  </si>
  <si>
    <t>Coolant used - no activity needed in this column</t>
  </si>
  <si>
    <t>Please fill out coolant consumption. If a coolant was not refilled, please leave blank</t>
  </si>
  <si>
    <t>Coolants may only be entered in kg</t>
  </si>
  <si>
    <r>
      <rPr>
        <b/>
        <sz val="11"/>
        <color rgb="FFC00000"/>
        <rFont val="Calibri"/>
        <family val="2"/>
        <scheme val="minor"/>
      </rPr>
      <t>IMPORTANT NOTE</t>
    </r>
    <r>
      <rPr>
        <sz val="11"/>
        <color rgb="FFC00000"/>
        <rFont val="Calibri"/>
        <family val="2"/>
        <scheme val="minor"/>
      </rPr>
      <t xml:space="preserve">
Mobile Combustion can be calculated for both company vehicles and heavy good vehicles. For both, consumption may be given in EITHER liters of fuel or distance travelled. Please ensure, that for a single vehicle, only either the first table or one of the other two tables is filled</t>
    </r>
  </si>
  <si>
    <t>Up to 10 office locations may be calculated for electricity - no activity needed in this column</t>
  </si>
  <si>
    <t>Please fill out the name of the office location</t>
  </si>
  <si>
    <t>Please use the dropdown list, to specify the country or region in which the office operates</t>
  </si>
  <si>
    <t>Please specify how many days consumption is for</t>
  </si>
  <si>
    <t>Please fill out consumption of kWh from utility bill</t>
  </si>
  <si>
    <r>
      <rPr>
        <b/>
        <sz val="11"/>
        <color rgb="FFC00000"/>
        <rFont val="Calibri"/>
        <family val="2"/>
        <scheme val="minor"/>
      </rPr>
      <t>IMPORTANT NOTE</t>
    </r>
    <r>
      <rPr>
        <sz val="11"/>
        <color rgb="FFC00000"/>
        <rFont val="Calibri"/>
        <family val="2"/>
        <scheme val="minor"/>
      </rPr>
      <t xml:space="preserve">
For the electricity calculation, consumption data should be retrieved from the office's utility bill. These bills often do not cover the full year. In column E "Number of Consumption Days", please fill out the amount of days that the office was operational in the reporting year. If the consumption in the utility bill is for only part of this period, please extrapolate before entering data</t>
    </r>
  </si>
  <si>
    <r>
      <rPr>
        <b/>
        <sz val="11"/>
        <color rgb="FFC00000"/>
        <rFont val="Calibri"/>
        <family val="2"/>
        <scheme val="minor"/>
      </rPr>
      <t>IMPORTANT NOTE</t>
    </r>
    <r>
      <rPr>
        <sz val="11"/>
        <color rgb="FFC00000"/>
        <rFont val="Calibri"/>
        <family val="2"/>
        <scheme val="minor"/>
      </rPr>
      <t xml:space="preserve">
For the district heating calculation, consumption data should be retrieved from the office's utility bill. These bills often do not cover the full year. In column E "Number of Consumption Days", please fill out the amount of days that the office was operational in the reporting year. If the consumption in the utility bill is for only part of this period, please extrapolate before entering data</t>
    </r>
  </si>
  <si>
    <t>Please enter the spend per category in the currency given in column E</t>
  </si>
  <si>
    <r>
      <rPr>
        <b/>
        <sz val="11"/>
        <color rgb="FFC00000"/>
        <rFont val="Calibri"/>
        <family val="2"/>
        <scheme val="minor"/>
      </rPr>
      <t>IMPORTANT NOTE</t>
    </r>
    <r>
      <rPr>
        <sz val="11"/>
        <color rgb="FFC00000"/>
        <rFont val="Calibri"/>
        <family val="2"/>
        <scheme val="minor"/>
      </rPr>
      <t xml:space="preserve">
Scope 3.01 - Purchased Goods &amp; Services and Scope 3.02. Capital Goods are spend-based calculations. To streamline the calculation process, these scopes have been divided into spend-categories. For 3.02. Capital Goods this is "Capital Equipment" and for 3.01. Purchased Goods &amp; Services it is the other twelve categories. Please, before entering your data, categorize your spend. Please enter spend by category in one currency only for automatic conversion in column G</t>
    </r>
  </si>
  <si>
    <t>Please specify the country in which the majority of spend occurred</t>
  </si>
  <si>
    <t>Automatic conversion to EUR for emission factor mapping - no activity needed in this column</t>
  </si>
  <si>
    <t>Spend should be divided into one of the categories from this column - no activity needed in this column</t>
  </si>
  <si>
    <t>Waste Categories - no activity needed in this column</t>
  </si>
  <si>
    <t>Please enter consumption of waste per category in unit specified in column D</t>
  </si>
  <si>
    <t>Please specify the unit of waste disposed. Either in tonnes or cubic meters</t>
  </si>
  <si>
    <t>Automatic conversion from cubic meters to tonnes for emission factor mapping</t>
  </si>
  <si>
    <t>Water useage - no activity needed in this column</t>
  </si>
  <si>
    <t>Please enter consumption of water by organization in unit specified in column D</t>
  </si>
  <si>
    <t>Please specify the unit of water consumption. Either in liters or cubic meters</t>
  </si>
  <si>
    <r>
      <rPr>
        <b/>
        <sz val="11"/>
        <color rgb="FFC00000"/>
        <rFont val="Calibri"/>
        <family val="2"/>
        <scheme val="minor"/>
      </rPr>
      <t>IMPORTANT NOTE</t>
    </r>
    <r>
      <rPr>
        <sz val="11"/>
        <color rgb="FFC00000"/>
        <rFont val="Calibri"/>
        <family val="2"/>
        <scheme val="minor"/>
      </rPr>
      <t xml:space="preserve">
Scope 3.06. Business Travel may either be calculated with activity-based data or spend-based data. The first table in this tab allows for the activity-based calculation of travel, while the second table allows for the activity-based calculation of hotel stays. The final table combines travel and hotel stay for spend-based data. PLEASE MAKE SURE to only fill out either the first two tables or the third to avoid double counting</t>
    </r>
  </si>
  <si>
    <t>Travel Category - no activity needed in this column</t>
  </si>
  <si>
    <t>Please enter distance travelled per travel category in km</t>
  </si>
  <si>
    <t>Distance travelled may only be entered in km - no activity needed in this column</t>
  </si>
  <si>
    <t>Hotel stay may be reported for up to 10 countries - no activity needed in this column</t>
  </si>
  <si>
    <t>Please enter nights stayed in hotels per country specified in column E</t>
  </si>
  <si>
    <t>Hotel stay may only be entered in nights stayed - no activity needed in this column</t>
  </si>
  <si>
    <t>Please specify the country in which the hotels were located</t>
  </si>
  <si>
    <t>Please specify the currency in which spend is reported</t>
  </si>
  <si>
    <r>
      <rPr>
        <b/>
        <sz val="11"/>
        <color rgb="FFC00000"/>
        <rFont val="Calibri"/>
        <family val="2"/>
        <scheme val="minor"/>
      </rPr>
      <t>IMPORTANT NOTE</t>
    </r>
    <r>
      <rPr>
        <sz val="11"/>
        <color rgb="FFC00000"/>
        <rFont val="Calibri"/>
        <family val="2"/>
        <scheme val="minor"/>
      </rPr>
      <t xml:space="preserve">
For Scope 3.07. data collection is often complicated. To approximate distance travelled by employees from and to work, this model requires the total FTE count per location, an estimated average one-way distance travelled to the office, and an approximate share of transportation types. Most accurate results would stem from an employee survey. Should it not be possible to carry out a survey within the organization, please approximate to the best of your ability</t>
    </r>
  </si>
  <si>
    <t>Employee Commuting may be reported for up to 10 locations</t>
  </si>
  <si>
    <t>Please specify the employee count per location</t>
  </si>
  <si>
    <t>Please estimate the share of employees that travel to work by car</t>
  </si>
  <si>
    <t>Please estimate the share of employees that travel to work by Train</t>
  </si>
  <si>
    <t>Please estimate the share of employees that travel to work by Bus and other public Transport</t>
  </si>
  <si>
    <t>Please estimate the share of employees that travel to work by non-emitting transport modes (walking, bike, E-Scooter/Bike</t>
  </si>
  <si>
    <t>This column should add up to 100% - no activity required in this column. Please adust columns D through G if not 100%</t>
  </si>
  <si>
    <t>Please estimate the average commuting distance by company employees</t>
  </si>
  <si>
    <t>Teleworking may be reported for up to 10 locations</t>
  </si>
  <si>
    <t>Please estimate the average days per week that employees work from home at this location</t>
  </si>
  <si>
    <r>
      <rPr>
        <b/>
        <sz val="11"/>
        <color rgb="FFC00000"/>
        <rFont val="Calibri"/>
        <family val="2"/>
        <scheme val="minor"/>
      </rPr>
      <t>IMPORTANT NOTE</t>
    </r>
    <r>
      <rPr>
        <sz val="11"/>
        <color rgb="FFC00000"/>
        <rFont val="Calibri"/>
        <family val="2"/>
        <scheme val="minor"/>
      </rPr>
      <t xml:space="preserve">
In this Upload Sheet all the inputs from the tabs in this section of the model are gathered. After finishing the data entry process, please check the values in this sheet, download it separately, and share it with Five Glaciers Consulting for the calculation of your organization's GHG emmissions according to the following steps:
1.) Open a blank Excel Document either through the "File" menu, or by pressing Command N while in this sheet
2.) Right Click this tab "Upload Sheet"
3.) Choose "Move or Copy"
4.) Select the new document created and check the box that says "Copy"
5.) Give the new document a title and download for sharing with Five Glaciers Consulting staff</t>
    </r>
  </si>
  <si>
    <t>Fuels - DEFRA Factors</t>
  </si>
  <si>
    <t>Passenger Vehicles - DEFRA Factors</t>
  </si>
  <si>
    <t>Cooling Fuels - DEFRA Factors</t>
  </si>
  <si>
    <t>District Heat - DEFRA Emission Factors</t>
  </si>
  <si>
    <t>DEFRA Water Emission Factors</t>
  </si>
  <si>
    <t>CEDA Upstream Leased Assets Emission Factors</t>
  </si>
  <si>
    <t>Row Labels</t>
  </si>
  <si>
    <t>Grand Total</t>
  </si>
  <si>
    <t>Sum of Emissions (kg CO2e)</t>
  </si>
  <si>
    <t>Total Emissions</t>
  </si>
  <si>
    <t>1.) Results Aggregated by Scope and Category</t>
  </si>
  <si>
    <t>Sum of CO2 Emissions (kg CO2e)</t>
  </si>
  <si>
    <t>Sum of CH4 Emissions (kg CO2e)</t>
  </si>
  <si>
    <t>Sum of N2O Emissions (kg CO2e)</t>
  </si>
  <si>
    <t>Sum of Unspecified Emissions (kg CO2e)</t>
  </si>
  <si>
    <t>2.) Results Aggregated by Greenhouse Gas</t>
  </si>
  <si>
    <t>3.) Consumption by Unit</t>
  </si>
  <si>
    <t>Waterfall bis 2040</t>
  </si>
  <si>
    <t>KPIs im Output sheet - Mitarbeiteranzahl, Revenue… intensity metrics</t>
  </si>
  <si>
    <t>Benchmark für intensity metrics - check CDP</t>
  </si>
  <si>
    <t>Hard to abate factors - 10 Unternehmenscluster - CDP</t>
  </si>
  <si>
    <t>Was ist am schwierigsten für sie - für weitere Gespräche</t>
  </si>
  <si>
    <t>Hebel die man da anlegen kann mit uns</t>
  </si>
  <si>
    <t>Unternehmen</t>
  </si>
  <si>
    <t>Berichtsjahr</t>
  </si>
  <si>
    <r>
      <rPr>
        <b/>
        <sz val="11"/>
        <color rgb="FF125359"/>
        <rFont val="Calibri"/>
        <family val="2"/>
        <scheme val="minor"/>
      </rPr>
      <t xml:space="preserve">EINFÜHRUNG
</t>
    </r>
    <r>
      <rPr>
        <sz val="11"/>
        <color rgb="FF125359"/>
        <rFont val="Calibri"/>
        <family val="2"/>
        <scheme val="minor"/>
      </rPr>
      <t xml:space="preserve">Dieses Tool ist eine einfache, kostenfreie Arbeitshilfe, mit der Sie den Corporate Carbon Footprint (CCF) Ihres Unternehmens berechnen. Es wurde von Five Glaciers Consulting entwickelt.
Das Tool berechnet Emissionen in Scope 1, Scope 2 und Scope 3 nach den Vorgaben des Greenhouse Gas Protocol. Die nachgelagerten Scope-3-Kategorien sind vereinfacht abgebildet (3.11, 3.12) oder werden als extern berechnete Summen erfasst (3.09, 3.10, 3.13–3.15). Die Methodik orientiert sich am GHG Protocol sowie an den Anforderungen von SBTi und CDP und nutzt anerkannte Quellen für Emissionsfaktoren.
Ziel des Tools ist eine belastbare erste Einschätzung, wie groß die Treibhausgasemissionen Ihres Unternehmens sind. Sie können alle Scopes oder nur einzelne Scopes erfassen. Die Eingaben erfolgen in den Blättern „Scope 1“ bis „Scope 3 Screening“; jedes Blatt enthält eigene Hinweise. Bitte tragen Sie Daten nur in die Eingabezellen ein (siehe Farblegende rechts). Alle übrigen Zellen sind fest und für die Berechnung erforderlich. Die Ergebnisse erscheinen automatisch in „Results Summary“ und „Results  Dashboard“.
Für einige Kategorien, etwa 3.01 Eingekaufte Waren und Dienstleistungen oder 3.07 Pendeln, müssen Sie Ihre Daten zunächst in die vorgegebene Struktur bringen. Die Struktur ist so einfach wie möglich gehalten und in den jeweiligen Eingabeblättern beschrieben.</t>
    </r>
  </si>
  <si>
    <t>FARBLEGENDE DER ZELLEN</t>
  </si>
  <si>
    <t>Beschreibungszelle – erklärt, was in die jeweilige Spalte gehört</t>
  </si>
  <si>
    <t>Feste Zelle – keine Eingabe nötig</t>
  </si>
  <si>
    <t>Eingabezelle – bitte die in der Beschreibungszelle verlangten Angaben eintragen</t>
  </si>
  <si>
    <r>
      <t xml:space="preserve">SCOPE 1
</t>
    </r>
    <r>
      <rPr>
        <sz val="11"/>
        <color rgb="FF125359"/>
        <rFont val="Calibri"/>
        <family val="2"/>
        <scheme val="minor"/>
      </rPr>
      <t xml:space="preserve">Nach dem Greenhouse Gas Protocol umfasst Scope 1 alle Treibhausgasemissionen aus Quellen, die das Unternehmen besitzt oder kontrolliert. Dazu gehören die Verbrennung von Brennstoffen in eigenen oder kontrollierten Kesseln, Öfen und Fahrzeugen, Prozessemissionen aus industriellen Tätigkeiten sowie flüchtige Emissionen (in diesem Modell vor allem Kältemittel, etwa aus Klimaanlagen).
In diesem Modell erfassen Sie den Verbrauch ausgewählter Brennstoffe für Heizung und Fahrzeuge; je nach Brennstoff stehen mehrere Einheiten zur Auswahl. Fahrzeugemissionen lassen sich alternativ über die gefahrene Strecke berechnen. Erfassen Sie jedes Fahrzeug nur einmal – entweder über die Kraftstoffmenge oder über die Strecke –, um Doppelzählungen zu vermeiden. Kältemittel werden nur in kg erfasst.</t>
    </r>
  </si>
  <si>
    <r>
      <rPr>
        <b/>
        <sz val="11"/>
        <color rgb="FF125359"/>
        <rFont val="Calibri"/>
        <family val="2"/>
        <scheme val="minor"/>
      </rPr>
      <t xml:space="preserve">SCOPE 2
</t>
    </r>
    <r>
      <rPr>
        <sz val="11"/>
        <color rgb="FF125359"/>
        <rFont val="Calibri"/>
        <family val="2"/>
        <scheme val="minor"/>
      </rPr>
      <t xml:space="preserve">Das GHG Protocol definiert Scope 2 als indirekte Treibhausgasemissionen aus der Erzeugung eingekaufter Energie, die das Unternehmen verbraucht: eingekaufter Strom, Dampf, Wärme und Kälte. Die Emissionen entstehen zwar beim Energieerzeuger, werden aber dem Unternehmen zugerechnet, das die Energie nutzt.
Das Modell berechnet Emissionen aus Strom und Fernwärme standortbasiert und für Strom zusätzlich marktbasiert. Für Strom geben Sie das Land und den Verbrauchszeitraum an, damit der passende Emissionsfaktor greift; für Fernwärme nur den Zeitraum.
Den Verbrauch entnehmen Sie in der Regel den Abrechnungen der Versorger je Standort. Achten Sie darauf, dass der Verbrauch den gesamten Zeitraum abdeckt, in dem der Standort genutzt wurde. Liegen nur Daten für einen Teil des Zeitraums vor, rechnen Sie vor der Eingabe hoch.</t>
    </r>
  </si>
  <si>
    <r>
      <t xml:space="preserve">SCOPE 3
</t>
    </r>
    <r>
      <rPr>
        <sz val="11"/>
        <color rgb="FF125359"/>
        <rFont val="Calibri"/>
        <family val="2"/>
        <scheme val="minor"/>
      </rPr>
      <t xml:space="preserve">Das GHG Protocol definiert Scope 3 als indirekte Emissionen in der Wertschöpfungskette außerhalb von Scope 1 und 2. Sie entstehen bei Tätigkeiten, die das Unternehmen nicht selbst besitzt oder kontrolliert, die aber mit seiner Geschäftstätigkeit verbunden sind – etwa eingekaufte Waren und Dienstleistungen, Geschäftsreisen, Pendeln, Betriebsabfälle, Wasserversorgung und -aufbereitung, vor- und nachgelagerter Transport sowie Nutzung und Entsorgung verkaufter Produkte.
Das Tool berechnet die vorgelagerten Scope-3-Kategorien. Nachgelagert sind 3.11 und 3.12 vereinfacht abgebildet; 3.09, 3.10 und 3.13–3.15 können Sie als extern berechnete Summen erfassen. Das Scope 3 Screening zeigt vorab, welche Kategorien für Sie relevant sind.
Eingekaufte Waren und Dienstleistungen, Investitionsgüter und angemietete Sachanlagen werden ausgabenbasiert berechnet und sind in einem Blatt zusammengefasst. Ordnen Sie Ihre Ausgaben vor der Eingabe den vorgegebenen Kategorien zu; alle Investitionsgüter gehören in die Kategorie „Capital Equipment“. Geben Sie außerdem das Herkunftsland der Ausgaben und die Währung an. Das Modell rechnet alle Währungen automatisch in Euro um, sofern die Währung korrekt angegeben ist.
Ausgabenbasiert berechnet wird auch der vorgelagerte Transport; für Geschäftsreisen ist der ausgabenbasierte Weg eine Alternative, falls keine Aktivitätsdaten vorliegen. Für Abfall, Wasser, Geschäftsreisen (bevorzugt) und Pendeln sind Aktivitätsdaten nötig. Die Angaben zum Pendeln stammen idealerweise aus einer Mitarbeitendenbefragung; andernfalls schätzen Sie sie ab.</t>
    </r>
  </si>
  <si>
    <t>Emissionen (kg CO2e)</t>
  </si>
  <si>
    <t>CO2-Emissionen (kg CO2e)</t>
  </si>
  <si>
    <t>CH4-Emissionen (kg CO2e)</t>
  </si>
  <si>
    <t>N2O-Emissionen (kg CO2e)</t>
  </si>
  <si>
    <t>Nicht zugeordnete Emissionen (kg CO2e)</t>
  </si>
  <si>
    <t>1.02. Mobile Verbrennung</t>
  </si>
  <si>
    <t>1.03. Prozessemissionen</t>
  </si>
  <si>
    <t>1.04. Flüchtige Emissionen</t>
  </si>
  <si>
    <t>2.01. Strom standortbasiert</t>
  </si>
  <si>
    <t>2.02. Fernwärme standortbasiert</t>
  </si>
  <si>
    <t>3.01. Eingekaufte Waren und Dienstleistungen</t>
  </si>
  <si>
    <t>3.02. Investitionsgüter</t>
  </si>
  <si>
    <t>3.03. Brennstoff- und energiebezogene Emissionen</t>
  </si>
  <si>
    <t>2.01. Strom</t>
  </si>
  <si>
    <t>2.02. Fernwärme</t>
  </si>
  <si>
    <t>3.04. Vorgelagerter Transport und Vertrieb</t>
  </si>
  <si>
    <t>3.05. Abfallentsorgung</t>
  </si>
  <si>
    <t>Abfall</t>
  </si>
  <si>
    <t>Wasser</t>
  </si>
  <si>
    <t>3.06. Geschäftsreisen</t>
  </si>
  <si>
    <t>3.07. Pendeln der Mitarbeitenden</t>
  </si>
  <si>
    <t>Pendeln</t>
  </si>
  <si>
    <t>Homeoffice</t>
  </si>
  <si>
    <t>3.08. Angemietete Sachanlagen</t>
  </si>
  <si>
    <t>3.09. Nachgelagerter Transport und Vertrieb (extern)</t>
  </si>
  <si>
    <t>3.10. Weiterverarbeitung verkaufter Produkte (extern)</t>
  </si>
  <si>
    <t>3.11. Nutzung verkaufter Produkte</t>
  </si>
  <si>
    <t>3.12. Entsorgung verkaufter Produkte</t>
  </si>
  <si>
    <t>3.13. Vermietete Sachanlagen (extern)</t>
  </si>
  <si>
    <t>3.14. Franchises (extern)</t>
  </si>
  <si>
    <t>3.15. Investitionen (extern)</t>
  </si>
  <si>
    <t>Summe (standortbasiert)</t>
  </si>
  <si>
    <t>Summe (marktbasiert)</t>
  </si>
  <si>
    <t>Nachrichtlich: 2.01. Strom marktbasiert</t>
  </si>
  <si>
    <t>Hinweis: In der Summe (marktbasiert) ersetzt 2.01 marktbasiert den standortbasierten Wert (siehe Blatt Scope 2). Eine Aufteilung nach Gasen ist für marktbasierte Werte nicht verfügbar.</t>
  </si>
  <si>
    <t>Hinweis: 3.03 wird automatisch aus den Eingaben zu Scope 1 und 2 berechnet. 3.09, 3.10 und 3.13–3.15 berechnet dieses Tool NICHT – hier fließen nur extern berechnete Summen ein (Blatt „Scope 3 Other (external)“).</t>
  </si>
  <si>
    <t>1.) Ergebnisse nach Scope und Kategorie</t>
  </si>
  <si>
    <t>Kategorie</t>
  </si>
  <si>
    <t>Emissionen (t CO2e)</t>
  </si>
  <si>
    <t>Anteil an Gesamt (standortbasiert)</t>
  </si>
  <si>
    <t>2.01. Strom (standortbasiert)</t>
  </si>
  <si>
    <t>3.04. Vorgelagerter Transport</t>
  </si>
  <si>
    <t>3.05. Abfall und Wasser</t>
  </si>
  <si>
    <t>3.09/3.10/3.13–3.15 Sonstige (extern)</t>
  </si>
  <si>
    <t>2.) Ergebnisse nach Treibhausgas</t>
  </si>
  <si>
    <t>Nicht zugeordnet (t CO2e)</t>
  </si>
  <si>
    <t>Summe (t CO2e)</t>
  </si>
  <si>
    <t>Scope 2 (standortbasiert)</t>
  </si>
  <si>
    <t>3.) Verbrauch nach Einheit</t>
  </si>
  <si>
    <t>3.05. Abfall</t>
  </si>
  <si>
    <t>3.05. Wasser</t>
  </si>
  <si>
    <t>3.06. Hotelübernachtungen</t>
  </si>
  <si>
    <t>3.07. Pendeln</t>
  </si>
  <si>
    <t>3.07. Homeoffice</t>
  </si>
  <si>
    <t>Gesamtsumme</t>
  </si>
  <si>
    <t>Hinweis: 3.03 ist nicht aufgeführt, da es aus denselben Verbräuchen wie Scope 1 und 2 abgeleitet wird (keine Doppelzählung). Erdgas in Kubikmetern erscheint unter m3.</t>
  </si>
  <si>
    <t>Scope 1.01. Stationäre Verbrennung</t>
  </si>
  <si>
    <t>Verbrauch gesamt (kWh)</t>
  </si>
  <si>
    <t>Verbrauch gesamt (l)</t>
  </si>
  <si>
    <t>Verbrauch gesamt (Tonnen)</t>
  </si>
  <si>
    <t>Verbrauch gesamt (Kubikmeter)</t>
  </si>
  <si>
    <t>Brennstoff für Heizung – in dieser Spalte keine Eingabe nötig</t>
  </si>
  <si>
    <t>Bitte den Brennstoffverbrauch eintragen. Wurde ein Brennstoff nicht genutzt, Feld leer lassen</t>
  </si>
  <si>
    <t>Bitte ggf. die Einheit des Verbrauchs aus der Auswahlliste wählen</t>
  </si>
  <si>
    <t>Verbrauch für die aufgeführten Scopes – in dieser Spalte keine Eingabe nötig</t>
  </si>
  <si>
    <t>Bitte Datenquelle (Rechnung, Zähler, Tankkarte, Wartungsprotokoll) sowie Annahmen oder Umrechnungen notieren</t>
  </si>
  <si>
    <t>Quelle / Annahme</t>
  </si>
  <si>
    <t>Scope 1.02. Mobile Verbrennung</t>
  </si>
  <si>
    <r>
      <rPr>
        <b/>
        <sz val="11"/>
        <color rgb="FFC00000"/>
        <rFont val="Calibri"/>
        <family val="2"/>
        <scheme val="minor"/>
      </rPr>
      <t xml:space="preserve">WICHTIGER HINWEIS
</t>
    </r>
    <r>
      <rPr>
        <sz val="11"/>
        <color rgb="FFC00000"/>
        <rFont val="Calibri"/>
        <family val="2"/>
        <scheme val="minor"/>
      </rPr>
      <t xml:space="preserve">Mobile Verbrennung lässt sich für Firmenfahrzeuge und für Lkw berechnen. Der Verbrauch kann ENTWEDER in Litern Kraftstoff ODER als gefahrene Strecke angegeben werden. Erfassen Sie jedes Fahrzeug nur einmal: entweder in der ersten Tabelle oder in einer der beiden anderen.</t>
    </r>
  </si>
  <si>
    <t>Verbrauch gesamt Pkw (km)</t>
  </si>
  <si>
    <t>Verbrauch gesamt Lkw (km)</t>
  </si>
  <si>
    <t>Kraftstoff im Firmenfahrzeug – in dieser Spalte keine Eingabe nötig</t>
  </si>
  <si>
    <t>Kraftstoff für Firmenfahrzeuge nur in Litern eingeben</t>
  </si>
  <si>
    <t>Bitte den Kraftstoffverbrauch eintragen. Wurde ein Kraftstoff nicht genutzt oder in Litern angegeben, Feld leer lassen</t>
  </si>
  <si>
    <t>Kraftstoff für Firmenfahrzeuge nur in km eingeben</t>
  </si>
  <si>
    <t>Kraftstoff im Lkw – in dieser Spalte keine Eingabe nötig</t>
  </si>
  <si>
    <t>Kraftstoff für Lkw nur in km eingeben</t>
  </si>
  <si>
    <t>Scope 1.04. Flüchtige Emissionen</t>
  </si>
  <si>
    <t>Verbrauch gesamt (kg)</t>
  </si>
  <si>
    <t>Verwendetes Kältemittel – in dieser Spalte keine Eingabe nötig</t>
  </si>
  <si>
    <t>Bitte die nachgefüllte Kältemittelmenge eintragen. Wurde ein Kältemittel nicht nachgefüllt, Feld leer lassen</t>
  </si>
  <si>
    <t>Kältemittel nur in kg eingeben</t>
  </si>
  <si>
    <t>Scope 1.03. Prozessemissionen</t>
  </si>
  <si>
    <t>Emissionen gesamt (t CO2e)</t>
  </si>
  <si>
    <t xml:space="preserve">WICHTIGER HINWEIS
Prozessemissionen entstehen durch chemische Reaktionen, nicht durch Verbrennung (z. B. Kalzinierung bei der Herstellung von Zement, Kalk, Keramik und Glas sowie in einigen Chemie- und Kunststoffprozessen). Berechnen Sie sie außerhalb dieses Tools (z. B. über Massenbilanz oder anlagenspezifische Methode) und tragen Sie das Ergebnis in t CO2e ein. Emissionen aus Verbrennung gehören in 1.01.</t>
  </si>
  <si>
    <t>Name des Prozesses – keine Eingabe nötig, falls nicht zutreffend</t>
  </si>
  <si>
    <t>Bitte die Methode beschreiben (z. B. Massenbilanz, Stöchiometrie, Messung)</t>
  </si>
  <si>
    <t>Bitte das Ergebnis in Tonnen CO2e eintragen</t>
  </si>
  <si>
    <t>Bitte Datenquelle und Annahmen notieren</t>
  </si>
  <si>
    <t>Prozess</t>
  </si>
  <si>
    <t>Methode</t>
  </si>
  <si>
    <t>Relevanz für die Scopes</t>
  </si>
  <si>
    <t>Scope 2.01. Strom</t>
  </si>
  <si>
    <r>
      <rPr>
        <b/>
        <sz val="11"/>
        <color rgb="FFC00000"/>
        <rFont val="Calibri"/>
        <family val="2"/>
        <scheme val="minor"/>
      </rPr>
      <t xml:space="preserve">WICHTIGER HINWEIS
</t>
    </r>
    <r>
      <rPr>
        <sz val="11"/>
        <color rgb="FFC00000"/>
        <rFont val="Calibri"/>
        <family val="2"/>
        <scheme val="minor"/>
      </rPr>
      <t xml:space="preserve">Den Stromverbrauch entnehmen Sie am besten der Abrechnung des Versorgers für den Standort. Diese deckt oft nicht das volle Jahr ab. Tragen Sie in Spalte E („Number of Consumption Days“) die Zahl der Tage ein, an denen der Standort im Berichtsjahr genutzt wurde. Deckt die Abrechnung nur einen Teil dieses Zeitraums ab, rechnen Sie den Verbrauch vor der Eingabe hoch.</t>
    </r>
  </si>
  <si>
    <t>Strom kann für bis zu 10 Standorte berechnet werden – in dieser Spalte keine Eingabe nötig</t>
  </si>
  <si>
    <t>Bitte den Namen des Standorts eintragen</t>
  </si>
  <si>
    <t>Bitte über die Auswahlliste das Land oder die Region des Standorts wählen</t>
  </si>
  <si>
    <t>Bitte angeben, für wie viele Tage der Verbrauch gilt</t>
  </si>
  <si>
    <t>Bitte den Verbrauch in kWh laut Abrechnung eintragen</t>
  </si>
  <si>
    <t>Bitte „Yes“ wählen, wenn Herkunftsnachweise diesen Verbrauch abdecken (z. B. Ökostromtarif mit HKN)</t>
  </si>
  <si>
    <t>Optional: lieferantenspezifischer Emissionsfaktor aus der Stromkennzeichnung, in kg CO2e/kWh</t>
  </si>
  <si>
    <t>Herkunftsnachweise (HKN)</t>
  </si>
  <si>
    <t>EF des Lieferanten (kg CO2e/kWh)</t>
  </si>
  <si>
    <t>Scope 2.02. Fernwärme</t>
  </si>
  <si>
    <r>
      <rPr>
        <b/>
        <sz val="11"/>
        <color rgb="FFC00000"/>
        <rFont val="Calibri"/>
        <family val="2"/>
        <scheme val="minor"/>
      </rPr>
      <t xml:space="preserve">WICHTIGER HINWEIS
</t>
    </r>
    <r>
      <rPr>
        <sz val="11"/>
        <color rgb="FFC00000"/>
        <rFont val="Calibri"/>
        <family val="2"/>
        <scheme val="minor"/>
      </rPr>
      <t xml:space="preserve">Den Fernwärmeverbrauch entnehmen Sie am besten der Abrechnung des Versorgers für den Standort. Diese deckt oft nicht das volle Jahr ab. Tragen Sie in Spalte E („Number of Consumption Days“) die Zahl der Tage ein, an denen der Standort im Berichtsjahr genutzt wurde. Deckt die Abrechnung nur einen Teil dieses Zeitraums ab, rechnen Sie den Verbrauch vor der Eingabe hoch.</t>
    </r>
  </si>
  <si>
    <t>Marktbasierte Methode (GHG Protocol Scope 2 Guidance): Verbrauch mit Herkunftsnachweisen = 0 kg CO2e; sonst der lieferantenspezifische Faktor, falls eingetragen; sonst ersatzweise der Netzdurchschnitt (standortbasiert). Fernwärme wird in beiden Methoden gleich ausgewiesen.</t>
  </si>
  <si>
    <t>Scope 3.01. Eingekaufte Waren und Dienstleistungen / 3.02. Investitionsgüter</t>
  </si>
  <si>
    <r>
      <rPr>
        <b/>
        <sz val="11"/>
        <color rgb="FFC00000"/>
        <rFont val="Calibri"/>
        <family val="2"/>
        <scheme val="minor"/>
      </rPr>
      <t xml:space="preserve">WICHTIGER HINWEIS
</t>
    </r>
    <r>
      <rPr>
        <sz val="11"/>
        <color rgb="FFC00000"/>
        <rFont val="Calibri"/>
        <family val="2"/>
        <scheme val="minor"/>
      </rPr>
      <t xml:space="preserve">Scope 3.01 (Eingekaufte Waren und Dienstleistungen) und Scope 3.02 (Investitionsgüter) werden ausgabenbasiert berechnet. Dazu sind die Ausgaben in Kategorien gegliedert: Für 3.02 ist das „Capital Equipment“, für 3.01 die übrigen zwölf Kategorien. Ordnen Sie Ihre Ausgaben vor der Eingabe diesen Kategorien zu. Geben Sie die Ausgaben je Kategorie in nur einer Währung an; die Umrechnung erfolgt automatisch in Spalte G.</t>
    </r>
  </si>
  <si>
    <t>Verbrauch gesamt (EUR)</t>
  </si>
  <si>
    <t>Ausgaben bitte einer der Kategorien dieser Spalte zuordnen – in dieser Spalte keine Eingabe nötig</t>
  </si>
  <si>
    <t>Bitte die Ausgaben je Kategorie in der Währung aus Spalte E eintragen</t>
  </si>
  <si>
    <t>Bitte das Land angeben, in dem der Großteil der Ausgaben angefallen ist</t>
  </si>
  <si>
    <t>Bitte die Währung der Ausgaben angeben</t>
  </si>
  <si>
    <t>Automatische Umrechnung in EUR für die Zuordnung des Emissionsfaktors – in dieser Spalte keine Eingabe nötig</t>
  </si>
  <si>
    <t>Scope 3.08. Angemietete Sachanlagen</t>
  </si>
  <si>
    <t>Scope 3.04. Vorgelagerter Transport und Vertrieb</t>
  </si>
  <si>
    <t>Scope 3.05. Abfall</t>
  </si>
  <si>
    <t>Verbrauch gesamt (m3)</t>
  </si>
  <si>
    <t>Abfallkategorien – in dieser Spalte keine Eingabe nötig</t>
  </si>
  <si>
    <t>Bitte die Abfallmenge je Kategorie in der Einheit aus Spalte D eintragen</t>
  </si>
  <si>
    <t>Bitte die Einheit der Abfallmenge angeben: Tonnen oder Kubikmeter</t>
  </si>
  <si>
    <t>Automatische Umrechnung von Kubikmetern in Tonnen für die Zuordnung des Emissionsfaktors</t>
  </si>
  <si>
    <t>Scope 3.05. Wasser</t>
  </si>
  <si>
    <t>Wasserverbrauch – in dieser Spalte keine Eingabe nötig</t>
  </si>
  <si>
    <t>Bitte den Wasserverbrauch in der Einheit aus Spalte D eintragen</t>
  </si>
  <si>
    <t>Bitte die Einheit des Wasserverbrauchs angeben: Liter oder Kubikmeter</t>
  </si>
  <si>
    <t>Scope 3.06. Geschäftsreisen – aktivitätsbasiert</t>
  </si>
  <si>
    <r>
      <rPr>
        <b/>
        <sz val="11"/>
        <color rgb="FFC00000"/>
        <rFont val="Calibri"/>
        <family val="2"/>
        <scheme val="minor"/>
      </rPr>
      <t xml:space="preserve">WICHTIGER HINWEIS
</t>
    </r>
    <r>
      <rPr>
        <sz val="11"/>
        <color rgb="FFC00000"/>
        <rFont val="Calibri"/>
        <family val="2"/>
        <scheme val="minor"/>
      </rPr>
      <t xml:space="preserve">Scope 3.06 (Geschäftsreisen) lässt sich aktivitätsbasiert oder ausgabenbasiert berechnen. Die erste Tabelle erfasst Reisen aktivitätsbasiert, die zweite Hotelübernachtungen aktivitätsbasiert. Die dritte Tabelle fasst Reisen und Hotels ausgabenbasiert zusammen. Füllen Sie BITTE NUR entweder die ersten beiden Tabellen oder die dritte aus, um Doppelzählungen zu vermeiden.</t>
    </r>
  </si>
  <si>
    <t>Verbrauch gesamt (km)</t>
  </si>
  <si>
    <t>Verbrauch gesamt (Nächte)</t>
  </si>
  <si>
    <t>Reisekategorie – in dieser Spalte keine Eingabe nötig</t>
  </si>
  <si>
    <t>Bitte die Strecke je Reisekategorie in km eintragen</t>
  </si>
  <si>
    <t>Strecken nur in km eingeben – in dieser Spalte keine Eingabe nötig</t>
  </si>
  <si>
    <t>Hotelübernachtungen können für bis zu 10 Länder erfasst werden – in dieser Spalte keine Eingabe nötig</t>
  </si>
  <si>
    <t>Bitte die Hotelübernachtungen je Land aus Spalte E eintragen</t>
  </si>
  <si>
    <t>Hotelaufenthalte nur in Übernachtungen eingeben – in dieser Spalte keine Eingabe nötig</t>
  </si>
  <si>
    <t>Bitte das Land der Hotels angeben</t>
  </si>
  <si>
    <t>Scope 3.06. Geschäftsreisen – ausgabenbasiert</t>
  </si>
  <si>
    <t>Scope 3.07. Pendeln der Mitarbeitenden</t>
  </si>
  <si>
    <r>
      <rPr>
        <b/>
        <sz val="11"/>
        <color rgb="FFC00000"/>
        <rFont val="Calibri"/>
        <family val="2"/>
        <scheme val="minor"/>
      </rPr>
      <t xml:space="preserve">WICHTIGER HINWEIS
</t>
    </r>
    <r>
      <rPr>
        <sz val="11"/>
        <color rgb="FFC00000"/>
        <rFont val="Calibri"/>
        <family val="2"/>
        <scheme val="minor"/>
      </rPr>
      <t xml:space="preserve">Die Datenerhebung für Scope 3.07 ist oft aufwendig. Um die Pendelstrecken der Mitarbeitenden abzuschätzen, braucht das Modell je Standort die Zahl der Vollzeitäquivalente (FTE), die geschätzte durchschnittliche einfache Strecke zum Arbeitsplatz und die ungefähre Aufteilung auf Verkehrsmittel. Am genauesten sind Ergebnisse aus einer Mitarbeitendenbefragung. Ist eine Befragung nicht möglich, schätzen Sie die Werte bestmöglich ab.</t>
    </r>
  </si>
  <si>
    <t>Pendeln kann für bis zu 10 Standorte erfasst werden</t>
  </si>
  <si>
    <t>Bitte die Zahl der Mitarbeitenden je Standort angeben</t>
  </si>
  <si>
    <t>Bitte den Anteil der Mitarbeitenden schätzen, die mit dem Auto pendeln</t>
  </si>
  <si>
    <t>Bitte den Anteil der Mitarbeitenden schätzen, die mit der Bahn pendeln</t>
  </si>
  <si>
    <t>Bitte den Anteil der Mitarbeitenden schätzen, die mit Bus oder anderem ÖPNV pendeln</t>
  </si>
  <si>
    <t>Bitte den Anteil der Mitarbeitenden schätzen, die emissionsfrei pendeln (zu Fuß, Fahrrad, E-Scooter/E-Bike)</t>
  </si>
  <si>
    <t>Diese Spalte muss 100 % ergeben – hier keine Eingabe nötig. Falls nicht, Spalten D bis G anpassen</t>
  </si>
  <si>
    <t>Bitte die durchschnittliche Pendelstrecke der Mitarbeitenden schätzen</t>
  </si>
  <si>
    <t>Scope 3.07. Homeoffice</t>
  </si>
  <si>
    <t>Homeoffice kann für bis zu 10 Standorte erfasst werden</t>
  </si>
  <si>
    <t>Bitte schätzen, an wie vielen Tagen pro Woche die Mitarbeitenden dieses Standorts im Homeoffice arbeiten</t>
  </si>
  <si>
    <t>Scope 3.11. Nutzung verkaufter Produkte (vereinfacht)</t>
  </si>
  <si>
    <t xml:space="preserve">WICHTIGER HINWEIS
Vereinfachter Ansatz für die direkten Emissionen in der Nutzungsphase verkaufter, energieverbrauchender Produkte (GHG Protocol: direkte Nutzungsphase-Emissionen sind Pflicht, indirekte optional). Emissionen = verkaufte Stückzahl × Lebensdauer × jährlicher Energieverbrauch × Emissionsfaktor; die gesamte Lebensdauer wird im Verkaufsjahr berichtet. Für Strom gilt der aktuelle Netzfaktor des Nutzungslands (ohne künftige Dekarbonisierung). Liegt eine produktspezifische Berechnung vor (z. B. aus einem PCF), tragen Sie sie in Spalte I ein – sie ersetzt das vereinfachte Ergebnis.</t>
  </si>
  <si>
    <t>Emissionen gesamt 3.11. (kg CO2e)</t>
  </si>
  <si>
    <t>Produktgruppe (eine Zeile je Produkttyp)</t>
  </si>
  <si>
    <t>Bitte die im Berichtsjahr verkaufte Stückzahl eintragen</t>
  </si>
  <si>
    <t>Bitte die erwartete Lebensdauer in Jahren eintragen</t>
  </si>
  <si>
    <t>Bitte den Energieverbrauch je Stück und Jahr in der Einheit des Energieträgers eintragen</t>
  </si>
  <si>
    <t>Bitte den Energieträger aus der Auswahlliste wählen</t>
  </si>
  <si>
    <t>Nutzungsland – nur für Strom nötig (Standard: Deutschland)</t>
  </si>
  <si>
    <t>Verwendeter Emissionsfaktor – in dieser Spalte keine Eingabe nötig</t>
  </si>
  <si>
    <t>Optional: eigenes produktspezifisches Ergebnis in t CO2e</t>
  </si>
  <si>
    <t>Emissionen 3.11. – in dieser Spalte keine Eingabe nötig</t>
  </si>
  <si>
    <t>Produktgruppe</t>
  </si>
  <si>
    <t>Verkaufte Stückzahl</t>
  </si>
  <si>
    <t>Lebensdauer (Jahre)</t>
  </si>
  <si>
    <t>Energieverbrauch / Stück / Jahr</t>
  </si>
  <si>
    <t>Energieträger</t>
  </si>
  <si>
    <t>Nutzungsland</t>
  </si>
  <si>
    <t>EF (kg CO2e/Einheit)</t>
  </si>
  <si>
    <t>Eigenes Ergebnis (t CO2e)</t>
  </si>
  <si>
    <t>Emissionen 3.11. (kg CO2e)</t>
  </si>
  <si>
    <t>Scope 3.12. Entsorgung verkaufter Produkte (vereinfacht)</t>
  </si>
  <si>
    <t xml:space="preserve">WICHTIGER HINWEIS
Vereinfachter Ansatz: Masse der verkauften Produkte × Emissionsfaktor des angenommenen Entsorgungswegs für das Hauptmaterial (DEFRA-Abfallfaktoren). Teilen Sie Produkte aus mehreren Materialien auf mehrere Zeilen auf. Der Entsorgungsweg je Material ist in dieser Version fest hinterlegt – prüfen Sie die Faktoren vor einer externen Berichterstattung. Ein produktspezifisches Ergebnis können Sie in Spalte I eintragen.</t>
  </si>
  <si>
    <t>Emissionen gesamt 3.12. (kg CO2e)</t>
  </si>
  <si>
    <t>Produktgruppe (eine Zeile je Hauptmaterial)</t>
  </si>
  <si>
    <t>Bitte die Masse je Stück in kg eintragen</t>
  </si>
  <si>
    <t>Bitte das Hauptmaterial aus der Auswahlliste wählen</t>
  </si>
  <si>
    <t>Gesamtmasse in Tonnen – in dieser Spalte keine Eingabe nötig</t>
  </si>
  <si>
    <t>Angenommener Entsorgungsweg – in dieser Spalte keine Eingabe nötig</t>
  </si>
  <si>
    <t>Emissionen 3.12. – in dieser Spalte keine Eingabe nötig</t>
  </si>
  <si>
    <t>Masse je Stück (kg)</t>
  </si>
  <si>
    <t>Hauptmaterial</t>
  </si>
  <si>
    <t>Gesamtmasse (t)</t>
  </si>
  <si>
    <t>Entsorgungsweg</t>
  </si>
  <si>
    <t>Emissionen 3.12. (kg CO2e)</t>
  </si>
  <si>
    <t>Scope 3 – Sonstige Kategorien (extern berechnet)</t>
  </si>
  <si>
    <t xml:space="preserve">WICHTIGER HINWEIS
Dieses Blatt berechnet KEINE Emissionen. Tragen Sie nur Summen ein, die AUSSERHALB dieses Tools berechnet wurden (z. B. Daten von Spediteuren oder Kunden, ein separates Modell, eine PCF-basierte Berechnung oder eine Berechnung Ihrer Beratung). Geben Sie für jeden Wert die Berechnungsmethode sowie Datenquelle und Annahmen an – Werte ohne Dokumentation werden in Spalte I markiert. Nutzen Sie dieses Blatt nur für Kategorien, die im Scope 3 Screening als relevant eingestuft sind. 3.11 und 3.12 haben eine eigene vereinfachte Berechnung (Blatt „Scope 3.11 &amp; 3.12“).</t>
  </si>
  <si>
    <t>Emissionen gesamt sonstige Kategorien (kg CO2e)</t>
  </si>
  <si>
    <t>Kategorie nach GHG Protocol – keine Eingabe nötig</t>
  </si>
  <si>
    <t>Name der Kategorie – keine Eingabe nötig</t>
  </si>
  <si>
    <t>Bitte die extern berechnete Summe in t CO2e eintragen</t>
  </si>
  <si>
    <t>Bitte die Berechnungsmethode wählen</t>
  </si>
  <si>
    <t>Bitte Datenquelle und wesentliche Annahmen beschreiben (Pflicht)</t>
  </si>
  <si>
    <t>Wer hat den Wert wann berechnet?</t>
  </si>
  <si>
    <t>Umgerechneter Wert – keine Eingabe nötig</t>
  </si>
  <si>
    <t>Prüfung – keine Eingabe nötig</t>
  </si>
  <si>
    <t>Berechnungsmethode</t>
  </si>
  <si>
    <t>Datenquelle und Annahmen</t>
  </si>
  <si>
    <t>Berechnet von / Datum</t>
  </si>
  <si>
    <t>Dokumentationsprüfung</t>
  </si>
  <si>
    <t>Nachgelagerter Transport und Vertrieb</t>
  </si>
  <si>
    <t>Weiterverarbeitung verkaufter Produkte</t>
  </si>
  <si>
    <t>Vermietete Sachanlagen</t>
  </si>
  <si>
    <t>Investitionen</t>
  </si>
  <si>
    <t>Scope 3 Screening (Wesentlichkeitsprüfung)</t>
  </si>
  <si>
    <t xml:space="preserve">WICHTIGER HINWEIS
Bewerten Sie jede Scope-3-Kategorie, bevor Sie Daten erheben: Ist sie für Ihr Geschäft relevant, wie hoch sind die Emissionen voraussichtlich, wie gut ist die Datenlage und wie stark können Sie sie beeinflussen? Das Ergebnis zeigt, wo sich eine Berechnung lohnt. Ihre Begründung (Spalte K) ist zugleich die Dokumentation der Wesentlichkeit. Optional: Wählen Sie Ihre Branche, um die CDP-Sicht zu sehen (CDP Technical Note „Relevance of Scope 3 Categories by Sector“, v3.0, 2024). Branchennamen und Auswahlwerte sind in dieser Version noch englisch.</t>
  </si>
  <si>
    <t>Branche (CDP-Klassifizierung, optional)</t>
  </si>
  <si>
    <t>Scope-3-Kategorie – keine Eingabe nötig</t>
  </si>
  <si>
    <t>Typische Beispiele – keine Eingabe nötig</t>
  </si>
  <si>
    <t>CDP-Sicht für die gewählte Branche – keine Eingabe nötig</t>
  </si>
  <si>
    <t>Ist die Kategorie für Ihr Geschäft relevant?</t>
  </si>
  <si>
    <t>Erwartete Höhe der Emissionen</t>
  </si>
  <si>
    <t>Wie gut ist die Datenlage? Grün = vorhanden, Gelb = teilweise / schätzbar, Rot = nicht vorhanden</t>
  </si>
  <si>
    <t>Wie stark können Sie die Emissionen beeinflussen?</t>
  </si>
  <si>
    <t>Ergebnis – keine Eingabe nötig</t>
  </si>
  <si>
    <t>Bitte Ihre Einschätzung begründen (das ist Ihre Dokumentation der Wesentlichkeit)</t>
  </si>
  <si>
    <t>Woher kämen die Daten / wer verantwortet sie?</t>
  </si>
  <si>
    <t>Status in diesem Tool – keine Eingabe nötig</t>
  </si>
  <si>
    <t>Typische Beispiele</t>
  </si>
  <si>
    <t>CDP-Sicht für die Branche</t>
  </si>
  <si>
    <t>Erwartete Größenordnung</t>
  </si>
  <si>
    <t>Datenverfügbarkeit</t>
  </si>
  <si>
    <t>Einfluss</t>
  </si>
  <si>
    <t>Ergebnis</t>
  </si>
  <si>
    <t>Begründung</t>
  </si>
  <si>
    <t>Datenquelle / Verantwortlich</t>
  </si>
  <si>
    <t>Berechnung in diesem Tool</t>
  </si>
  <si>
    <t>Eingekaufte Waren und Dienstleistungen</t>
  </si>
  <si>
    <t>Rohstoffe, Halbzeuge, Verpackung, Dienstleistungen</t>
  </si>
  <si>
    <t>Investitionsgüter</t>
  </si>
  <si>
    <t>Im Berichtsjahr gekaufte Maschinen, Gebäude, IT-Hardware</t>
  </si>
  <si>
    <t>Brennstoff- und energiebezogene Aktivitäten</t>
  </si>
  <si>
    <t>Vorkettenemissionen von Brennstoffen und Strom, Netzverluste (automatisch aus Scope 1/2)</t>
  </si>
  <si>
    <t>Vorgelagerter Transport und Vertrieb</t>
  </si>
  <si>
    <t>Von Ihnen bezahlte Eingangsfracht, externe Lagerung</t>
  </si>
  <si>
    <t>Betriebsabfälle</t>
  </si>
  <si>
    <t>Entsorgung und Behandlung von Betriebsabfällen und Abwasser</t>
  </si>
  <si>
    <t>Geschäftsreisen</t>
  </si>
  <si>
    <t>Flüge, Bahn, Mietwagen, Hotels</t>
  </si>
  <si>
    <t>Pendeln der Mitarbeitenden</t>
  </si>
  <si>
    <t>Auto, ÖPNV, Homeoffice</t>
  </si>
  <si>
    <t>Angemietete Sachanlagen</t>
  </si>
  <si>
    <t>Angemietete Gebäude oder Anlagen, die nicht in Scope 1/2 erfasst sind</t>
  </si>
  <si>
    <t>Ausgangsfracht, die Sie nicht bezahlen, Lagerung im Handel</t>
  </si>
  <si>
    <t>Weiterverarbeitung von Zwischenprodukten durch Kunden</t>
  </si>
  <si>
    <t>Nutzung verkaufter Produkte</t>
  </si>
  <si>
    <t>Energieverbrauch verkaufter Maschinen, Fahrzeuge und Geräte über die Lebensdauer</t>
  </si>
  <si>
    <t>Entsorgung verkaufter Produkte</t>
  </si>
  <si>
    <t>Recycling, Verbrennung, Deponierung verkaufter Produkte</t>
  </si>
  <si>
    <t>Eigene Anlagen, die Sie an Dritte vermieten</t>
  </si>
  <si>
    <t>Betrieb der Franchisenehmer</t>
  </si>
  <si>
    <t>Eigen- und Fremdkapitalbeteiligungen, Projektfinanzierung</t>
  </si>
  <si>
    <t>Übersicht</t>
  </si>
  <si>
    <t>Quelle der CDP-Sicht: CDP Technical Note „Relevance of Scope 3 Categories by Sector“, Version 3.0 (28. Juni 2024). „relevant“ = für die Branche aufgeführt, „activity-specific“ = nur für bestimmte Tätigkeiten der Branche relevant.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</si>
</sst>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_(* #,##0.00000_);_(* \(#,##0.00000\);_(* &quot;-&quot;??_);_(@_)"/>
  </numFmts>
  <fonts count="32" x14ac:knownFonts="1">
    <font>
      <sz val="11"/>
      <color theme="1"/>
      <name val="Calibri"/>
      <family val="2"/>
      <scheme val="minor"/>
    </font>
    <font>
      <sz val="11"/>
      <color theme="1"/>
      <name val="Calibri"/>
      <family val="2"/>
      <scheme val="minor"/>
    </font>
    <font>
      <sz val="18"/>
      <color theme="3"/>
      <name val="Calibri Light"/>
      <family val="2"/>
      <scheme val="maj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theme="0"/>
      <name val="Calibri"/>
      <family val="2"/>
      <scheme val="minor"/>
    </font>
    <font>
      <sz val="11"/>
      <color theme="0"/>
      <name val="Calibri"/>
      <family val="2"/>
      <scheme val="minor"/>
    </font>
    <font>
      <sz val="11"/>
      <color rgb="FF125359"/>
      <name val="Calibri"/>
      <family val="2"/>
      <scheme val="minor"/>
    </font>
    <font>
      <u/>
      <sz val="11"/>
      <color theme="10"/>
      <name val="Calibri"/>
      <family val="2"/>
      <scheme val="minor"/>
    </font>
    <font>
      <sz val="10"/>
      <color theme="1"/>
      <name val="Arial"/>
      <family val="2"/>
    </font>
    <font>
      <u/>
      <sz val="10"/>
      <color indexed="12"/>
      <name val="Arial"/>
      <family val="2"/>
    </font>
    <font>
      <sz val="10"/>
      <name val="Arial"/>
      <family val="2"/>
    </font>
    <font>
      <u/>
      <sz val="11"/>
      <color indexed="12"/>
      <name val="Calibri"/>
      <family val="2"/>
    </font>
    <font>
      <sz val="10"/>
      <color theme="9" tint="-0.499984740745262"/>
      <name val="Arial"/>
      <family val="2"/>
    </font>
    <font>
      <i/>
      <sz val="10"/>
      <color rgb="FFFF0000"/>
      <name val="Arial"/>
      <family val="2"/>
    </font>
    <font>
      <u/>
      <sz val="10"/>
      <color theme="11"/>
      <name val="Arial"/>
      <family val="2"/>
    </font>
    <font>
      <b/>
      <sz val="10"/>
      <color theme="0"/>
      <name val="Arial"/>
      <family val="2"/>
    </font>
    <font>
      <sz val="11"/>
      <color theme="1"/>
      <name val="Arial"/>
      <family val="2"/>
    </font>
    <font>
      <sz val="12"/>
      <color theme="1"/>
      <name val="Calibri"/>
      <family val="2"/>
      <scheme val="minor"/>
    </font>
    <font>
      <b/>
      <sz val="13"/>
      <color rgb="FF125359"/>
      <name val="Calibri"/>
      <family val="2"/>
      <scheme val="minor"/>
    </font>
    <font>
      <sz val="8"/>
      <name val="Calibri"/>
      <family val="2"/>
      <scheme val="minor"/>
    </font>
    <font>
      <sz val="11"/>
      <color theme="0" tint="-4.9989318521683403E-2"/>
      <name val="Calibri"/>
      <family val="2"/>
      <scheme val="minor"/>
    </font>
    <font>
      <u/>
      <sz val="11"/>
      <color rgb="FF125359"/>
      <name val="Calibri"/>
      <family val="2"/>
      <scheme val="minor"/>
    </font>
    <font>
      <b/>
      <sz val="11"/>
      <color rgb="FF125359"/>
      <name val="Calibri"/>
      <family val="2"/>
      <scheme val="minor"/>
    </font>
    <font>
      <i/>
      <sz val="11"/>
      <color rgb="FF125359"/>
      <name val="Calibri"/>
      <family val="2"/>
      <scheme val="minor"/>
    </font>
    <font>
      <sz val="10"/>
      <color rgb="FF125359"/>
      <name val="Calibri"/>
      <family val="2"/>
      <scheme val="minor"/>
    </font>
    <font>
      <sz val="10"/>
      <color rgb="FF3F3F76"/>
      <name val="Calibri"/>
      <family val="2"/>
      <scheme val="minor"/>
    </font>
    <font>
      <sz val="11"/>
      <color rgb="FFC00000"/>
      <name val="Calibri"/>
      <family val="2"/>
      <scheme val="minor"/>
    </font>
    <font>
      <b/>
      <sz val="11"/>
      <color rgb="FFC00000"/>
      <name val="Calibri"/>
      <family val="2"/>
      <scheme val="minor"/>
    </font>
    <font>
      <b/>
      <sz val="15"/>
      <color rgb="FF125359"/>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25359"/>
        <bgColor indexed="64"/>
      </patternFill>
    </fill>
    <fill>
      <patternFill patternType="solid">
        <fgColor rgb="FFE7EEEE"/>
        <bgColor indexed="64"/>
      </patternFill>
    </fill>
    <fill>
      <patternFill patternType="solid">
        <fgColor theme="0" tint="-4.9989318521683403E-2"/>
        <bgColor indexed="64"/>
      </patternFill>
    </fill>
    <fill>
      <patternFill patternType="solid">
        <fgColor rgb="FFCC99FF"/>
        <bgColor indexed="64"/>
      </patternFill>
    </fill>
    <fill>
      <patternFill patternType="solid">
        <fgColor theme="7" tint="0.39997558519241921"/>
        <bgColor rgb="FF000000"/>
      </patternFill>
    </fill>
    <fill>
      <patternFill patternType="solid">
        <fgColor rgb="FFFFFF99"/>
        <bgColor indexed="64"/>
      </patternFill>
    </fill>
    <fill>
      <patternFill patternType="solid">
        <fgColor rgb="FFFFFF99"/>
        <bgColor rgb="FF000000"/>
      </patternFill>
    </fill>
    <fill>
      <patternFill patternType="solid">
        <fgColor rgb="FF92D050"/>
        <bgColor indexed="64"/>
      </patternFill>
    </fill>
    <fill>
      <patternFill patternType="solid">
        <fgColor rgb="FF002060"/>
        <bgColor indexed="64"/>
      </patternFill>
    </fill>
    <fill>
      <patternFill patternType="solid">
        <fgColor theme="4" tint="0.79998168889431442"/>
        <bgColor rgb="FF000000"/>
      </patternFill>
    </fill>
    <fill>
      <patternFill patternType="solid">
        <fgColor rgb="FFFF0000"/>
        <bgColor indexed="64"/>
      </patternFill>
    </fill>
  </fills>
  <borders count="4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A1BABD"/>
      </left>
      <right style="thin">
        <color rgb="FFA1BABD"/>
      </right>
      <top style="thin">
        <color rgb="FFA1BABD"/>
      </top>
      <bottom style="thin">
        <color rgb="FFA1BABD"/>
      </bottom>
      <diagonal/>
    </border>
    <border>
      <left style="thin">
        <color rgb="FFA1BABD"/>
      </left>
      <right/>
      <top style="thin">
        <color rgb="FFA1BABD"/>
      </top>
      <bottom/>
      <diagonal/>
    </border>
    <border>
      <left/>
      <right/>
      <top style="thin">
        <color rgb="FFA1BABD"/>
      </top>
      <bottom/>
      <diagonal/>
    </border>
    <border>
      <left/>
      <right style="thin">
        <color rgb="FFA1BABD"/>
      </right>
      <top style="thin">
        <color rgb="FFA1BABD"/>
      </top>
      <bottom/>
      <diagonal/>
    </border>
    <border>
      <left style="thin">
        <color rgb="FFA1BABD"/>
      </left>
      <right/>
      <top/>
      <bottom/>
      <diagonal/>
    </border>
    <border>
      <left/>
      <right style="thin">
        <color rgb="FFA1BABD"/>
      </right>
      <top/>
      <bottom/>
      <diagonal/>
    </border>
    <border>
      <left style="thin">
        <color rgb="FFA1BABD"/>
      </left>
      <right/>
      <top/>
      <bottom style="thin">
        <color rgb="FFA1BABD"/>
      </bottom>
      <diagonal/>
    </border>
    <border>
      <left/>
      <right/>
      <top/>
      <bottom style="thin">
        <color rgb="FFA1BABD"/>
      </bottom>
      <diagonal/>
    </border>
    <border>
      <left/>
      <right style="thin">
        <color rgb="FFA1BABD"/>
      </right>
      <top/>
      <bottom style="thin">
        <color rgb="FFA1BABD"/>
      </bottom>
      <diagonal/>
    </border>
    <border>
      <left/>
      <right/>
      <top style="thin">
        <color rgb="FFA1BABD"/>
      </top>
      <bottom style="thin">
        <color rgb="FFA1BABD"/>
      </bottom>
      <diagonal/>
    </border>
    <border>
      <left style="thin">
        <color rgb="FFA1BABD"/>
      </left>
      <right/>
      <top style="thin">
        <color rgb="FFA1BABD"/>
      </top>
      <bottom style="thin">
        <color rgb="FFA1BABD"/>
      </bottom>
      <diagonal/>
    </border>
    <border>
      <left/>
      <right style="thin">
        <color rgb="FFA1BABD"/>
      </right>
      <top style="thin">
        <color rgb="FFA1BABD"/>
      </top>
      <bottom style="thin">
        <color rgb="FFA1BABD"/>
      </bottom>
      <diagonal/>
    </border>
    <border>
      <left style="thin">
        <color rgb="FFA1BABD"/>
      </left>
      <right style="thin">
        <color rgb="FFA1BABD"/>
      </right>
      <top style="thin">
        <color rgb="FFA1BABD"/>
      </top>
      <bottom/>
      <diagonal/>
    </border>
    <border>
      <left style="thin">
        <color rgb="FFA1BABD"/>
      </left>
      <right style="thin">
        <color rgb="FFA1BABD"/>
      </right>
      <top/>
      <bottom style="thin">
        <color rgb="FFA1BABD"/>
      </bottom>
      <diagonal/>
    </border>
    <border>
      <left/>
      <right/>
      <top/>
      <bottom style="double">
        <color rgb="FFA1BABD"/>
      </bottom>
      <diagonal/>
    </border>
    <border>
      <left/>
      <right style="thin">
        <color rgb="FFA1BABD"/>
      </right>
      <top style="thin">
        <color rgb="FFA1BABD"/>
      </top>
      <bottom style="double">
        <color rgb="FFA1BABD"/>
      </bottom>
      <diagonal/>
    </border>
    <border>
      <left style="thin">
        <color rgb="FFA1BABD"/>
      </left>
      <right style="thin">
        <color rgb="FFA1BABD"/>
      </right>
      <top style="thin">
        <color rgb="FFA1BABD"/>
      </top>
      <bottom style="double">
        <color rgb="FFA1BABD"/>
      </bottom>
      <diagonal/>
    </border>
    <border>
      <left style="thin">
        <color rgb="FFA1BABD"/>
      </left>
      <right/>
      <top style="thin">
        <color rgb="FFA1BABD"/>
      </top>
      <bottom style="double">
        <color rgb="FFA1BABD"/>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FBFBF"/>
      </left>
      <right style="thin">
        <color rgb="FFBFBFBF"/>
      </right>
      <top style="thin">
        <color rgb="FFBFBFBF"/>
      </top>
      <bottom style="thin">
        <color rgb="FFBFBFB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double">
        <color rgb="FFA1BABD"/>
      </left>
      <right style="thin">
        <color rgb="FFA1BABD"/>
      </right>
      <top/>
      <bottom style="thin">
        <color rgb="FFA1BABD"/>
      </bottom>
      <diagonal/>
    </border>
    <border>
      <left style="double">
        <color rgb="FFA1BABD"/>
      </left>
      <right style="thin">
        <color rgb="FFA1BABD"/>
      </right>
      <top style="thin">
        <color rgb="FFA1BABD"/>
      </top>
      <bottom style="thin">
        <color rgb="FFA1BABD"/>
      </bottom>
      <diagonal/>
    </border>
    <border>
      <left style="double">
        <color rgb="FFA1BABD"/>
      </left>
      <right style="thin">
        <color rgb="FFA1BABD"/>
      </right>
      <top style="thin">
        <color rgb="FFA1BABD"/>
      </top>
      <bottom/>
      <diagonal/>
    </border>
    <border>
      <left style="thin">
        <color rgb="FFA1BABD"/>
      </left>
      <right style="thin">
        <color rgb="FFA1BABD"/>
      </right>
      <top/>
      <bottom/>
      <diagonal/>
    </border>
    <border>
      <left style="thin">
        <color rgb="FFB2B2B2"/>
      </left>
      <right/>
      <top style="thin">
        <color rgb="FFB2B2B2"/>
      </top>
      <bottom style="thin">
        <color rgb="FFB2B2B2"/>
      </bottom>
      <diagonal/>
    </border>
    <border>
      <left style="thin">
        <color rgb="FF7F7F7F"/>
      </left>
      <right/>
      <top style="thin">
        <color rgb="FFA1BABD"/>
      </top>
      <bottom style="thin">
        <color rgb="FFA1BABD"/>
      </bottom>
      <diagonal/>
    </border>
    <border>
      <left style="dotted">
        <color rgb="FFA1BABD"/>
      </left>
      <right style="dotted">
        <color rgb="FFA1BABD"/>
      </right>
      <top style="dotted">
        <color rgb="FFA1BABD"/>
      </top>
      <bottom style="dotted">
        <color rgb="FFA1BABD"/>
      </bottom>
      <diagonal/>
    </border>
    <border>
      <left style="dotted">
        <color rgb="FFFF0000"/>
      </left>
      <right/>
      <top style="dotted">
        <color rgb="FFFF0000"/>
      </top>
      <bottom style="dotted">
        <color rgb="FFFF0000"/>
      </bottom>
      <diagonal/>
    </border>
    <border>
      <left/>
      <right/>
      <top style="dotted">
        <color rgb="FFFF0000"/>
      </top>
      <bottom style="dotted">
        <color rgb="FFFF0000"/>
      </bottom>
      <diagonal/>
    </border>
    <border>
      <left/>
      <right style="dotted">
        <color rgb="FFFF0000"/>
      </right>
      <top style="dotted">
        <color rgb="FFFF0000"/>
      </top>
      <bottom style="dotted">
        <color rgb="FFFF0000"/>
      </bottom>
      <diagonal/>
    </border>
    <border>
      <left style="double">
        <color rgb="FFA1BABD"/>
      </left>
      <right/>
      <top/>
      <bottom/>
      <diagonal/>
    </border>
    <border>
      <left style="double">
        <color rgb="FFA1BABD"/>
      </left>
      <right/>
      <top/>
      <bottom style="double">
        <color rgb="FFA1BABD"/>
      </bottom>
      <diagonal/>
    </border>
    <border>
      <left/>
      <right/>
      <top style="double">
        <color rgb="FFA1BABD"/>
      </top>
      <bottom/>
      <diagonal/>
    </border>
    <border>
      <left/>
      <right style="thin">
        <color rgb="FFA1BABD"/>
      </right>
      <top style="double">
        <color rgb="FFA1BABD"/>
      </top>
      <bottom/>
      <diagonal/>
    </border>
    <border>
      <left style="thin">
        <color rgb="FFA1BABD"/>
      </left>
      <right style="thin">
        <color rgb="FFA1BABD"/>
      </right>
      <top style="double">
        <color rgb="FFA1BABD"/>
      </top>
      <bottom/>
      <diagonal/>
    </border>
    <border>
      <left/>
      <right style="double">
        <color rgb="FFA1BABD"/>
      </right>
      <top style="double">
        <color rgb="FFA1BABD"/>
      </top>
      <bottom/>
      <diagonal/>
    </border>
    <border>
      <left/>
      <right style="double">
        <color rgb="FFA1BABD"/>
      </right>
      <top/>
      <bottom/>
      <diagonal/>
    </border>
  </borders>
  <cellStyleXfs count="78">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1" applyNumberFormat="0" applyAlignment="0" applyProtection="0"/>
    <xf numFmtId="0" fontId="7" fillId="6" borderId="2" applyNumberFormat="0" applyAlignment="0" applyProtection="0"/>
    <xf numFmtId="0" fontId="8"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8"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8"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8"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8"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8"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0" fillId="0" borderId="0" applyNumberFormat="0" applyFill="0" applyBorder="0" applyAlignment="0" applyProtection="0"/>
    <xf numFmtId="0" fontId="11" fillId="0" borderId="0"/>
    <xf numFmtId="0" fontId="13" fillId="35" borderId="22" applyNumberFormat="0" applyAlignment="0" applyProtection="0"/>
    <xf numFmtId="0" fontId="15" fillId="36" borderId="23" applyNumberFormat="0" applyProtection="0">
      <alignment vertical="center"/>
    </xf>
    <xf numFmtId="43" fontId="11" fillId="0" borderId="0" applyFont="0" applyFill="0" applyBorder="0" applyAlignment="0" applyProtection="0"/>
    <xf numFmtId="43" fontId="11"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4" fillId="0" borderId="0" applyNumberFormat="0" applyFill="0" applyBorder="0" applyAlignment="0" applyProtection="0">
      <alignment vertical="top"/>
      <protection locked="0"/>
    </xf>
    <xf numFmtId="0" fontId="13" fillId="37" borderId="1" applyNumberFormat="0" applyBorder="0" applyAlignment="0" applyProtection="0"/>
    <xf numFmtId="0" fontId="13" fillId="38" borderId="0">
      <alignment vertical="center"/>
    </xf>
    <xf numFmtId="0" fontId="13" fillId="39" borderId="24" applyNumberFormat="0" applyAlignment="0" applyProtection="0"/>
    <xf numFmtId="0" fontId="11" fillId="7" borderId="3" applyNumberFormat="0" applyFont="0" applyAlignment="0" applyProtection="0"/>
    <xf numFmtId="0" fontId="18" fillId="40" borderId="25" applyNumberFormat="0" applyAlignment="0" applyProtection="0"/>
    <xf numFmtId="9" fontId="19" fillId="0" borderId="0" applyFont="0" applyFill="0" applyBorder="0" applyAlignment="0" applyProtection="0"/>
    <xf numFmtId="0" fontId="13" fillId="41" borderId="26" applyNumberFormat="0" applyProtection="0">
      <alignment vertical="center"/>
    </xf>
    <xf numFmtId="0" fontId="18" fillId="42" borderId="0" applyNumberFormat="0" applyBorder="0" applyAlignment="0" applyProtection="0"/>
    <xf numFmtId="0" fontId="20" fillId="0" borderId="0">
      <alignment vertical="center" wrapText="1"/>
    </xf>
    <xf numFmtId="9" fontId="13" fillId="0" borderId="0" applyFont="0" applyFill="0" applyBorder="0" applyAlignment="0" applyProtection="0"/>
    <xf numFmtId="0" fontId="12" fillId="0" borderId="0" applyNumberFormat="0" applyFill="0" applyBorder="0" applyAlignment="0" applyProtection="0">
      <alignment vertical="top"/>
      <protection locked="0"/>
    </xf>
    <xf numFmtId="0" fontId="11" fillId="0" borderId="0"/>
    <xf numFmtId="0" fontId="1" fillId="9"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 fillId="0" borderId="0" applyFont="0" applyFill="0" applyBorder="0" applyAlignment="0" applyProtection="0"/>
    <xf numFmtId="0" fontId="9" fillId="0" borderId="0">
      <alignment horizontal="left" vertical="center"/>
    </xf>
    <xf numFmtId="0" fontId="1" fillId="7" borderId="3" applyNumberFormat="0" applyFont="0" applyAlignment="0" applyProtection="0"/>
    <xf numFmtId="164" fontId="1" fillId="0" borderId="0" applyFont="0" applyFill="0" applyBorder="0" applyAlignment="0" applyProtection="0"/>
    <xf numFmtId="0" fontId="20" fillId="0" borderId="0"/>
  </cellStyleXfs>
  <cellXfs count="233">
    <xf numFmtId="0" fontId="0" fillId="0" borderId="0" xfId="0"/>
    <xf numFmtId="0" fontId="0" fillId="32" borderId="0" xfId="0" applyFill="1" applyAlignment="1">
      <alignment horizontal="left" vertical="center"/>
    </xf>
    <xf numFmtId="0" fontId="0" fillId="0" borderId="0" xfId="0" applyAlignment="1">
      <alignment horizontal="left" vertical="center"/>
    </xf>
    <xf numFmtId="0" fontId="9" fillId="32" borderId="0" xfId="0" applyFont="1" applyFill="1" applyAlignment="1">
      <alignment horizontal="left" vertical="center"/>
    </xf>
    <xf numFmtId="0" fontId="9" fillId="0" borderId="0" xfId="0" applyFont="1" applyAlignment="1">
      <alignment horizontal="left" vertical="center"/>
    </xf>
    <xf numFmtId="0" fontId="9" fillId="0" borderId="4" xfId="0" applyFont="1" applyBorder="1" applyAlignment="1">
      <alignment horizontal="left" vertical="center"/>
    </xf>
    <xf numFmtId="0" fontId="9" fillId="0" borderId="13" xfId="0" applyFont="1" applyBorder="1" applyAlignment="1">
      <alignment horizontal="left" vertical="center"/>
    </xf>
    <xf numFmtId="0" fontId="9" fillId="0" borderId="11" xfId="0" applyFont="1" applyBorder="1" applyAlignment="1">
      <alignment horizontal="left" vertical="center"/>
    </xf>
    <xf numFmtId="0" fontId="7" fillId="32" borderId="4" xfId="0" applyFont="1" applyFill="1" applyBorder="1" applyAlignment="1">
      <alignment horizontal="center" vertical="center"/>
    </xf>
    <xf numFmtId="0" fontId="9" fillId="34" borderId="4" xfId="0" applyFont="1" applyFill="1" applyBorder="1" applyAlignment="1">
      <alignment horizontal="left" vertical="center"/>
    </xf>
    <xf numFmtId="0" fontId="9" fillId="34" borderId="14" xfId="0" applyFont="1" applyFill="1" applyBorder="1" applyAlignment="1">
      <alignment horizontal="left" vertical="center"/>
    </xf>
    <xf numFmtId="0" fontId="9" fillId="0" borderId="0" xfId="0" applyFont="1" applyAlignment="1">
      <alignment horizontal="left" vertical="center" indent="2"/>
    </xf>
    <xf numFmtId="0" fontId="9" fillId="0" borderId="18" xfId="0" applyFont="1" applyBorder="1" applyAlignment="1">
      <alignment horizontal="left" vertical="center"/>
    </xf>
    <xf numFmtId="0" fontId="9" fillId="33" borderId="4" xfId="0" applyFont="1" applyFill="1" applyBorder="1" applyAlignment="1">
      <alignment horizontal="center" vertical="center"/>
    </xf>
    <xf numFmtId="0" fontId="9" fillId="34" borderId="4" xfId="0" applyFont="1" applyFill="1" applyBorder="1" applyAlignment="1">
      <alignment horizontal="center" vertical="center"/>
    </xf>
    <xf numFmtId="43" fontId="9" fillId="34" borderId="4" xfId="1" applyFont="1" applyFill="1" applyBorder="1" applyAlignment="1">
      <alignment horizontal="left" vertical="center"/>
    </xf>
    <xf numFmtId="43" fontId="9" fillId="34" borderId="4" xfId="1" applyFont="1" applyFill="1" applyBorder="1" applyAlignment="1">
      <alignment horizontal="center" vertical="center"/>
    </xf>
    <xf numFmtId="43" fontId="9" fillId="33" borderId="4" xfId="1" applyFont="1" applyFill="1" applyBorder="1" applyAlignment="1">
      <alignment horizontal="left" vertical="center"/>
    </xf>
    <xf numFmtId="0" fontId="9" fillId="34" borderId="15" xfId="0" applyFont="1" applyFill="1" applyBorder="1" applyAlignment="1">
      <alignment horizontal="left" vertical="center"/>
    </xf>
    <xf numFmtId="0" fontId="7" fillId="32" borderId="12" xfId="0" applyFont="1" applyFill="1" applyBorder="1" applyAlignment="1">
      <alignment horizontal="center" vertical="center"/>
    </xf>
    <xf numFmtId="0" fontId="7" fillId="32" borderId="17" xfId="0" applyFont="1" applyFill="1" applyBorder="1" applyAlignment="1">
      <alignment horizontal="center" vertical="center"/>
    </xf>
    <xf numFmtId="0" fontId="7" fillId="32" borderId="10" xfId="0" applyFont="1" applyFill="1" applyBorder="1" applyAlignment="1">
      <alignment horizontal="center" vertical="center"/>
    </xf>
    <xf numFmtId="0" fontId="9" fillId="34" borderId="7" xfId="0" applyFont="1" applyFill="1" applyBorder="1" applyAlignment="1">
      <alignment horizontal="left" vertical="center"/>
    </xf>
    <xf numFmtId="43" fontId="9" fillId="34" borderId="16" xfId="1" applyFont="1" applyFill="1" applyBorder="1" applyAlignment="1">
      <alignment horizontal="left" vertical="center"/>
    </xf>
    <xf numFmtId="43" fontId="9" fillId="34" borderId="16" xfId="1" applyFont="1" applyFill="1" applyBorder="1" applyAlignment="1">
      <alignment horizontal="center" vertical="center"/>
    </xf>
    <xf numFmtId="0" fontId="9" fillId="34" borderId="16" xfId="0" applyFont="1" applyFill="1" applyBorder="1" applyAlignment="1">
      <alignment horizontal="center" vertical="center"/>
    </xf>
    <xf numFmtId="0" fontId="9" fillId="34" borderId="5" xfId="0" applyFont="1" applyFill="1" applyBorder="1" applyAlignment="1">
      <alignment horizontal="left" vertical="center"/>
    </xf>
    <xf numFmtId="0" fontId="7" fillId="32" borderId="12" xfId="0" applyFont="1" applyFill="1" applyBorder="1" applyAlignment="1">
      <alignment horizontal="left" vertical="center"/>
    </xf>
    <xf numFmtId="0" fontId="7" fillId="32" borderId="17" xfId="0" applyFont="1" applyFill="1" applyBorder="1" applyAlignment="1">
      <alignment horizontal="left" vertical="center"/>
    </xf>
    <xf numFmtId="0" fontId="7" fillId="32" borderId="10" xfId="0" applyFont="1" applyFill="1" applyBorder="1" applyAlignment="1">
      <alignment horizontal="left" vertical="center"/>
    </xf>
    <xf numFmtId="0" fontId="9" fillId="34" borderId="12" xfId="0" applyFont="1" applyFill="1" applyBorder="1" applyAlignment="1">
      <alignment horizontal="left" vertical="center"/>
    </xf>
    <xf numFmtId="0" fontId="9" fillId="34" borderId="17" xfId="0" applyFont="1" applyFill="1" applyBorder="1" applyAlignment="1">
      <alignment horizontal="left" vertical="center"/>
    </xf>
    <xf numFmtId="0" fontId="9" fillId="34" borderId="19" xfId="0" applyFont="1" applyFill="1" applyBorder="1" applyAlignment="1">
      <alignment horizontal="left" vertical="center"/>
    </xf>
    <xf numFmtId="0" fontId="9" fillId="34" borderId="20" xfId="0" applyFont="1" applyFill="1" applyBorder="1" applyAlignment="1">
      <alignment horizontal="left" vertical="center"/>
    </xf>
    <xf numFmtId="0" fontId="7" fillId="32" borderId="27" xfId="0" applyFont="1" applyFill="1" applyBorder="1" applyAlignment="1">
      <alignment horizontal="center" vertical="center"/>
    </xf>
    <xf numFmtId="0" fontId="10" fillId="34" borderId="14" xfId="32" applyFill="1" applyBorder="1" applyAlignment="1">
      <alignment horizontal="left" vertical="center"/>
    </xf>
    <xf numFmtId="43" fontId="9" fillId="33" borderId="16" xfId="1" applyFont="1" applyFill="1" applyBorder="1" applyAlignment="1">
      <alignment horizontal="left" vertical="center"/>
    </xf>
    <xf numFmtId="43" fontId="9" fillId="33" borderId="17" xfId="1" applyFont="1" applyFill="1" applyBorder="1" applyAlignment="1">
      <alignment horizontal="left" vertical="center"/>
    </xf>
    <xf numFmtId="43" fontId="9" fillId="33" borderId="20" xfId="1" applyFont="1" applyFill="1" applyBorder="1" applyAlignment="1">
      <alignment horizontal="left" vertical="center"/>
    </xf>
    <xf numFmtId="0" fontId="10" fillId="34" borderId="17" xfId="0" applyFont="1" applyFill="1" applyBorder="1" applyAlignment="1">
      <alignment horizontal="left" vertical="center"/>
    </xf>
    <xf numFmtId="0" fontId="10" fillId="34" borderId="10" xfId="0" applyFont="1" applyFill="1" applyBorder="1" applyAlignment="1">
      <alignment horizontal="left" vertical="center"/>
    </xf>
    <xf numFmtId="0" fontId="21" fillId="0" borderId="11" xfId="0" applyFont="1" applyBorder="1" applyAlignment="1">
      <alignment horizontal="left" vertical="center"/>
    </xf>
    <xf numFmtId="0" fontId="0" fillId="0" borderId="18" xfId="0" applyBorder="1" applyAlignment="1">
      <alignment horizontal="left" vertical="center"/>
    </xf>
    <xf numFmtId="43" fontId="9" fillId="33" borderId="28" xfId="1" applyFont="1" applyFill="1" applyBorder="1" applyAlignment="1">
      <alignment horizontal="center" vertical="center"/>
    </xf>
    <xf numFmtId="43" fontId="9" fillId="33" borderId="29" xfId="1" applyFont="1" applyFill="1" applyBorder="1" applyAlignment="1">
      <alignment horizontal="center" vertical="center"/>
    </xf>
    <xf numFmtId="43" fontId="6" fillId="5" borderId="1" xfId="1" applyFont="1" applyFill="1" applyBorder="1" applyAlignment="1">
      <alignment horizontal="left" vertical="center"/>
    </xf>
    <xf numFmtId="0" fontId="9" fillId="34" borderId="20" xfId="0" applyFont="1" applyFill="1" applyBorder="1" applyAlignment="1">
      <alignment horizontal="center" vertical="center"/>
    </xf>
    <xf numFmtId="0" fontId="10" fillId="34" borderId="14" xfId="0" applyFont="1" applyFill="1" applyBorder="1" applyAlignment="1">
      <alignment horizontal="left" vertical="center"/>
    </xf>
    <xf numFmtId="0" fontId="10" fillId="34" borderId="4" xfId="0" applyFont="1" applyFill="1" applyBorder="1" applyAlignment="1">
      <alignment horizontal="left" vertical="center"/>
    </xf>
    <xf numFmtId="0" fontId="10" fillId="34" borderId="21" xfId="0" applyFont="1" applyFill="1" applyBorder="1" applyAlignment="1">
      <alignment horizontal="left" vertical="center"/>
    </xf>
    <xf numFmtId="43" fontId="9" fillId="33" borderId="14" xfId="1" applyFont="1" applyFill="1" applyBorder="1" applyAlignment="1">
      <alignment horizontal="center" vertical="center"/>
    </xf>
    <xf numFmtId="0" fontId="9" fillId="34" borderId="17" xfId="0" applyFont="1" applyFill="1" applyBorder="1" applyAlignment="1">
      <alignment horizontal="center" vertical="center"/>
    </xf>
    <xf numFmtId="43" fontId="9" fillId="33" borderId="4" xfId="1" applyFont="1" applyFill="1" applyBorder="1" applyAlignment="1">
      <alignment horizontal="center" vertical="center"/>
    </xf>
    <xf numFmtId="0" fontId="10" fillId="34" borderId="20" xfId="0" applyFont="1" applyFill="1" applyBorder="1" applyAlignment="1">
      <alignment horizontal="left" vertical="center"/>
    </xf>
    <xf numFmtId="0" fontId="9" fillId="0" borderId="0" xfId="0" applyFont="1" applyAlignment="1">
      <alignment horizontal="center" vertical="center"/>
    </xf>
    <xf numFmtId="0" fontId="9" fillId="34" borderId="16" xfId="0" applyFont="1" applyFill="1" applyBorder="1" applyAlignment="1">
      <alignment horizontal="left" vertical="center"/>
    </xf>
    <xf numFmtId="0" fontId="9" fillId="33" borderId="4" xfId="0" applyFont="1" applyFill="1" applyBorder="1" applyAlignment="1">
      <alignment horizontal="left" vertical="center"/>
    </xf>
    <xf numFmtId="9" fontId="9" fillId="34" borderId="4" xfId="0" applyNumberFormat="1" applyFont="1" applyFill="1" applyBorder="1" applyAlignment="1">
      <alignment horizontal="left" vertical="center"/>
    </xf>
    <xf numFmtId="9" fontId="9" fillId="33" borderId="4" xfId="73" applyFont="1" applyFill="1" applyBorder="1" applyAlignment="1">
      <alignment horizontal="center" vertical="center"/>
    </xf>
    <xf numFmtId="9" fontId="9" fillId="34" borderId="4" xfId="73" applyFont="1" applyFill="1" applyBorder="1" applyAlignment="1">
      <alignment horizontal="center" vertical="center"/>
    </xf>
    <xf numFmtId="0" fontId="7" fillId="32" borderId="12" xfId="0" applyFont="1" applyFill="1" applyBorder="1" applyAlignment="1">
      <alignment horizontal="left" vertical="center" wrapText="1"/>
    </xf>
    <xf numFmtId="0" fontId="7" fillId="32" borderId="17" xfId="0" applyFont="1" applyFill="1" applyBorder="1" applyAlignment="1">
      <alignment horizontal="left" vertical="center" wrapText="1"/>
    </xf>
    <xf numFmtId="0" fontId="7" fillId="32" borderId="10" xfId="0" applyFont="1" applyFill="1" applyBorder="1" applyAlignment="1">
      <alignment horizontal="left" vertical="center" wrapText="1"/>
    </xf>
    <xf numFmtId="43" fontId="9" fillId="34" borderId="4" xfId="0" applyNumberFormat="1" applyFont="1" applyFill="1" applyBorder="1" applyAlignment="1">
      <alignment horizontal="left" vertical="center"/>
    </xf>
    <xf numFmtId="0" fontId="7" fillId="32" borderId="17" xfId="0" applyFont="1" applyFill="1" applyBorder="1" applyAlignment="1">
      <alignment horizontal="center" vertical="center" wrapText="1"/>
    </xf>
    <xf numFmtId="43" fontId="9" fillId="33" borderId="4" xfId="0" applyNumberFormat="1" applyFont="1" applyFill="1" applyBorder="1" applyAlignment="1">
      <alignment horizontal="left" vertical="center"/>
    </xf>
    <xf numFmtId="43" fontId="9" fillId="0" borderId="4" xfId="1" applyFont="1" applyBorder="1" applyAlignment="1">
      <alignment horizontal="left" vertical="center"/>
    </xf>
    <xf numFmtId="0" fontId="0" fillId="0" borderId="11" xfId="0" applyBorder="1" applyAlignment="1">
      <alignment horizontal="left" vertical="center"/>
    </xf>
    <xf numFmtId="0" fontId="8" fillId="32" borderId="12" xfId="0" applyFont="1" applyFill="1" applyBorder="1" applyAlignment="1">
      <alignment horizontal="left" vertical="center"/>
    </xf>
    <xf numFmtId="0" fontId="8" fillId="32" borderId="17" xfId="0" applyFont="1" applyFill="1" applyBorder="1" applyAlignment="1">
      <alignment horizontal="left" vertical="center"/>
    </xf>
    <xf numFmtId="0" fontId="8" fillId="32" borderId="10" xfId="0" applyFont="1" applyFill="1" applyBorder="1" applyAlignment="1">
      <alignment horizontal="left" vertical="center"/>
    </xf>
    <xf numFmtId="0" fontId="7" fillId="32" borderId="12" xfId="0" applyFont="1" applyFill="1" applyBorder="1" applyAlignment="1">
      <alignment horizontal="center" vertical="center" wrapText="1"/>
    </xf>
    <xf numFmtId="0" fontId="7" fillId="32" borderId="10" xfId="0" applyFont="1" applyFill="1" applyBorder="1" applyAlignment="1">
      <alignment horizontal="center" vertical="center" wrapText="1"/>
    </xf>
    <xf numFmtId="0" fontId="9" fillId="33" borderId="16" xfId="0" applyFont="1" applyFill="1" applyBorder="1" applyAlignment="1">
      <alignment horizontal="left" vertical="center"/>
    </xf>
    <xf numFmtId="0" fontId="7" fillId="32" borderId="4" xfId="0" applyFont="1" applyFill="1" applyBorder="1" applyAlignment="1">
      <alignment horizontal="left" vertical="center"/>
    </xf>
    <xf numFmtId="0" fontId="9" fillId="34" borderId="14" xfId="0" applyFont="1" applyFill="1" applyBorder="1" applyAlignment="1">
      <alignment horizontal="center" vertical="center"/>
    </xf>
    <xf numFmtId="0" fontId="0" fillId="32" borderId="0" xfId="0" applyFill="1" applyAlignment="1">
      <alignment horizontal="center" vertical="center"/>
    </xf>
    <xf numFmtId="0" fontId="10" fillId="34" borderId="17" xfId="32" applyFill="1" applyBorder="1" applyAlignment="1">
      <alignment horizontal="left" vertical="center"/>
    </xf>
    <xf numFmtId="0" fontId="24" fillId="34" borderId="5" xfId="32" applyFont="1" applyFill="1" applyBorder="1" applyAlignment="1">
      <alignment horizontal="left" vertical="center"/>
    </xf>
    <xf numFmtId="0" fontId="23" fillId="32" borderId="12" xfId="0" applyFont="1" applyFill="1" applyBorder="1" applyAlignment="1">
      <alignment horizontal="left" vertical="center"/>
    </xf>
    <xf numFmtId="0" fontId="23" fillId="32" borderId="17" xfId="0" applyFont="1" applyFill="1" applyBorder="1" applyAlignment="1">
      <alignment horizontal="left" vertical="center"/>
    </xf>
    <xf numFmtId="0" fontId="23" fillId="32" borderId="10" xfId="0" applyFont="1" applyFill="1" applyBorder="1" applyAlignment="1">
      <alignment horizontal="left" vertical="center"/>
    </xf>
    <xf numFmtId="43" fontId="9" fillId="33" borderId="5" xfId="1" applyFont="1" applyFill="1" applyBorder="1" applyAlignment="1">
      <alignment horizontal="left" vertical="center"/>
    </xf>
    <xf numFmtId="0" fontId="9" fillId="34" borderId="5" xfId="0" applyFont="1" applyFill="1" applyBorder="1" applyAlignment="1">
      <alignment horizontal="center" vertical="center"/>
    </xf>
    <xf numFmtId="0" fontId="9" fillId="33" borderId="14" xfId="0" applyFont="1" applyFill="1" applyBorder="1" applyAlignment="1">
      <alignment horizontal="left" vertical="center"/>
    </xf>
    <xf numFmtId="0" fontId="10" fillId="34" borderId="5" xfId="32" applyFill="1" applyBorder="1" applyAlignment="1">
      <alignment horizontal="left" vertical="center"/>
    </xf>
    <xf numFmtId="0" fontId="23" fillId="32" borderId="17" xfId="0" applyFont="1" applyFill="1" applyBorder="1" applyAlignment="1">
      <alignment horizontal="left" vertical="center" wrapText="1"/>
    </xf>
    <xf numFmtId="0" fontId="9" fillId="34" borderId="14" xfId="32" applyFont="1" applyFill="1" applyBorder="1" applyAlignment="1">
      <alignment horizontal="left" vertical="center"/>
    </xf>
    <xf numFmtId="0" fontId="0" fillId="0" borderId="0" xfId="0" applyAlignment="1">
      <alignment horizontal="center" vertical="center"/>
    </xf>
    <xf numFmtId="0" fontId="9" fillId="33" borderId="16" xfId="0" applyFont="1" applyFill="1" applyBorder="1" applyAlignment="1">
      <alignment horizontal="center" vertical="center"/>
    </xf>
    <xf numFmtId="43" fontId="9" fillId="33" borderId="14" xfId="1" applyFont="1" applyFill="1" applyBorder="1" applyAlignment="1">
      <alignment horizontal="left" vertical="center"/>
    </xf>
    <xf numFmtId="0" fontId="24" fillId="34" borderId="14" xfId="32" applyFont="1" applyFill="1" applyBorder="1" applyAlignment="1">
      <alignment horizontal="left" vertical="center"/>
    </xf>
    <xf numFmtId="0" fontId="0" fillId="0" borderId="18" xfId="0" applyBorder="1"/>
    <xf numFmtId="0" fontId="9" fillId="34" borderId="10" xfId="32" applyFont="1" applyFill="1" applyBorder="1" applyAlignment="1">
      <alignment horizontal="left" vertical="center"/>
    </xf>
    <xf numFmtId="0" fontId="9" fillId="34" borderId="5" xfId="32" applyFont="1" applyFill="1" applyBorder="1" applyAlignment="1">
      <alignment horizontal="left" vertical="center"/>
    </xf>
    <xf numFmtId="0" fontId="9" fillId="34" borderId="15" xfId="0" applyFont="1" applyFill="1" applyBorder="1" applyAlignment="1">
      <alignment horizontal="center" vertical="center"/>
    </xf>
    <xf numFmtId="43" fontId="9" fillId="34" borderId="15" xfId="1" applyFont="1" applyFill="1" applyBorder="1" applyAlignment="1">
      <alignment horizontal="left" vertical="center"/>
    </xf>
    <xf numFmtId="165" fontId="9" fillId="33" borderId="4" xfId="1" applyNumberFormat="1" applyFont="1" applyFill="1" applyBorder="1" applyAlignment="1">
      <alignment horizontal="left" vertical="center"/>
    </xf>
    <xf numFmtId="165" fontId="9" fillId="33" borderId="16" xfId="1" applyNumberFormat="1" applyFont="1" applyFill="1" applyBorder="1" applyAlignment="1">
      <alignment horizontal="left" vertical="center"/>
    </xf>
    <xf numFmtId="0" fontId="9" fillId="0" borderId="11" xfId="0" applyFont="1" applyBorder="1" applyAlignment="1">
      <alignment horizontal="left" vertical="center" wrapText="1"/>
    </xf>
    <xf numFmtId="0" fontId="10" fillId="34" borderId="16" xfId="0" applyFont="1" applyFill="1" applyBorder="1" applyAlignment="1">
      <alignment horizontal="left" vertical="center"/>
    </xf>
    <xf numFmtId="0" fontId="9" fillId="7" borderId="3" xfId="75" applyFont="1" applyAlignment="1">
      <alignment horizontal="left" vertical="center"/>
    </xf>
    <xf numFmtId="0" fontId="0" fillId="0" borderId="11" xfId="0" applyBorder="1" applyAlignment="1">
      <alignment horizontal="center" vertical="center"/>
    </xf>
    <xf numFmtId="43" fontId="6" fillId="0" borderId="0" xfId="1" applyFont="1" applyFill="1" applyBorder="1" applyAlignment="1">
      <alignment horizontal="left" vertical="center"/>
    </xf>
    <xf numFmtId="0" fontId="0" fillId="0" borderId="18" xfId="0" applyBorder="1" applyAlignment="1">
      <alignment horizontal="center" vertical="center"/>
    </xf>
    <xf numFmtId="43" fontId="9" fillId="34" borderId="14" xfId="1" applyFont="1" applyFill="1" applyBorder="1" applyAlignment="1">
      <alignment horizontal="left" vertical="center"/>
    </xf>
    <xf numFmtId="0" fontId="9" fillId="34" borderId="4" xfId="0" applyFont="1" applyFill="1" applyBorder="1" applyAlignment="1">
      <alignment horizontal="left" vertical="center" wrapText="1"/>
    </xf>
    <xf numFmtId="165" fontId="9" fillId="34" borderId="16" xfId="1" applyNumberFormat="1" applyFont="1" applyFill="1" applyBorder="1" applyAlignment="1">
      <alignment horizontal="left" vertical="center"/>
    </xf>
    <xf numFmtId="43" fontId="9" fillId="34" borderId="5" xfId="1" applyFont="1" applyFill="1" applyBorder="1" applyAlignment="1">
      <alignment horizontal="left" vertical="center"/>
    </xf>
    <xf numFmtId="0" fontId="7" fillId="32" borderId="27" xfId="0" applyFont="1" applyFill="1" applyBorder="1" applyAlignment="1">
      <alignment horizontal="center" vertical="center" wrapText="1"/>
    </xf>
    <xf numFmtId="43" fontId="9" fillId="34" borderId="4" xfId="73" applyNumberFormat="1" applyFont="1" applyFill="1" applyBorder="1" applyAlignment="1">
      <alignment horizontal="center" vertical="center"/>
    </xf>
    <xf numFmtId="43" fontId="9" fillId="34" borderId="17" xfId="1" applyFont="1" applyFill="1" applyBorder="1" applyAlignment="1">
      <alignment horizontal="left" vertical="center"/>
    </xf>
    <xf numFmtId="0" fontId="10" fillId="34" borderId="30" xfId="32" applyFill="1" applyBorder="1" applyAlignment="1">
      <alignment horizontal="left" vertical="center"/>
    </xf>
    <xf numFmtId="43" fontId="9" fillId="33" borderId="4" xfId="73" applyNumberFormat="1" applyFont="1" applyFill="1" applyBorder="1" applyAlignment="1">
      <alignment horizontal="left" vertical="center"/>
    </xf>
    <xf numFmtId="0" fontId="9" fillId="34" borderId="10" xfId="0" applyFont="1" applyFill="1" applyBorder="1" applyAlignment="1">
      <alignment horizontal="left" vertical="center"/>
    </xf>
    <xf numFmtId="0" fontId="9" fillId="34" borderId="8" xfId="0" applyFont="1" applyFill="1" applyBorder="1" applyAlignment="1">
      <alignment horizontal="left" vertical="center"/>
    </xf>
    <xf numFmtId="43" fontId="9" fillId="34" borderId="4" xfId="1" applyFont="1" applyFill="1" applyBorder="1" applyAlignment="1">
      <alignment vertical="center"/>
    </xf>
    <xf numFmtId="0" fontId="26" fillId="0" borderId="4" xfId="0" applyFont="1" applyBorder="1" applyAlignment="1">
      <alignment horizontal="left" vertical="center" indent="2"/>
    </xf>
    <xf numFmtId="43" fontId="9" fillId="0" borderId="13" xfId="1" applyFont="1" applyBorder="1" applyAlignment="1">
      <alignment horizontal="left" vertical="center"/>
    </xf>
    <xf numFmtId="43" fontId="7" fillId="32" borderId="4" xfId="1" applyFont="1" applyFill="1" applyBorder="1" applyAlignment="1">
      <alignment horizontal="left" vertical="center"/>
    </xf>
    <xf numFmtId="43" fontId="26" fillId="0" borderId="4" xfId="1" applyFont="1" applyBorder="1" applyAlignment="1">
      <alignment horizontal="left" vertical="center"/>
    </xf>
    <xf numFmtId="43" fontId="25" fillId="33" borderId="17" xfId="1" applyFont="1" applyFill="1" applyBorder="1" applyAlignment="1">
      <alignment horizontal="left" vertical="center"/>
    </xf>
    <xf numFmtId="43" fontId="25" fillId="33" borderId="4" xfId="1" applyFont="1" applyFill="1" applyBorder="1" applyAlignment="1">
      <alignment horizontal="left" vertical="center"/>
    </xf>
    <xf numFmtId="0" fontId="9" fillId="34" borderId="7" xfId="0" applyFont="1" applyFill="1" applyBorder="1" applyAlignment="1">
      <alignment horizontal="left" vertical="center" wrapText="1"/>
    </xf>
    <xf numFmtId="43" fontId="9" fillId="33" borderId="15" xfId="1" applyFont="1" applyFill="1" applyBorder="1" applyAlignment="1">
      <alignment horizontal="left" vertical="center"/>
    </xf>
    <xf numFmtId="9" fontId="9" fillId="33" borderId="4" xfId="0" applyNumberFormat="1" applyFont="1" applyFill="1" applyBorder="1" applyAlignment="1">
      <alignment horizontal="center" vertical="center"/>
    </xf>
    <xf numFmtId="43" fontId="0" fillId="5" borderId="1" xfId="1" applyFont="1" applyFill="1" applyBorder="1" applyAlignment="1">
      <alignment horizontal="left" vertical="center"/>
    </xf>
    <xf numFmtId="43" fontId="9" fillId="34" borderId="14" xfId="1" applyFont="1" applyFill="1" applyBorder="1" applyAlignment="1">
      <alignment horizontal="center" vertical="center"/>
    </xf>
    <xf numFmtId="0" fontId="9" fillId="7" borderId="31" xfId="75" applyFont="1" applyBorder="1" applyAlignment="1">
      <alignment horizontal="left" vertical="center"/>
    </xf>
    <xf numFmtId="43" fontId="9" fillId="33" borderId="5" xfId="1" applyFont="1" applyFill="1" applyBorder="1" applyAlignment="1">
      <alignment horizontal="center" vertical="center"/>
    </xf>
    <xf numFmtId="43" fontId="9" fillId="33" borderId="28" xfId="0" applyNumberFormat="1" applyFont="1" applyFill="1" applyBorder="1" applyAlignment="1">
      <alignment horizontal="center" vertical="center"/>
    </xf>
    <xf numFmtId="43" fontId="9" fillId="33" borderId="29" xfId="0" applyNumberFormat="1" applyFont="1" applyFill="1" applyBorder="1" applyAlignment="1">
      <alignment horizontal="center" vertical="center"/>
    </xf>
    <xf numFmtId="43" fontId="9" fillId="33" borderId="10" xfId="1" applyFont="1" applyFill="1" applyBorder="1" applyAlignment="1">
      <alignment horizontal="left" vertical="center"/>
    </xf>
    <xf numFmtId="43" fontId="9" fillId="33" borderId="14" xfId="0" applyNumberFormat="1" applyFont="1" applyFill="1" applyBorder="1" applyAlignment="1">
      <alignment horizontal="left" vertical="center"/>
    </xf>
    <xf numFmtId="43" fontId="9" fillId="33" borderId="5" xfId="0" applyNumberFormat="1" applyFont="1" applyFill="1" applyBorder="1" applyAlignment="1">
      <alignment horizontal="left" vertical="center"/>
    </xf>
    <xf numFmtId="43" fontId="9" fillId="33" borderId="14" xfId="0" applyNumberFormat="1" applyFont="1" applyFill="1" applyBorder="1" applyAlignment="1">
      <alignment horizontal="center" vertical="center"/>
    </xf>
    <xf numFmtId="43" fontId="9" fillId="33" borderId="5" xfId="0" applyNumberFormat="1" applyFont="1" applyFill="1" applyBorder="1" applyAlignment="1">
      <alignment horizontal="center" vertical="center"/>
    </xf>
    <xf numFmtId="43" fontId="9" fillId="34" borderId="5" xfId="1" applyFont="1" applyFill="1" applyBorder="1" applyAlignment="1">
      <alignment horizontal="center" vertical="center"/>
    </xf>
    <xf numFmtId="43" fontId="9" fillId="33" borderId="15" xfId="1" applyFont="1" applyFill="1" applyBorder="1" applyAlignment="1">
      <alignment horizontal="center" vertical="center"/>
    </xf>
    <xf numFmtId="43" fontId="9" fillId="33" borderId="13" xfId="1" applyFont="1" applyFill="1" applyBorder="1" applyAlignment="1">
      <alignment horizontal="left" vertical="center"/>
    </xf>
    <xf numFmtId="43" fontId="9" fillId="33" borderId="7" xfId="1" applyFont="1" applyFill="1" applyBorder="1" applyAlignment="1">
      <alignment horizontal="left" vertical="center"/>
    </xf>
    <xf numFmtId="43" fontId="9" fillId="33" borderId="6" xfId="1" applyFont="1" applyFill="1" applyBorder="1" applyAlignment="1">
      <alignment horizontal="left" vertical="center"/>
    </xf>
    <xf numFmtId="43" fontId="9" fillId="33" borderId="4" xfId="0" applyNumberFormat="1" applyFont="1" applyFill="1" applyBorder="1" applyAlignment="1">
      <alignment horizontal="center" vertical="center"/>
    </xf>
    <xf numFmtId="43" fontId="9" fillId="33" borderId="16" xfId="0" applyNumberFormat="1" applyFont="1" applyFill="1" applyBorder="1" applyAlignment="1">
      <alignment horizontal="center" vertical="center"/>
    </xf>
    <xf numFmtId="43" fontId="9" fillId="33" borderId="7" xfId="1" applyFont="1" applyFill="1" applyBorder="1" applyAlignment="1">
      <alignment horizontal="center" vertical="center"/>
    </xf>
    <xf numFmtId="43" fontId="9" fillId="0" borderId="0" xfId="1" applyFont="1" applyFill="1" applyBorder="1" applyAlignment="1">
      <alignment horizontal="left" vertical="center"/>
    </xf>
    <xf numFmtId="0" fontId="9" fillId="0" borderId="0" xfId="0" applyFont="1" applyAlignment="1">
      <alignment horizontal="center" vertical="center" wrapText="1"/>
    </xf>
    <xf numFmtId="0" fontId="8" fillId="32" borderId="0" xfId="0" applyFont="1" applyFill="1" applyAlignment="1">
      <alignment horizontal="left" vertical="center"/>
    </xf>
    <xf numFmtId="0" fontId="27" fillId="0" borderId="33" xfId="0" applyFont="1" applyBorder="1" applyAlignment="1">
      <alignment horizontal="center" vertical="center" wrapText="1"/>
    </xf>
    <xf numFmtId="43" fontId="28" fillId="0" borderId="33" xfId="1" applyFont="1" applyFill="1" applyBorder="1" applyAlignment="1">
      <alignment horizontal="center" vertical="center" wrapText="1"/>
    </xf>
    <xf numFmtId="0" fontId="9" fillId="0" borderId="33" xfId="0" applyFont="1" applyBorder="1" applyAlignment="1">
      <alignment horizontal="left" vertical="center"/>
    </xf>
    <xf numFmtId="0" fontId="9" fillId="0" borderId="5" xfId="0" applyFont="1" applyBorder="1" applyAlignment="1">
      <alignment horizontal="left" vertical="center"/>
    </xf>
    <xf numFmtId="0" fontId="25" fillId="0" borderId="6"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34" borderId="0" xfId="0" applyFont="1" applyFill="1" applyAlignment="1">
      <alignment horizontal="left" vertical="center"/>
    </xf>
    <xf numFmtId="0" fontId="9" fillId="33" borderId="0" xfId="0" applyFont="1" applyFill="1" applyAlignment="1">
      <alignment horizontal="left" vertical="center"/>
    </xf>
    <xf numFmtId="0" fontId="9" fillId="0" borderId="10" xfId="0" applyFont="1" applyBorder="1" applyAlignment="1">
      <alignment horizontal="left" vertical="center"/>
    </xf>
    <xf numFmtId="0" fontId="9" fillId="0" borderId="12" xfId="0" applyFont="1" applyBorder="1" applyAlignment="1">
      <alignment horizontal="left" vertical="center"/>
    </xf>
    <xf numFmtId="0" fontId="0" fillId="0" borderId="11" xfId="0" applyBorder="1"/>
    <xf numFmtId="0" fontId="9" fillId="0" borderId="15" xfId="0" applyFont="1" applyBorder="1" applyAlignment="1">
      <alignment horizontal="left" vertical="center"/>
    </xf>
    <xf numFmtId="43" fontId="9" fillId="0" borderId="14" xfId="1" applyFont="1" applyBorder="1" applyAlignment="1">
      <alignment horizontal="left" vertical="center"/>
    </xf>
    <xf numFmtId="0" fontId="0" fillId="32" borderId="37" xfId="0" applyFill="1" applyBorder="1" applyAlignment="1">
      <alignment horizontal="left" vertical="center"/>
    </xf>
    <xf numFmtId="0" fontId="0" fillId="0" borderId="37" xfId="0" applyBorder="1" applyAlignment="1">
      <alignment horizontal="left" vertical="center"/>
    </xf>
    <xf numFmtId="0" fontId="31" fillId="0" borderId="11" xfId="0" applyFont="1" applyBorder="1" applyAlignment="1">
      <alignment horizontal="left" vertical="center"/>
    </xf>
    <xf numFmtId="0" fontId="0" fillId="0" borderId="0" xfId="0" applyAlignment="1">
      <alignment horizontal="left" vertical="center" wrapText="1"/>
    </xf>
    <xf numFmtId="0" fontId="0" fillId="0" borderId="38" xfId="0" applyBorder="1" applyAlignment="1">
      <alignment horizontal="left" vertical="center"/>
    </xf>
    <xf numFmtId="0" fontId="0" fillId="0" borderId="0" xfId="0" pivotButton="1" applyAlignment="1">
      <alignment horizontal="left" vertical="center"/>
    </xf>
    <xf numFmtId="43" fontId="0" fillId="0" borderId="0" xfId="0" applyNumberFormat="1" applyAlignment="1">
      <alignment horizontal="left" vertical="center"/>
    </xf>
    <xf numFmtId="0" fontId="0" fillId="0" borderId="0" xfId="0" pivotButton="1" applyAlignment="1">
      <alignment horizontal="left" vertical="center" wrapText="1"/>
    </xf>
    <xf numFmtId="0" fontId="0" fillId="0" borderId="39" xfId="0" applyBorder="1" applyAlignment="1">
      <alignment horizontal="left" vertical="center"/>
    </xf>
    <xf numFmtId="43" fontId="25" fillId="33" borderId="41" xfId="1" applyFont="1" applyFill="1" applyBorder="1" applyAlignment="1">
      <alignment horizontal="left" vertical="center"/>
    </xf>
    <xf numFmtId="0" fontId="0" fillId="0" borderId="42" xfId="0" applyBorder="1" applyAlignment="1">
      <alignment horizontal="left" vertical="center"/>
    </xf>
    <xf numFmtId="0" fontId="0" fillId="0" borderId="43" xfId="0" applyBorder="1" applyAlignment="1">
      <alignment horizontal="left" vertical="center"/>
    </xf>
    <xf numFmtId="0" fontId="0" fillId="0" borderId="43" xfId="0" applyBorder="1"/>
    <xf numFmtId="0" fontId="9" fillId="34" borderId="15" xfId="0" applyFont="1" applyFill="1" applyBorder="1" applyAlignment="1">
      <alignment horizontal="left" vertical="center" wrapText="1"/>
    </xf>
    <xf numFmtId="0" fontId="25" fillId="34" borderId="40" xfId="0" applyFont="1" applyFill="1" applyBorder="1" applyAlignment="1">
      <alignment horizontal="left" vertical="center" wrapText="1"/>
    </xf>
    <xf numFmtId="0" fontId="29" fillId="0" borderId="34" xfId="0" applyFont="1" applyBorder="1" applyAlignment="1">
      <alignment horizontal="center" vertical="center" wrapText="1"/>
    </xf>
    <xf numFmtId="0" fontId="29" fillId="0" borderId="35" xfId="0" applyFont="1" applyBorder="1" applyAlignment="1">
      <alignment horizontal="center" vertical="center" wrapText="1"/>
    </xf>
    <xf numFmtId="0" fontId="29" fillId="0" borderId="36"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2" xfId="0" applyFont="1" applyBorder="1" applyAlignment="1">
      <alignment horizontal="center" vertical="center" wrapText="1"/>
    </xf>
    <xf numFmtId="0" fontId="6" fillId="5" borderId="32" xfId="6" applyBorder="1" applyAlignment="1">
      <alignment horizontal="center" vertical="center"/>
    </xf>
    <xf numFmtId="0" fontId="6" fillId="5" borderId="13" xfId="6" applyBorder="1" applyAlignment="1">
      <alignment horizontal="center" vertical="center"/>
    </xf>
    <xf numFmtId="0" fontId="6" fillId="5" borderId="15" xfId="6" applyBorder="1" applyAlignment="1">
      <alignment horizontal="center"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33" borderId="14" xfId="0" applyFont="1" applyFill="1" applyBorder="1" applyAlignment="1">
      <alignment horizontal="center" vertical="center"/>
    </xf>
    <xf numFmtId="0" fontId="9" fillId="33" borderId="13" xfId="0" applyFont="1" applyFill="1" applyBorder="1" applyAlignment="1">
      <alignment horizontal="center" vertical="center"/>
    </xf>
    <xf numFmtId="0" fontId="9" fillId="33" borderId="15" xfId="0" applyFont="1" applyFill="1" applyBorder="1" applyAlignment="1">
      <alignment horizontal="center" vertical="center"/>
    </xf>
    <xf numFmtId="9" fontId="0" fillId="0" borderId="0" xfId="0" applyNumberFormat="1" applyAlignment="1">
      <alignment horizontal="left" vertical="center"/>
    </xf>
    <xf numFmtId="43" fontId="9" fillId="33" borderId="4" xfId="1" applyFont="1" applyFill="1" applyBorder="1" applyAlignment="1">
      <alignment horizontal="left" vertical="center" wrapText="1"/>
    </xf>
    <xf numFmtId="0" fontId="9" fillId="34" borderId="15" xfId="0" applyFont="1" applyFill="1" applyBorder="1" applyAlignment="1">
      <alignment horizontal="left" vertical="center" wrapText="1"/>
    </xf>
    <xf applyNumberFormat="1" numFmtId="9" fontId="9" fillId="0" borderId="4" xfId="1" applyFont="1" applyBorder="1" applyAlignment="1">
      <alignment horizontal="left" vertical="center"/>
    </xf>
    <xf numFmtId="0" fontId="6" fillId="5" borderId="32" xfId="6" applyBorder="1" applyAlignment="1" applyProtection="1">
      <alignment horizontal="center" vertical="center"/>
      <protection locked="0"/>
    </xf>
    <xf numFmtId="0" fontId="9" fillId="34" borderId="15" xfId="0" applyFont="1" applyFill="1" applyBorder="1" applyAlignment="1" applyProtection="1">
      <alignment horizontal="left" vertical="center"/>
      <protection locked="0"/>
    </xf>
    <xf numFmtId="0" fontId="9" fillId="34" borderId="7" xfId="0" applyFont="1" applyFill="1" applyBorder="1" applyAlignment="1" applyProtection="1">
      <alignment horizontal="left" vertical="center"/>
      <protection locked="0"/>
    </xf>
    <xf numFmtId="0" fontId="9" fillId="34" borderId="4" xfId="0" applyFont="1" applyFill="1" applyBorder="1" applyAlignment="1" applyProtection="1">
      <alignment horizontal="left" vertical="center"/>
      <protection locked="0"/>
    </xf>
    <xf numFmtId="0" fontId="9" fillId="34" borderId="4" xfId="0" applyFont="1" applyFill="1" applyBorder="1" applyAlignment="1" applyProtection="1">
      <alignment horizontal="center" vertical="center"/>
      <protection locked="0"/>
    </xf>
    <xf numFmtId="0" fontId="9" fillId="34" borderId="16" xfId="0" applyFont="1" applyFill="1" applyBorder="1" applyAlignment="1" applyProtection="1">
      <alignment horizontal="left" vertical="center"/>
      <protection locked="0"/>
    </xf>
    <xf numFmtId="43" fontId="9" fillId="33" borderId="4" xfId="1" applyFont="1" applyFill="1" applyBorder="1" applyAlignment="1" applyProtection="1">
      <alignment horizontal="left" vertical="center"/>
      <protection locked="0"/>
    </xf>
    <xf numFmtId="43" fontId="9" fillId="33" borderId="16" xfId="1" applyFont="1" applyFill="1" applyBorder="1" applyAlignment="1" applyProtection="1">
      <alignment horizontal="left" vertical="center"/>
      <protection locked="0"/>
    </xf>
    <xf numFmtId="43" fontId="9" fillId="33" borderId="4" xfId="1" applyFont="1" applyFill="1" applyBorder="1" applyAlignment="1" applyProtection="1">
      <alignment horizontal="left" vertical="center" wrapText="1"/>
      <protection locked="0"/>
    </xf>
    <xf numFmtId="0" fontId="9" fillId="33" borderId="4" xfId="0" applyFont="1" applyFill="1" applyBorder="1" applyAlignment="1" applyProtection="1">
      <alignment horizontal="center" vertical="center"/>
      <protection locked="0"/>
    </xf>
    <xf numFmtId="0" fontId="9" fillId="33" borderId="16" xfId="0" applyFont="1" applyFill="1" applyBorder="1" applyAlignment="1" applyProtection="1">
      <alignment horizontal="center" vertical="center"/>
      <protection locked="0"/>
    </xf>
    <xf numFmtId="0" fontId="9" fillId="34" borderId="16" xfId="0" applyFont="1" applyFill="1" applyBorder="1" applyAlignment="1" applyProtection="1">
      <alignment horizontal="center" vertical="center"/>
      <protection locked="0"/>
    </xf>
    <xf numFmtId="0" fontId="9" fillId="34" borderId="14" xfId="0" applyFont="1" applyFill="1" applyBorder="1" applyAlignment="1" applyProtection="1">
      <alignment horizontal="left" vertical="center"/>
      <protection locked="0"/>
    </xf>
    <xf numFmtId="0" fontId="9" fillId="34" borderId="5" xfId="0" applyFont="1" applyFill="1" applyBorder="1" applyAlignment="1" applyProtection="1">
      <alignment horizontal="left" vertical="center"/>
      <protection locked="0"/>
    </xf>
    <xf numFmtId="0" fontId="9" fillId="34" borderId="14" xfId="0" applyFont="1" applyFill="1" applyBorder="1" applyAlignment="1" applyProtection="1">
      <alignment horizontal="center" vertical="center"/>
      <protection locked="0"/>
    </xf>
    <xf numFmtId="0" fontId="9" fillId="33" borderId="4" xfId="0" applyFont="1" applyFill="1" applyBorder="1" applyAlignment="1" applyProtection="1">
      <alignment horizontal="left" vertical="center"/>
      <protection locked="0"/>
    </xf>
    <xf numFmtId="43" fontId="9" fillId="33" borderId="4" xfId="1" applyFont="1" applyFill="1" applyBorder="1" applyAlignment="1" applyProtection="1">
      <alignment horizontal="center" vertical="center"/>
      <protection locked="0"/>
    </xf>
    <xf numFmtId="0" fontId="9" fillId="33" borderId="16" xfId="0" applyFont="1" applyFill="1" applyBorder="1" applyAlignment="1" applyProtection="1">
      <alignment horizontal="left" vertical="center"/>
      <protection locked="0"/>
    </xf>
    <xf numFmtId="43" fontId="9" fillId="34" borderId="17" xfId="1" applyFont="1" applyFill="1" applyBorder="1" applyAlignment="1" applyProtection="1">
      <alignment horizontal="left" vertical="center"/>
      <protection locked="0"/>
    </xf>
    <xf numFmtId="43" fontId="9" fillId="34" borderId="4" xfId="1" applyFont="1" applyFill="1" applyBorder="1" applyAlignment="1" applyProtection="1">
      <alignment horizontal="left" vertical="center"/>
      <protection locked="0"/>
    </xf>
    <xf numFmtId="0" fontId="9" fillId="33" borderId="14" xfId="0" applyFont="1" applyFill="1" applyBorder="1" applyAlignment="1" applyProtection="1">
      <alignment horizontal="left" vertical="center"/>
      <protection locked="0"/>
    </xf>
    <xf numFmtId="43" fontId="9" fillId="33" borderId="14" xfId="1" applyFont="1" applyFill="1" applyBorder="1" applyAlignment="1" applyProtection="1">
      <alignment horizontal="left" vertical="center"/>
      <protection locked="0"/>
    </xf>
    <xf numFmtId="9" fontId="9" fillId="33" borderId="4" xfId="73" applyFont="1" applyFill="1" applyBorder="1" applyAlignment="1" applyProtection="1">
      <alignment horizontal="center" vertical="center"/>
      <protection locked="0"/>
    </xf>
  </cellXfs>
  <cellStyles count="78">
    <cellStyle name="20% - Accent1" xfId="9" builtinId="30" customBuiltin="1"/>
    <cellStyle name="20% - Accent1 2" xfId="53" xr:uid="{89D71AEF-DF44-4478-B65F-1BC0DE3D7F51}"/>
    <cellStyle name="20% - Accent2" xfId="13" builtinId="34" customBuiltin="1"/>
    <cellStyle name="20% - Accent2 2" xfId="54" xr:uid="{25E49BCB-FED2-4167-B9E0-562FEB751DC1}"/>
    <cellStyle name="20% - Accent3" xfId="17" builtinId="38" customBuiltin="1"/>
    <cellStyle name="20% - Accent3 2" xfId="55" xr:uid="{97ED5168-869E-42FE-B395-162A51274CEA}"/>
    <cellStyle name="20% - Accent4" xfId="21" builtinId="42" customBuiltin="1"/>
    <cellStyle name="20% - Accent4 2" xfId="56" xr:uid="{344D970C-99A1-4EBD-8E77-D26A1969E2C1}"/>
    <cellStyle name="20% - Accent5" xfId="25" builtinId="46" customBuiltin="1"/>
    <cellStyle name="20% - Accent5 2" xfId="57" xr:uid="{594E9C77-9083-482A-93FA-84A1C9E936D2}"/>
    <cellStyle name="20% - Accent6" xfId="29" builtinId="50" customBuiltin="1"/>
    <cellStyle name="20% - Accent6 2" xfId="58" xr:uid="{0188CA0F-2ACA-4C1C-AF59-0EACFB1E06B3}"/>
    <cellStyle name="40% - Accent1" xfId="10" builtinId="31" customBuiltin="1"/>
    <cellStyle name="40% - Accent1 2" xfId="59" xr:uid="{2E54B267-1768-4408-82E0-C434ADF7F2C9}"/>
    <cellStyle name="40% - Accent2" xfId="14" builtinId="35" customBuiltin="1"/>
    <cellStyle name="40% - Accent2 2" xfId="60" xr:uid="{DFCDA937-5E6D-452E-A180-3A9E8D487184}"/>
    <cellStyle name="40% - Accent3" xfId="18" builtinId="39" customBuiltin="1"/>
    <cellStyle name="40% - Accent3 2" xfId="61" xr:uid="{32E9CFC7-7A3A-4D2B-9616-7382B08498E4}"/>
    <cellStyle name="40% - Accent4" xfId="22" builtinId="43" customBuiltin="1"/>
    <cellStyle name="40% - Accent4 2" xfId="62" xr:uid="{3CE34F26-A3CA-4341-BC60-CDE2078A64BD}"/>
    <cellStyle name="40% - Accent5" xfId="26" builtinId="47" customBuiltin="1"/>
    <cellStyle name="40% - Accent5 2" xfId="63" xr:uid="{C3CB4161-46A5-4E2E-9F56-93A5CA98AA77}"/>
    <cellStyle name="40% - Accent6" xfId="30" builtinId="51" customBuiltin="1"/>
    <cellStyle name="40% - Accent6 2" xfId="64" xr:uid="{4DF1D3EB-597F-4CB7-834B-438EDB0353A7}"/>
    <cellStyle name="60% - Accent1" xfId="11" builtinId="32" customBuiltin="1"/>
    <cellStyle name="60% - Accent1 2" xfId="65" xr:uid="{3584B738-FF1A-4BB2-9A85-E0A673B7F554}"/>
    <cellStyle name="60% - Accent2" xfId="15" builtinId="36" customBuiltin="1"/>
    <cellStyle name="60% - Accent2 2" xfId="66" xr:uid="{2C5A9E70-DC10-4042-9CF6-C532F1FDA322}"/>
    <cellStyle name="60% - Accent3" xfId="19" builtinId="40" customBuiltin="1"/>
    <cellStyle name="60% - Accent3 2" xfId="67" xr:uid="{B153F638-4C66-4379-966D-4BE08A81CDA7}"/>
    <cellStyle name="60% - Accent4" xfId="23" builtinId="44" customBuiltin="1"/>
    <cellStyle name="60% - Accent4 2" xfId="68" xr:uid="{45A64842-E5AE-4D97-8A69-5BAA997FE7DA}"/>
    <cellStyle name="60% - Accent5" xfId="27" builtinId="48" customBuiltin="1"/>
    <cellStyle name="60% - Accent5 2" xfId="69" xr:uid="{49DCACB4-DE8D-44A2-97A5-036C6266F67E}"/>
    <cellStyle name="60% - Accent6" xfId="31" builtinId="52" customBuiltin="1"/>
    <cellStyle name="60% - Accent6 2" xfId="70" xr:uid="{6C376608-7715-40F9-AA06-B1021F75EB9F}"/>
    <cellStyle name="Accent1" xfId="8" builtinId="29" customBuiltin="1"/>
    <cellStyle name="Accent2" xfId="12" builtinId="33" customBuiltin="1"/>
    <cellStyle name="Accent3" xfId="16" builtinId="37" customBuiltin="1"/>
    <cellStyle name="Accent4" xfId="20" builtinId="41" customBuiltin="1"/>
    <cellStyle name="Accent5" xfId="24" builtinId="45" customBuiltin="1"/>
    <cellStyle name="Accent6" xfId="28" builtinId="49" customBuiltin="1"/>
    <cellStyle name="Bad" xfId="4" builtinId="27" customBuiltin="1"/>
    <cellStyle name="Calculation 2" xfId="35" xr:uid="{854C76F3-ED95-48D3-AB64-64307B9FD00F}"/>
    <cellStyle name="Calculation 3" xfId="34" xr:uid="{8FEF8B5C-4748-4A12-BCA9-DB341D9B59C4}"/>
    <cellStyle name="Check Cell" xfId="7" builtinId="23" customBuiltin="1"/>
    <cellStyle name="Comma" xfId="1" builtinId="3"/>
    <cellStyle name="Comma 2" xfId="37" xr:uid="{2A92315D-AC8A-406E-B1E6-8893FE984B0D}"/>
    <cellStyle name="Comma 2 2" xfId="72" xr:uid="{62AF39E8-959D-4FF0-8E13-94BA34F068B2}"/>
    <cellStyle name="Comma 2 3" xfId="76" xr:uid="{C7AF47BC-B6E8-4567-8F88-2DDACCF989FB}"/>
    <cellStyle name="Comma 3" xfId="71" xr:uid="{A955030B-9C18-47F9-821B-F75C3BC3EA2A}"/>
    <cellStyle name="Comma 4" xfId="36" xr:uid="{6EAAC374-9926-457C-9AED-5663C8CD7EB4}"/>
    <cellStyle name="Explanatory Text 2" xfId="38" xr:uid="{89324548-7916-4596-BDEE-73CC8DE9DE03}"/>
    <cellStyle name="Followed Hyperlink 2" xfId="39" xr:uid="{9452C64D-082A-4D4A-A4D7-145D259C8C21}"/>
    <cellStyle name="Good" xfId="3" builtinId="26" customBuiltin="1"/>
    <cellStyle name="Hyperlink" xfId="32" builtinId="8"/>
    <cellStyle name="Hyperlink 2" xfId="51" xr:uid="{617E5A1D-D896-4878-B0E3-7A25D4CF8A9E}"/>
    <cellStyle name="Hyperlink 3" xfId="40" xr:uid="{A8455DC3-7860-40EF-B897-22603E9013FC}"/>
    <cellStyle name="Input" xfId="6" builtinId="20"/>
    <cellStyle name="Input 2" xfId="41" xr:uid="{D54E9F77-AE9E-44D0-A534-A7E0945242D7}"/>
    <cellStyle name="Input data" xfId="42" xr:uid="{96929EC5-AC04-4229-B3E7-5CD19DF4FEC1}"/>
    <cellStyle name="Linked Cell 2" xfId="43" xr:uid="{995262FE-A1DB-4274-920F-A1BB1124DFAE}"/>
    <cellStyle name="Neutral" xfId="5" builtinId="28" customBuiltin="1"/>
    <cellStyle name="Normal" xfId="0" builtinId="0"/>
    <cellStyle name="Normal 2" xfId="52" xr:uid="{D989C67F-E9D0-4690-834C-DB3852BDDE05}"/>
    <cellStyle name="Normal 3" xfId="33" xr:uid="{E572A220-A727-4966-82DC-DD1D3C65DB7B}"/>
    <cellStyle name="Normal 4" xfId="49" xr:uid="{A8B07BFC-E6D7-4905-8E0A-56CB3A876C50}"/>
    <cellStyle name="Note" xfId="75" builtinId="10"/>
    <cellStyle name="Note 2" xfId="44" xr:uid="{9FDBCB26-D907-4D38-A4D2-924E19B6D4B2}"/>
    <cellStyle name="Output 2" xfId="45" xr:uid="{4E0F4994-611B-4D0F-A715-96701B244A1A}"/>
    <cellStyle name="Percent" xfId="73" builtinId="5"/>
    <cellStyle name="Percent 2" xfId="46" xr:uid="{DA8B1F68-36D6-4692-ADE5-2E340973BE1E}"/>
    <cellStyle name="Percent 3" xfId="50" xr:uid="{9D2C94AF-8329-4F40-B22B-DE0B58C4FD1B}"/>
    <cellStyle name="Selection" xfId="47" xr:uid="{DAA214E7-FFE7-42FB-8668-28747124021C}"/>
    <cellStyle name="Standard 2" xfId="77" xr:uid="{6D10ECFF-F896-485C-9A2F-1DAADFEED07C}"/>
    <cellStyle name="Style 1" xfId="74" xr:uid="{72866B1A-E440-4440-A500-AFB4ADCE0EAB}"/>
    <cellStyle name="Title" xfId="2" builtinId="15" customBuiltin="1"/>
    <cellStyle name="Warning Text 2" xfId="48" xr:uid="{03AA6958-2CB6-49BC-99C0-BF58CE1EB61C}"/>
  </cellStyles>
  <dxfs count="1346">
    <dxf>
      <font>
        <color rgb="FF006100"/>
      </font>
      <fill>
        <patternFill>
          <bgColor rgb="FFC6EFCE"/>
        </patternFill>
      </fill>
    </dxf>
    <dxf>
      <font>
        <color rgb="FF9C0006"/>
      </font>
      <fill>
        <patternFill>
          <bgColor rgb="FFFFC7CE"/>
        </patternFill>
      </fill>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bottom style="thin">
          <color rgb="FFA1BABD"/>
        </bottom>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font>
        <b/>
        <strike val="0"/>
        <outline val="0"/>
        <shadow val="0"/>
        <u val="none"/>
        <vertAlign val="baseline"/>
        <sz val="11"/>
        <color theme="0"/>
        <name val="Calibri"/>
        <family val="2"/>
        <scheme val="minor"/>
      </font>
      <fill>
        <patternFill>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bottom style="thin">
          <color rgb="FFA1BABD"/>
        </bottom>
      </border>
    </dxf>
    <dxf>
      <border outline="0">
        <left style="thin">
          <color rgb="FFA1BABD"/>
        </left>
        <right style="thin">
          <color rgb="FFA1BABD"/>
        </right>
        <top style="thin">
          <color rgb="FFA1BABD"/>
        </top>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left"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left"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bottom style="thin">
          <color rgb="FFA1BABD"/>
        </bottom>
        <vertical/>
        <horizontal/>
      </border>
    </dxf>
    <dxf>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rgb="FFA1BABD"/>
        </left>
        <right style="thin">
          <color rgb="FFA1BABD"/>
        </right>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rgb="FFA1BABD"/>
        </left>
        <right style="thin">
          <color rgb="FFA1BABD"/>
        </right>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val="0"/>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left"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dxf>
    <dxf>
      <border>
        <bottom style="thin">
          <color rgb="FFA1BABD"/>
        </bottom>
      </border>
    </dxf>
    <dxf>
      <font>
        <strike val="0"/>
        <outline val="0"/>
        <shadow val="0"/>
        <u val="none"/>
        <vertAlign val="baseline"/>
        <sz val="11"/>
        <color theme="0"/>
        <name val="Calibri"/>
        <family val="2"/>
        <scheme val="minor"/>
      </font>
      <fill>
        <patternFill patternType="solid">
          <fgColor indexed="64"/>
          <bgColor rgb="FF125359"/>
        </patternFill>
      </fill>
      <alignment horizontal="left"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top style="thin">
          <color rgb="FFA1BABD"/>
        </top>
        <bottom style="thin">
          <color rgb="FFA1BABD"/>
        </bottom>
      </border>
    </dxf>
    <dxf>
      <font>
        <strike val="0"/>
        <outline val="0"/>
        <shadow val="0"/>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strike val="0"/>
        <outline val="0"/>
        <shadow val="0"/>
        <u val="none"/>
        <vertAlign val="baseline"/>
        <sz val="11"/>
        <color theme="0" tint="-4.9989318521683403E-2"/>
        <name val="Calibri"/>
        <family val="2"/>
        <scheme val="minor"/>
      </font>
      <fill>
        <patternFill patternType="solid">
          <fgColor indexed="64"/>
          <bgColor rgb="FF125359"/>
        </patternFill>
      </fill>
      <alignment horizontal="left"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left" vertical="center" textRotation="0" wrapText="1"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left"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left"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B2B2B2"/>
        </left>
        <right/>
        <top style="thin">
          <color rgb="FFB2B2B2"/>
        </top>
        <bottom style="thin">
          <color rgb="FFB2B2B2"/>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left style="thin">
          <color rgb="FFA1BABD"/>
        </left>
        <right style="thin">
          <color rgb="FFA1BABD"/>
        </right>
        <top style="thin">
          <color rgb="FFA1BABD"/>
        </top>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border outline="0">
        <left style="thin">
          <color rgb="FFA1BABD"/>
        </left>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color rgb="FF125359"/>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color rgb="FF125359"/>
      </font>
      <fill>
        <patternFill patternType="solid">
          <fgColor indexed="64"/>
          <bgColor rgb="FFE7EEEE"/>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color rgb="FF125359"/>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color rgb="FF125359"/>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outline="0">
        <top style="thin">
          <color rgb="FFA1BABD"/>
        </top>
      </border>
    </dxf>
    <dxf>
      <border outline="0">
        <left style="thin">
          <color rgb="FFA1BABD"/>
        </lef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font>
        <b/>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b/>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b/>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dxf>
    <dxf>
      <border>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1"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left style="thin">
          <color rgb="FFA1BABD"/>
        </left>
        <right style="thin">
          <color rgb="FFA1BABD"/>
        </right>
        <top/>
        <bottom/>
        <vertical style="thin">
          <color rgb="FFA1BABD"/>
        </vertical>
        <horizontal style="thin">
          <color rgb="FFA1BABD"/>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left style="thin">
          <color rgb="FFA1BABD"/>
        </left>
        <right style="thin">
          <color rgb="FFA1BABD"/>
        </right>
        <top/>
        <bottom/>
        <vertical style="thin">
          <color rgb="FFA1BABD"/>
        </vertical>
        <horizontal style="thin">
          <color rgb="FFA1BABD"/>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double">
          <color rgb="FFA1BABD"/>
        </left>
        <right style="thin">
          <color rgb="FFA1BABD"/>
        </right>
        <top style="thin">
          <color rgb="FFA1BABD"/>
        </top>
        <bottom style="thin">
          <color rgb="FFA1BABD"/>
        </bottom>
        <vertic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1"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numFmt numFmtId="165" formatCode="_(* #,##0.00000_);_(* \(#,##0.00000\);_(* &quot;-&quot;??_);_(@_)"/>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border>
    </dxf>
    <dxf>
      <font>
        <strike val="0"/>
        <outline val="0"/>
        <shadow val="0"/>
        <u val="none"/>
        <vertAlign val="baseline"/>
        <sz val="11"/>
        <color rgb="FF125359"/>
        <name val="Calibri"/>
        <family val="2"/>
        <scheme val="minor"/>
      </font>
      <numFmt numFmtId="165" formatCode="_(* #,##0.00000_);_(* \(#,##0.00000\);_(* &quot;-&quot;??_);_(@_)"/>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color rgb="FF125359"/>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style="thin">
          <color rgb="FFA1BABD"/>
        </vertical>
        <horizontal style="thin">
          <color rgb="FFA1BABD"/>
        </horizontal>
      </border>
    </dxf>
    <dxf>
      <font>
        <color rgb="FF125359"/>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color rgb="FF125359"/>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color rgb="FF125359"/>
      </font>
      <numFmt numFmtId="35" formatCode="_(* #,##0.00_);_(* \(#,##0.00\);_(* &quot;-&quot;??_);_(@_)"/>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color rgb="FF125359"/>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color rgb="FF125359"/>
      </font>
      <fill>
        <patternFill patternType="solid">
          <fgColor indexed="64"/>
          <bgColor theme="0" tint="-4.9989318521683403E-2"/>
        </patternFill>
      </fill>
      <alignment horizontal="left" vertical="center" textRotation="0" wrapText="0" indent="0" justifyLastLine="0" shrinkToFit="0" readingOrder="0"/>
    </dxf>
    <dxf>
      <border>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left style="thin">
          <color rgb="FFA1BABD"/>
        </left>
        <right style="thin">
          <color rgb="FFA1BABD"/>
        </right>
        <top/>
        <bottom/>
        <vertical style="thin">
          <color rgb="FFA1BABD"/>
        </vertical>
        <horizontal style="thin">
          <color rgb="FFA1BABD"/>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1"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border outline="0">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double">
          <color rgb="FFA1BABD"/>
        </left>
        <right style="thin">
          <color rgb="FFA1BABD"/>
        </right>
        <top style="thin">
          <color rgb="FFA1BABD"/>
        </top>
        <bottom style="thin">
          <color rgb="FFA1BABD"/>
        </bottom>
        <vertical/>
        <horizontal style="thin">
          <color rgb="FFA1BABD"/>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double">
          <color rgb="FFA1BABD"/>
        </left>
        <right style="thin">
          <color rgb="FFA1BABD"/>
        </right>
        <top style="thin">
          <color rgb="FFA1BABD"/>
        </top>
        <bottom style="thin">
          <color rgb="FFA1BABD"/>
        </bottom>
        <vertic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color rgb="FF125359"/>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numFmt numFmtId="13" formatCode="0%"/>
      <fill>
        <patternFill patternType="solid">
          <fgColor indexed="64"/>
          <bgColor rgb="FFE7EEEE"/>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border outline="0">
        <top style="thin">
          <color rgb="FFA1BABD"/>
        </top>
      </border>
    </dxf>
    <dxf>
      <border outline="0">
        <left style="thin">
          <color rgb="FFA1BABD"/>
        </left>
        <right style="thin">
          <color rgb="FFA1BABD"/>
        </right>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1"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color rgb="FF125359"/>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top style="thin">
          <color rgb="FFA1BABD"/>
        </top>
        <bottom style="thin">
          <color rgb="FFA1BABD"/>
        </bottom>
      </border>
    </dxf>
    <dxf>
      <font>
        <color rgb="FF125359"/>
      </font>
      <fill>
        <patternFill patternType="solid">
          <fgColor indexed="64"/>
          <bgColor rgb="FFE7EEEE"/>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color rgb="FF125359"/>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color rgb="FF125359"/>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font>
        <color rgb="FF125359"/>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style="thin">
          <color rgb="FFA1BABD"/>
        </vertical>
        <horizontal style="thin">
          <color rgb="FFA1BABD"/>
        </horizontal>
      </border>
    </dxf>
    <dxf>
      <border>
        <top style="thin">
          <color rgb="FFA1BABD"/>
        </top>
      </border>
    </dxf>
    <dxf>
      <border diagonalUp="0" diagonalDown="0">
        <left style="thin">
          <color rgb="FFA1BABD"/>
        </left>
        <right style="thin">
          <color rgb="FFA1BABD"/>
        </right>
        <top style="thin">
          <color rgb="FFA1BABD"/>
        </top>
        <bottom style="thin">
          <color rgb="FFA1BABD"/>
        </bottom>
      </border>
    </dxf>
    <dxf>
      <border>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left style="thin">
          <color rgb="FFA1BABD"/>
        </left>
        <right style="thin">
          <color rgb="FFA1BABD"/>
        </right>
        <top/>
        <bottom/>
        <vertical style="thin">
          <color rgb="FFA1BABD"/>
        </vertical>
        <horizontal style="thin">
          <color rgb="FFA1BABD"/>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1"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right style="thin">
          <color rgb="FFA1BABD"/>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border>
        <top style="thin">
          <color rgb="FFA1BABD"/>
        </top>
      </border>
    </dxf>
    <dxf>
      <border diagonalUp="0" diagonalDown="0">
        <left style="thin">
          <color rgb="FFA1BABD"/>
        </left>
        <right style="thin">
          <color rgb="FFA1BABD"/>
        </right>
        <top style="thin">
          <color rgb="FFA1BABD"/>
        </top>
        <bottom style="thin">
          <color rgb="FFA1BABD"/>
        </bottom>
      </border>
    </dxf>
    <dxf>
      <font>
        <strike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dxf>
    <dxf>
      <border>
        <bottom style="thin">
          <color rgb="FFA1BABD"/>
        </bottom>
      </border>
    </dxf>
    <dxf>
      <font>
        <b/>
        <strike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alignment wrapText="0"/>
    </dxf>
    <dxf>
      <alignment wrapText="0"/>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wrapText="1"/>
    </dxf>
    <dxf>
      <alignment vertical="center" indent="0"/>
    </dxf>
    <dxf>
      <alignment vertical="center" indent="0"/>
    </dxf>
    <dxf>
      <alignment vertical="center" indent="0"/>
    </dxf>
    <dxf>
      <alignment vertical="center" indent="0"/>
    </dxf>
    <dxf>
      <alignment vertical="center" indent="0"/>
    </dxf>
    <dxf>
      <alignment vertical="center" indent="0"/>
    </dxf>
    <dxf>
      <alignment vertical="center" indent="0"/>
    </dxf>
    <dxf>
      <alignment vertical="center" indent="0"/>
    </dxf>
    <dxf>
      <alignment vertical="center" indent="0"/>
    </dxf>
    <dxf>
      <alignment vertical="center" indent="0"/>
    </dxf>
    <dxf>
      <alignment vertical="center" indent="0"/>
    </dxf>
    <dxf>
      <alignment wrapText="1"/>
    </dxf>
    <dxf>
      <alignment wrapText="1"/>
    </dxf>
    <dxf>
      <alignment wrapText="1"/>
    </dxf>
    <dxf>
      <alignment wrapText="1"/>
    </dxf>
    <dxf>
      <alignment wrapText="1"/>
    </dxf>
    <dxf>
      <alignment horizontal="left"/>
    </dxf>
    <dxf>
      <alignment horizontal="left"/>
    </dxf>
    <dxf>
      <alignment horizontal="left"/>
    </dxf>
    <dxf>
      <alignment horizontal="left"/>
    </dxf>
    <dxf>
      <alignment horizontal="left"/>
    </dxf>
    <dxf>
      <alignment horizontal="left"/>
    </dxf>
    <dxf>
      <alignment vertical="center"/>
    </dxf>
    <dxf>
      <alignment vertical="center"/>
    </dxf>
    <dxf>
      <alignment vertical="center"/>
    </dxf>
    <dxf>
      <alignment vertical="center"/>
    </dxf>
    <dxf>
      <alignment vertical="center"/>
    </dxf>
    <dxf>
      <alignment vertical="center"/>
    </dxf>
    <dxf>
      <border>
        <left/>
      </border>
    </dxf>
    <dxf>
      <border>
        <left/>
      </border>
    </dxf>
    <dxf>
      <alignment wrapText="1"/>
    </dxf>
    <dxf>
      <alignment wrapText="1"/>
    </dxf>
    <dxf>
      <font>
        <b val="0"/>
        <i val="0"/>
        <strike val="0"/>
        <condense val="0"/>
        <extend val="0"/>
        <outline val="0"/>
        <shadow val="0"/>
        <u val="none"/>
        <vertAlign val="baseline"/>
        <sz val="11"/>
        <color rgb="FF125359"/>
        <name val="Calibri"/>
        <family val="2"/>
        <scheme val="minor"/>
      </font>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border outline="0">
        <top style="thin">
          <color rgb="FFA1BABD"/>
        </top>
      </border>
    </dxf>
    <dxf>
      <border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outline="0">
        <left style="thin">
          <color rgb="FFA1BABD"/>
        </left>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outline="0">
        <left style="thin">
          <color rgb="FFA1BABD"/>
        </left>
        <right style="thin">
          <color rgb="FFA1BABD"/>
        </right>
        <top style="thin">
          <color rgb="FFA1BABD"/>
        </top>
        <bottom style="thin">
          <color rgb="FFA1BABD"/>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border outline="0">
        <top style="thin">
          <color rgb="FFA1BABD"/>
        </top>
      </border>
    </dxf>
    <dxf>
      <border outline="0">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style="thin">
          <color rgb="FFA1BABD"/>
        </left>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center"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rgb="FFE7EEEE"/>
        </patternFill>
      </fill>
      <alignment horizontal="left" vertical="center" textRotation="0" wrapText="0" indent="0" justifyLastLine="0" shrinkToFit="0" readingOrder="0"/>
      <border diagonalUp="0" diagonalDown="0">
        <left style="thin">
          <color rgb="FFA1BABD"/>
        </left>
        <right style="thin">
          <color rgb="FFA1BABD"/>
        </right>
        <top style="thin">
          <color rgb="FFA1BABD"/>
        </top>
        <bottom style="thin">
          <color rgb="FFA1BABD"/>
        </bottom>
        <vertical/>
        <horizontal/>
      </border>
    </dxf>
    <dxf>
      <font>
        <b val="0"/>
        <i val="0"/>
        <strike val="0"/>
        <condense val="0"/>
        <extend val="0"/>
        <outline val="0"/>
        <shadow val="0"/>
        <u val="none"/>
        <vertAlign val="baseline"/>
        <sz val="11"/>
        <color rgb="FF125359"/>
        <name val="Calibri"/>
        <family val="2"/>
        <scheme val="minor"/>
      </font>
      <fill>
        <patternFill patternType="solid">
          <fgColor indexed="64"/>
          <bgColor theme="0" tint="-4.9989318521683403E-2"/>
        </patternFill>
      </fill>
      <alignment horizontal="left" vertical="center" textRotation="0" wrapText="0" indent="0" justifyLastLine="0" shrinkToFit="0" readingOrder="0"/>
      <border diagonalUp="0" diagonalDown="0">
        <left/>
        <right style="thin">
          <color rgb="FFA1BABD"/>
        </right>
        <top style="thin">
          <color rgb="FFA1BABD"/>
        </top>
        <bottom style="thin">
          <color rgb="FFA1BABD"/>
        </bottom>
        <vertical/>
        <horizontal/>
      </border>
    </dxf>
    <dxf>
      <border outline="0">
        <top style="thin">
          <color rgb="FFA1BABD"/>
        </top>
      </border>
    </dxf>
    <dxf>
      <border outline="0">
        <left style="thin">
          <color rgb="FFA1BABD"/>
        </left>
        <right style="thin">
          <color rgb="FFA1BABD"/>
        </right>
        <top style="thin">
          <color rgb="FFA1BABD"/>
        </top>
        <bottom style="thin">
          <color rgb="FFA1BABD"/>
        </bottom>
      </border>
    </dxf>
    <dxf>
      <border outline="0">
        <bottom style="thin">
          <color rgb="FFA1BABD"/>
        </bottom>
      </border>
    </dxf>
    <dxf>
      <font>
        <b/>
        <i val="0"/>
        <strike val="0"/>
        <condense val="0"/>
        <extend val="0"/>
        <outline val="0"/>
        <shadow val="0"/>
        <u val="none"/>
        <vertAlign val="baseline"/>
        <sz val="11"/>
        <color theme="0"/>
        <name val="Calibri"/>
        <family val="2"/>
        <scheme val="minor"/>
      </font>
      <fill>
        <patternFill patternType="solid">
          <fgColor indexed="64"/>
          <bgColor rgb="FF125359"/>
        </patternFill>
      </fill>
      <alignment horizontal="center" vertical="center" textRotation="0" wrapText="0" indent="0" justifyLastLine="0" shrinkToFit="0" readingOrder="0"/>
      <border diagonalUp="0" diagonalDown="0" outline="0">
        <left style="thin">
          <color rgb="FFA1BABD"/>
        </left>
        <right style="thin">
          <color rgb="FFA1BABD"/>
        </right>
        <top/>
        <bottom/>
      </border>
    </dxf>
    <dxf>
      <font>
        <color rgb="FF17835F"/>
      </font>
      <fill>
        <patternFill patternType="solid">
          <fgColor rgb="FFC6ECE1"/>
          <bgColor rgb="FFC6ECE1"/>
        </patternFill>
      </fill>
    </dxf>
    <dxf>
      <font>
        <color rgb="FF7F6000"/>
      </font>
      <fill>
        <patternFill patternType="solid">
          <fgColor rgb="FFFFF2CC"/>
          <bgColor rgb="FFFFF2CC"/>
        </patternFill>
      </fill>
    </dxf>
    <dxf>
      <font>
        <color rgb="FFC84100"/>
      </font>
      <fill>
        <patternFill patternType="solid">
          <fgColor rgb="FFFFE2D4"/>
          <bgColor rgb="FFFFE2D4"/>
        </patternFill>
      </fill>
    </dxf>
    <dxf>
      <font>
        <b/>
        <color rgb="FFC84100"/>
      </font>
      <fill>
        <patternFill patternType="solid">
          <fgColor rgb="FFFFE2D4"/>
          <bgColor rgb="FFFFE2D4"/>
        </patternFill>
      </fill>
    </dxf>
    <dxf>
      <font>
        <color rgb="FF5C6D7F"/>
      </font>
      <fill>
        <patternFill patternType="solid">
          <fgColor rgb="FFE5EAEE"/>
          <bgColor rgb="FFE5EAEE"/>
        </patternFill>
      </fill>
    </dxf>
  </dxfs>
  <tableStyles count="0" defaultTableStyle="TableStyleMedium2" defaultPivotStyle="PivotStyleMedium9"/>
  <colors>
    <mruColors>
      <color rgb="FFE7EEEE"/>
      <color rgb="FF125359"/>
      <color rgb="FFA1BABD"/>
      <color rgb="FF60A9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eetMetadata" Target="metadata.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101" Type="http://schemas.openxmlformats.org/officeDocument/2006/relationships/worksheet" Target="worksheets/sheet92.xml"/><Relationship Id="rId102" Type="http://schemas.openxmlformats.org/officeDocument/2006/relationships/worksheet" Target="worksheets/sheet90.xml"/><Relationship Id="rId103" Type="http://schemas.openxmlformats.org/officeDocument/2006/relationships/worksheet" Target="worksheets/sheet93.xml"/><Relationship Id="rId104" Type="http://schemas.openxmlformats.org/officeDocument/2006/relationships/worksheet" Target="worksheets/sheet9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Final</a:t>
            </a:r>
            <a:r>
              <a:rPr lang="en-US" baseline="0"/>
              <a:t> Results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'Results  Dashboard'!$C$6</c:f>
            </c:strRef>
          </c:tx>
          <c:spPr>
            <a:solidFill>
              <a:srgbClr val="125359"/>
            </a:solidFill>
            <a:ln>
              <a:noFill/>
            </a:ln>
            <a:effectLst/>
          </c:spPr>
          <c:invertIfNegative val="0"/>
          <c:cat>
            <c:strRef>
              <c:f>'Results  Dashboard'!$B$7:$B$23</c:f>
            </c:strRef>
          </c:cat>
          <c:val>
            <c:numRef>
              <c:f>'Results  Dashboard'!$C$7:$C$23</c:f>
            </c:numRef>
          </c:val>
          <c:extLst>
            <c:ext xmlns:c16="http://schemas.microsoft.com/office/drawing/2014/chart" uri="{C3380CC4-5D6E-409C-BE32-E72D297353CC}">
              <c16:uniqueId val="{00000000-6ADE-477D-BF82-775BA91211D6}"/>
            </c:ext>
          </c:extLst>
        </c:ser>
        <c:dLbls>
          <c:showLegendKey val="0"/>
          <c:showVal val="0"/>
          <c:showCatName val="0"/>
          <c:showSerName val="0"/>
          <c:showPercent val="0"/>
          <c:showBubbleSize val="0"/>
        </c:dLbls>
        <c:gapWidth val="55"/>
        <c:overlap val="100"/>
        <c:axId val="1990889376"/>
        <c:axId val="1990888416"/>
      </c:barChart>
      <c:catAx>
        <c:axId val="19908893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Scope Category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0888416"/>
        <c:crosses val="autoZero"/>
        <c:auto val="1"/>
        <c:lblAlgn val="ctr"/>
        <c:lblOffset val="100"/>
        <c:noMultiLvlLbl val="0"/>
      </c:catAx>
      <c:valAx>
        <c:axId val="1990888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Emissions (t</a:t>
                </a:r>
                <a:r>
                  <a:rPr lang="en-US" baseline="0"/>
                  <a:t> CO2e)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08893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Final Results by Greenhouse Gas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9717130158609498E-2"/>
          <c:y val="0.21306919675453159"/>
          <c:w val="0.72892934260486897"/>
          <c:h val="0.5464613354943828"/>
        </c:manualLayout>
      </c:layout>
      <c:barChart>
        <c:barDir val="col"/>
        <c:grouping val="stacked"/>
        <c:varyColors val="0"/>
        <c:ser>
          <c:idx val="0"/>
          <c:order val="0"/>
          <c:tx>
            <c:strRef>
              <c:f>'Results  Dashboard'!$C$28</c:f>
            </c:strRef>
          </c:tx>
          <c:spPr>
            <a:solidFill>
              <a:srgbClr val="125359"/>
            </a:solidFill>
            <a:ln>
              <a:noFill/>
            </a:ln>
            <a:effectLst/>
          </c:spPr>
          <c:invertIfNegative val="0"/>
          <c:cat>
            <c:strRef>
              <c:f>'Results  Dashboard'!$B$29:$B$31</c:f>
            </c:strRef>
          </c:cat>
          <c:val>
            <c:numRef>
              <c:f>'Results  Dashboard'!$C$29:$C$31</c:f>
            </c:numRef>
          </c:val>
          <c:extLst>
            <c:ext xmlns:c16="http://schemas.microsoft.com/office/drawing/2014/chart" uri="{C3380CC4-5D6E-409C-BE32-E72D297353CC}">
              <c16:uniqueId val="{00000000-4A94-4AE0-9ABC-7A4E3167C39B}"/>
            </c:ext>
          </c:extLst>
        </c:ser>
        <c:ser>
          <c:idx val="1"/>
          <c:order val="1"/>
          <c:tx>
            <c:strRef>
              <c:f>'Results  Dashboard'!$D$28</c:f>
            </c:strRef>
          </c:tx>
          <c:spPr>
            <a:solidFill>
              <a:srgbClr val="60A9A1"/>
            </a:solidFill>
            <a:ln>
              <a:noFill/>
            </a:ln>
            <a:effectLst/>
          </c:spPr>
          <c:invertIfNegative val="0"/>
          <c:cat>
            <c:strRef>
              <c:f>'Results  Dashboard'!$B$29:$B$31</c:f>
            </c:strRef>
          </c:cat>
          <c:val>
            <c:numRef>
              <c:f>'Results  Dashboard'!$D$29:$D$31</c:f>
            </c:numRef>
          </c:val>
          <c:extLst>
            <c:ext xmlns:c16="http://schemas.microsoft.com/office/drawing/2014/chart" uri="{C3380CC4-5D6E-409C-BE32-E72D297353CC}">
              <c16:uniqueId val="{00000001-4A94-4AE0-9ABC-7A4E3167C39B}"/>
            </c:ext>
          </c:extLst>
        </c:ser>
        <c:ser>
          <c:idx val="2"/>
          <c:order val="2"/>
          <c:tx>
            <c:strRef>
              <c:f>'Results  Dashboard'!$E$28</c:f>
            </c:strRef>
          </c:tx>
          <c:spPr>
            <a:solidFill>
              <a:srgbClr val="E7EEEE"/>
            </a:solidFill>
            <a:ln>
              <a:noFill/>
            </a:ln>
            <a:effectLst/>
          </c:spPr>
          <c:invertIfNegative val="0"/>
          <c:cat>
            <c:strRef>
              <c:f>'Results  Dashboard'!$B$29:$B$31</c:f>
            </c:strRef>
          </c:cat>
          <c:val>
            <c:numRef>
              <c:f>'Results  Dashboard'!$E$29:$E$31</c:f>
            </c:numRef>
          </c:val>
          <c:extLst>
            <c:ext xmlns:c16="http://schemas.microsoft.com/office/drawing/2014/chart" uri="{C3380CC4-5D6E-409C-BE32-E72D297353CC}">
              <c16:uniqueId val="{00000002-4A94-4AE0-9ABC-7A4E3167C39B}"/>
            </c:ext>
          </c:extLst>
        </c:ser>
        <c:ser>
          <c:idx val="3"/>
          <c:order val="3"/>
          <c:tx>
            <c:strRef>
              <c:f>'Results  Dashboard'!$F$28</c:f>
            </c:strRef>
          </c:tx>
          <c:spPr>
            <a:solidFill>
              <a:srgbClr val="A1BABD"/>
            </a:solidFill>
            <a:ln>
              <a:noFill/>
            </a:ln>
            <a:effectLst/>
          </c:spPr>
          <c:invertIfNegative val="0"/>
          <c:cat>
            <c:strRef>
              <c:f>'Results  Dashboard'!$B$29:$B$31</c:f>
            </c:strRef>
          </c:cat>
          <c:val>
            <c:numRef>
              <c:f>'Results  Dashboard'!$F$29:$F$31</c:f>
            </c:numRef>
          </c:val>
          <c:extLst>
            <c:ext xmlns:c16="http://schemas.microsoft.com/office/drawing/2014/chart" uri="{C3380CC4-5D6E-409C-BE32-E72D297353CC}">
              <c16:uniqueId val="{00000003-4A94-4AE0-9ABC-7A4E3167C39B}"/>
            </c:ext>
          </c:extLst>
        </c:ser>
        <c:dLbls>
          <c:showLegendKey val="0"/>
          <c:showVal val="0"/>
          <c:showCatName val="0"/>
          <c:showSerName val="0"/>
          <c:showPercent val="0"/>
          <c:showBubbleSize val="0"/>
        </c:dLbls>
        <c:gapWidth val="55"/>
        <c:overlap val="100"/>
        <c:axId val="272125456"/>
        <c:axId val="272131696"/>
      </c:barChart>
      <c:catAx>
        <c:axId val="2721254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Scope Category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2131696"/>
        <c:crosses val="autoZero"/>
        <c:auto val="1"/>
        <c:lblAlgn val="ctr"/>
        <c:lblOffset val="100"/>
        <c:noMultiLvlLbl val="0"/>
      </c:catAx>
      <c:valAx>
        <c:axId val="2721316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Emissions </a:t>
                </a:r>
                <a:r>
                  <a:rPr lang="en-US" baseline="0"/>
                  <a:t> (t CO2e)</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7212545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26988</xdr:colOff>
      <xdr:row>4</xdr:row>
      <xdr:rowOff>87311</xdr:rowOff>
    </xdr:from>
    <xdr:to>
      <xdr:col>26</xdr:col>
      <xdr:colOff>158750</xdr:colOff>
      <xdr:row>23</xdr:row>
      <xdr:rowOff>26987</xdr:rowOff>
    </xdr:to>
    <xdr:graphicFrame macro="">
      <xdr:nvGraphicFramePr>
        <xdr:cNvPr id="2" name="Chart 1">
          <a:extLst>
            <a:ext uri="{FF2B5EF4-FFF2-40B4-BE49-F238E27FC236}">
              <a16:creationId xmlns:a16="http://schemas.microsoft.com/office/drawing/2014/main" id="{E5497A63-16E1-C41B-D4BB-57ACD4C70AD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17859</xdr:colOff>
      <xdr:row>26</xdr:row>
      <xdr:rowOff>122634</xdr:rowOff>
    </xdr:from>
    <xdr:to>
      <xdr:col>26</xdr:col>
      <xdr:colOff>158750</xdr:colOff>
      <xdr:row>42</xdr:row>
      <xdr:rowOff>95251</xdr:rowOff>
    </xdr:to>
    <xdr:graphicFrame macro="">
      <xdr:nvGraphicFramePr>
        <xdr:cNvPr id="3" name="Chart 2">
          <a:extLst>
            <a:ext uri="{FF2B5EF4-FFF2-40B4-BE49-F238E27FC236}">
              <a16:creationId xmlns:a16="http://schemas.microsoft.com/office/drawing/2014/main" id="{37A80EFD-8E23-4894-3E65-5DBB68322F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6894D705-1D69-4CFF-B8FC-9AAF661BFE1E}" name="tbl_Consumption_Summary" displayName="tbl_Consumption_Summary" ref="B47:L63" totalsRowShown="0" headerRowDxfId="1241" dataDxfId="1239" headerRowBorderDxfId="1240" tableBorderDxfId="1238" totalsRowBorderDxfId="1237">
  <autoFilter ref="B47:L63" xr:uid="{6894D705-1D69-4CFF-B8FC-9AAF661BFE1E}"/>
  <tableColumns count="11">
    <tableColumn id="12" xr3:uid="{4BBD2F85-0C2C-421F-9874-9B6D7D67D46B}" name="Scope" dataDxfId="1236" dataCellStyle="Comma"/>
    <tableColumn id="1" xr3:uid="{1933F684-9ADC-496B-8214-839B7D331891}" name="Category" dataDxfId="1235"/>
    <tableColumn id="2" xr3:uid="{85E874DF-1C7E-4ABE-8343-E687DBF95281}" name="EUR" dataDxfId="1234" dataCellStyle="Comma"/>
    <tableColumn id="3" xr3:uid="{0F845831-99B2-4A40-BA7C-6C74769AAAE5}" name="hours" dataDxfId="1233" dataCellStyle="Comma"/>
    <tableColumn id="4" xr3:uid="{6DA51F94-AF90-41BD-8573-2DD752E527CC}" name="kg" dataDxfId="1232" dataCellStyle="Comma"/>
    <tableColumn id="5" xr3:uid="{E3F73572-21A2-4DC4-8829-96B09AEB4848}" name="km" dataDxfId="1231" dataCellStyle="Comma"/>
    <tableColumn id="6" xr3:uid="{A4FAD73D-56A0-4252-8CB1-271EFAEE3837}" name="kWh" dataDxfId="1230" dataCellStyle="Comma"/>
    <tableColumn id="7" xr3:uid="{AC5327EE-C24A-41D9-8931-CC6C4CA22B28}" name="l" dataDxfId="1229" dataCellStyle="Comma"/>
    <tableColumn id="8" xr3:uid="{C04F38CF-FA81-4CF4-8122-263116720705}" name="m3" dataDxfId="1228" dataCellStyle="Comma"/>
    <tableColumn id="9" xr3:uid="{0CE4C568-37AB-4C32-BC95-B3B32371A470}" name="Nights" dataDxfId="1227" dataCellStyle="Comma"/>
    <tableColumn id="10" xr3:uid="{2BB6EE12-8933-4786-8AE1-1D264183E5A5}" name="tonnes" dataDxfId="1226"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5485ECC-BDD2-4544-AEB3-78D2CC573FC2}" name="tbl_1.01._Input" displayName="tbl_1.01._Input" ref="B13:E19" totalsRowShown="0" headerRowDxfId="1340" headerRowBorderDxfId="1339" tableBorderDxfId="1338" totalsRowBorderDxfId="1337">
  <autoFilter ref="B13:E19" xr:uid="{C5485ECC-BDD2-4544-AEB3-78D2CC573FC2}"/>
  <tableColumns count="4">
    <tableColumn id="1" xr3:uid="{4485FF11-2347-4F88-ADC6-55E933419C01}" name="Fuel" dataDxfId="1336"/>
    <tableColumn id="2" xr3:uid="{AC9FBF60-1E66-494F-B9F0-9F7BCD2D9BEF}" name="Consumption" dataDxfId="1335" dataCellStyle="Comma"/>
    <tableColumn id="3" xr3:uid="{7840F516-96AA-4757-8282-DFF01B7AB13F}" name="Unit of Consumption" dataDxfId="1334"/>
    <tableColumn id="4" xr3:uid="{B9A85771-06F2-4B45-9FF3-AFC0C295437D}" name="Emission Scope Relevance" dataDxfId="133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9274492-D106-415A-909F-E083B6401349}" name="tbl_1.02._Input" displayName="tbl_1.02._Input" ref="B32:E35" totalsRowShown="0" headerRowDxfId="1332" headerRowBorderDxfId="1331" tableBorderDxfId="1330" totalsRowBorderDxfId="1329">
  <autoFilter ref="B32:E35" xr:uid="{09274492-D106-415A-909F-E083B6401349}"/>
  <tableColumns count="4">
    <tableColumn id="1" xr3:uid="{5BD4F8E0-C0E8-4888-9CE2-B639BBF098E5}" name="Fuel" dataDxfId="1328"/>
    <tableColumn id="2" xr3:uid="{DC788080-77B3-4C58-8592-55E9F5FE3756}" name="Consumption" dataDxfId="1327" dataCellStyle="Comma"/>
    <tableColumn id="3" xr3:uid="{984CDD86-B7BD-44E6-8311-CEA87F37DB25}" name="Unit" dataDxfId="1326"/>
    <tableColumn id="4" xr3:uid="{2B1CA968-071A-490B-86FF-9DE599FACB19}" name="Emission Scope Relevance" dataDxfId="1325"/>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EDB2C259-0595-4ABC-940E-67DB53F89FA2}" name="tbl_1.02._km_Input" displayName="tbl_1.02._km_Input" ref="B39:E46" totalsRowShown="0" headerRowDxfId="1324" dataDxfId="1322" headerRowBorderDxfId="1323" tableBorderDxfId="1321" totalsRowBorderDxfId="1320">
  <autoFilter ref="B39:E46" xr:uid="{EDB2C259-0595-4ABC-940E-67DB53F89FA2}"/>
  <tableColumns count="4">
    <tableColumn id="1" xr3:uid="{01A98EDC-1168-40A0-9AED-5F53AA39719E}" name="Fuel" dataDxfId="1319"/>
    <tableColumn id="2" xr3:uid="{40B9CC25-F453-4EDC-93AB-1ACB557B1846}" name="Consumption" dataDxfId="1318" dataCellStyle="Comma"/>
    <tableColumn id="5" xr3:uid="{D4517166-E2A5-42BD-8200-CBB147702F13}" name="Unit" dataDxfId="1317"/>
    <tableColumn id="6" xr3:uid="{1B10AEC0-5CCB-49B5-B480-3CF9865D90EC}" name="Emission Scope Relevance" dataDxfId="131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4C054413-28EF-4B1C-AA59-ABEE63B09BC1}" name="tbl_1.02._HGV_Inputs" displayName="tbl_1.02._HGV_Inputs" ref="B50:E58" totalsRowShown="0" headerRowDxfId="1315" headerRowBorderDxfId="1314" tableBorderDxfId="1313" totalsRowBorderDxfId="1312">
  <autoFilter ref="B50:E58" xr:uid="{4C054413-28EF-4B1C-AA59-ABEE63B09BC1}"/>
  <tableColumns count="4">
    <tableColumn id="1" xr3:uid="{977EAC79-969D-4EF4-A249-AEDD6D4C78F0}" name="Vehicle" dataDxfId="1311"/>
    <tableColumn id="2" xr3:uid="{5AD6D45D-B8FA-40ED-AC4A-26A6F431EC56}" name="Consumption" dataDxfId="1310" dataCellStyle="Comma"/>
    <tableColumn id="5" xr3:uid="{DCB6E489-A439-4799-9647-DE7A302A7BD6}" name="Unit" dataDxfId="1309"/>
    <tableColumn id="6" xr3:uid="{B772CFC8-1F8D-4379-93FE-8A2330440F08}" name="Emission Scope Relevance" dataDxfId="130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37C8C7BE-236B-43DB-95E5-2D4B21199A06}" name="tbl_1.04._Inputs" displayName="tbl_1.04._Inputs" ref="B67:E77" totalsRowShown="0" headerRowDxfId="1307" headerRowBorderDxfId="1306" tableBorderDxfId="1305" totalsRowBorderDxfId="1304">
  <autoFilter ref="B67:E77" xr:uid="{37C8C7BE-236B-43DB-95E5-2D4B21199A06}"/>
  <tableColumns count="4">
    <tableColumn id="2" xr3:uid="{D257A284-44DF-4912-B2C8-217FC1C01073}" name="Coolant" dataDxfId="1303"/>
    <tableColumn id="3" xr3:uid="{668D73BB-00DE-4BDF-92F0-22BD203B16E6}" name="Consumption" dataDxfId="1302" dataCellStyle="Comma"/>
    <tableColumn id="4" xr3:uid="{B14FE159-74CD-4765-B1BC-CA8D531B168C}" name="Unit" dataDxfId="1301"/>
    <tableColumn id="5" xr3:uid="{8589D3D3-2A5B-4100-9BCB-A0BE5B94A411}" name="Emission Scope Relevance" dataDxfId="1300"/>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D5026D8-1146-45A3-9EE4-11D4B27870FE}" name="tbl_Electricity_Input" displayName="tbl_Electricity_Input" ref="B12:G22" totalsRowShown="0" headerRowDxfId="37" headerRowBorderDxfId="35" tableBorderDxfId="36" totalsRowBorderDxfId="34">
  <autoFilter ref="B12:G22" xr:uid="{0D5026D8-1146-45A3-9EE4-11D4B27870FE}"/>
  <tableColumns count="6">
    <tableColumn id="1" xr3:uid="{B7B43AD9-97B4-48E6-AFF5-F95F6BDCB9A6}" name="Location" dataDxfId="33"/>
    <tableColumn id="2" xr3:uid="{55A40376-B1C9-48B0-A145-AADC14CCEEFB}" name="Location Name" dataDxfId="32"/>
    <tableColumn id="3" xr3:uid="{FD43E4A7-A2F3-47A5-AF54-198264CD60B4}" name="Country" dataDxfId="31"/>
    <tableColumn id="11" xr3:uid="{B5001F31-50AA-4883-A73B-0381225E832A}" name="Number of Consumption Days" dataDxfId="30" dataCellStyle="Comma"/>
    <tableColumn id="8" xr3:uid="{0771CE6E-5DFA-47D4-ACD3-22B36CB17507}" name="Consumption (kWh)" dataDxfId="29" dataCellStyle="Comma"/>
    <tableColumn id="9" xr3:uid="{EBAEFE89-4EF7-4C70-9600-F1633CF3367F}" name="Emission and Scope Relevance" dataDxfId="28"/>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BDE0E562-0CF1-4F41-BDED-CB391BD5DE43}" name="tbl_District_heating_Input" displayName="tbl_District_heating_Input" ref="B33:F43" totalsRowShown="0" headerRowDxfId="1214" headerRowBorderDxfId="1213" tableBorderDxfId="1212" totalsRowBorderDxfId="1211">
  <autoFilter ref="B33:F43" xr:uid="{BDE0E562-0CF1-4F41-BDED-CB391BD5DE43}"/>
  <tableColumns count="5">
    <tableColumn id="1" xr3:uid="{A0573C95-D3B4-47A6-981A-12A4B79987FF}" name="Location" dataDxfId="1210"/>
    <tableColumn id="2" xr3:uid="{9AF88477-B481-4159-915C-D758C6D3DFA4}" name="Location Name" dataDxfId="1209"/>
    <tableColumn id="10" xr3:uid="{8FC2A29D-F8B6-45A9-B024-AE5290143773}" name="Consumption Days" dataDxfId="1208" dataCellStyle="Comma"/>
    <tableColumn id="6" xr3:uid="{097E9522-742B-4132-B240-82030B990F4D}" name="Consumption (kWh)" dataDxfId="1207" dataCellStyle="Comma"/>
    <tableColumn id="7" xr3:uid="{7E0DABE0-17F9-4B09-BF88-1236AFBAC5D8}" name="Emission and Scope Relevance" dataDxfId="1206"/>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611C7D0-870C-4B95-B338-3E466B28F791}" name="tbl_3.01._Input" displayName="tbl_3.01._Input" ref="B12:G25" totalsRowShown="0" headerRowDxfId="1205" headerRowBorderDxfId="1204" tableBorderDxfId="1203" totalsRowBorderDxfId="1202">
  <autoFilter ref="B12:G25" xr:uid="{8611C7D0-870C-4B95-B338-3E466B28F791}"/>
  <tableColumns count="6">
    <tableColumn id="2" xr3:uid="{71F9D56C-D34A-4B87-9759-D6204A193099}" name="Category" dataDxfId="1201"/>
    <tableColumn id="3" xr3:uid="{8C6F3A6A-DFD6-4723-92F6-A4C8BF73816A}" name="Total Spend" dataDxfId="1200" dataCellStyle="Comma"/>
    <tableColumn id="4" xr3:uid="{E7BA0337-39DE-4F84-BD54-9EB2D36BC03A}" name="Country" dataDxfId="1199" dataCellStyle="Comma"/>
    <tableColumn id="5" xr3:uid="{D9191EE5-5728-48A0-91BD-4396523A3951}" name="Currency" dataDxfId="1198"/>
    <tableColumn id="7" xr3:uid="{9AE94334-BB0A-4205-ACE7-90A26D8EA6BD}" name="Total Spend (EUR)" dataDxfId="1197" dataCellStyle="Comma">
      <calculatedColumnFormula>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calculatedColumnFormula>
    </tableColumn>
    <tableColumn id="6" xr3:uid="{4E2163F5-99EB-4295-B5ED-29F9932C97AA}" name="Emission and Scope Relevance" dataDxfId="1196"/>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6BED71C3-A035-44C6-8207-A00D65412AC2}" name="tbl_Upstream_Leased_Assets_Input" displayName="tbl_Upstream_Leased_Assets_Input" ref="B34:G38" totalsRowShown="0" headerRowDxfId="1195" headerRowBorderDxfId="1194" tableBorderDxfId="1193" totalsRowBorderDxfId="1192">
  <autoFilter ref="B34:G38" xr:uid="{6BED71C3-A035-44C6-8207-A00D65412AC2}"/>
  <tableColumns count="6">
    <tableColumn id="2" xr3:uid="{81E76072-FE5E-403C-A862-00FF418B1369}" name="Category" dataDxfId="1191"/>
    <tableColumn id="3" xr3:uid="{7AA41B14-72B5-49C6-B085-8E84E5A6EEB1}" name="Total Spend" dataDxfId="1190" dataCellStyle="Comma"/>
    <tableColumn id="4" xr3:uid="{A35EE698-252E-4A2F-8809-1B1697989E51}" name="Country" dataDxfId="1189" dataCellStyle="Comma"/>
    <tableColumn id="5" xr3:uid="{0DC0F1FC-7AE8-4389-B6AC-4B289CAFA310}" name="Currency" dataDxfId="1188"/>
    <tableColumn id="7" xr3:uid="{38C1A1CF-2093-4AF5-A992-4C3EDB17C074}" name="Total Spend (EUR)" dataDxfId="1187" dataCellStyle="Comma">
      <calculatedColumnFormula>IFERROR(IF(
  tbl_Upstream_Leased_Assets_Input[[#This Row],[Currency]]="EUR",
  tbl_Upstream_Leased_Assets_Input[[#This Row],[Total Spend]],
  IF(
    tbl_Upstream_Leased_Assets_Input[[#This Row],[Currency]]="USD",
    tbl_Upstream_Leased_Assets_Input[[#This Row],[Total Spend]] / INDEX(tbl_Currency_Exchanges[Exchange Rate to USD], MATCH("EUR", tbl_Currency_Exchanges[Currency], 0)),
    tbl_Upstream_Leased_Assets_Input[[#This Row],[Total Spend]]
      * INDEX(tbl_Currency_Exchanges[Exchange Rate to USD], MATCH(tbl_Upstream_Leased_Assets_Input[[#This Row],[Currency]], tbl_Currency_Exchanges[Currency], 0))
      / INDEX(tbl_Currency_Exchanges[Exchange Rate to USD], MATCH("EUR", tbl_Currency_Exchanges[Currency], 0))
  )
), "")</calculatedColumnFormula>
    </tableColumn>
    <tableColumn id="6" xr3:uid="{A0D23DF5-F5AF-4892-AA16-661793C95550}" name="Emission and Scope Relevance" dataDxfId="1186"/>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B4428D29-838A-4203-984E-2D4A59993714}" name="tbl_Upstream_Transport_Input" displayName="tbl_Upstream_Transport_Input" ref="B10:G14" totalsRowShown="0" headerRowDxfId="1185" headerRowBorderDxfId="1184" tableBorderDxfId="1183" totalsRowBorderDxfId="1182">
  <autoFilter ref="B10:G14" xr:uid="{B4428D29-838A-4203-984E-2D4A59993714}"/>
  <tableColumns count="6">
    <tableColumn id="1" xr3:uid="{7EB4B7C2-4ACC-4CB8-9F41-B264ACE956B8}" name="Category" dataDxfId="1181"/>
    <tableColumn id="2" xr3:uid="{5CEBA2BB-8585-46A1-ABBA-09A0A23DE2D4}" name="Spend" dataDxfId="1180" dataCellStyle="Comma"/>
    <tableColumn id="3" xr3:uid="{01DAB2E4-5EC4-454E-AEB3-9DDDE1819BB3}" name="Currency" dataDxfId="1179"/>
    <tableColumn id="4" xr3:uid="{137D5641-B92E-4B08-A78B-0F1C337FD266}" name="Country" dataDxfId="1178"/>
    <tableColumn id="6" xr3:uid="{ECCB6593-842B-4783-85C9-960E4BAEC5DE}" name="Spend (EUR)" dataDxfId="1177" dataCellStyle="Comma">
      <calculatedColumnFormula>IFERROR(IF(
  tbl_Upstream_Transport_Input[[#This Row],[Currency]]="EUR",
  tbl_Upstream_Transport_Input[[#This Row],[Spend]],
  IF(
    tbl_Upstream_Transport_Input[[#This Row],[Currency]]="USD",
    tbl_Upstream_Transport_Input[[#This Row],[Spend]] / INDEX(tbl_Currency_Exchanges[Exchange Rate to USD], MATCH("EUR", tbl_Currency_Exchanges[Currency], 0)),
    tbl_Upstream_Transport_Input[[#This Row],[Spend]]
      * INDEX(tbl_Currency_Exchanges[Exchange Rate to USD], MATCH(tbl_Upstream_Transport_Input[[#This Row],[Currency]], tbl_Currency_Exchanges[Currency], 0))
      / INDEX(tbl_Currency_Exchanges[Exchange Rate to USD], MATCH("EUR", tbl_Currency_Exchanges[Currency], 0))
  )
), "")</calculatedColumnFormula>
    </tableColumn>
    <tableColumn id="5" xr3:uid="{EC0DA160-2E57-49BC-82FF-AA4384051EC3}" name="Emission Scope Relevance" dataDxfId="1176"/>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4968E0DF-84AB-407D-B0C5-25C68A90FF62}" name="tbl_Waste_Input" displayName="tbl_Waste_Input" ref="B11:F23" totalsRowShown="0" headerRowDxfId="1175" headerRowBorderDxfId="1174" tableBorderDxfId="1173" totalsRowBorderDxfId="1172">
  <autoFilter ref="B11:F23" xr:uid="{4968E0DF-84AB-407D-B0C5-25C68A90FF62}"/>
  <tableColumns count="5">
    <tableColumn id="1" xr3:uid="{62194F0B-2B09-4F68-AE64-2BCF62D58C2E}" name="Waste Type" dataDxfId="1171"/>
    <tableColumn id="2" xr3:uid="{639E8953-6C05-4F6C-9EFB-1909ED7740F3}" name="Consumption" dataDxfId="1170" dataCellStyle="Comma"/>
    <tableColumn id="3" xr3:uid="{38E528D6-8B2D-4606-8A88-D647B90FEF31}" name="Unit" dataDxfId="1169"/>
    <tableColumn id="5" xr3:uid="{C1F0B26A-2619-4940-960A-7EE6D63C3984}" name="Conversion to tonnes" dataDxfId="1168" dataCellStyle="Comma">
      <calculatedColumnFormula>IF(tbl_Waste_Input[[#This Row],[Unit]] = "tonnes",
tbl_Waste_Input[[#This Row],[Consumption]],
tbl_Waste_Input[[#This Row],[Consumption]]
*
INDEX(tbl_Waste_EF[Conversion Factor],
   MATCH(tbl_Waste_Input[[#This Row],[Waste Type]], tbl_Waste_EF[Activity], 0)))</calculatedColumnFormula>
    </tableColumn>
    <tableColumn id="4" xr3:uid="{FFA3F4EB-EB2D-448E-8A74-0CD9132A8D1C}" name="Emission Scope Relevance" dataDxfId="1167"/>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272CFD75-6FBD-49E8-8C23-33775E648D14}" name="tbl_Water_Input" displayName="tbl_Water_Input" ref="B33:E34" totalsRowShown="0" headerRowDxfId="1166" headerRowBorderDxfId="1165" tableBorderDxfId="1164" totalsRowBorderDxfId="1163">
  <autoFilter ref="B33:E34" xr:uid="{272CFD75-6FBD-49E8-8C23-33775E648D14}"/>
  <tableColumns count="4">
    <tableColumn id="1" xr3:uid="{D5850643-B5FC-4772-97FA-D666D6D394D3}" name="Water Consumption" dataDxfId="1162"/>
    <tableColumn id="2" xr3:uid="{7BC7EA09-EFC2-43EB-B9A3-CFD0D6AB9596}" name="Consumption" dataDxfId="1161" dataCellStyle="Comma"/>
    <tableColumn id="3" xr3:uid="{3BADA2AF-0A1B-4251-8363-15DC331C4151}" name="Unit" dataDxfId="1160"/>
    <tableColumn id="4" xr3:uid="{D3804176-684D-46BD-9E67-12147C1C2523}" name="Emission Scope Relevance" dataDxfId="1159"/>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274DE72F-65DD-43AC-9DB5-343AFE641136}" name="tbl_3.06._AB_Input" displayName="tbl_3.06._AB_Input" ref="B13:E18" totalsRowShown="0" headerRowDxfId="1158" headerRowBorderDxfId="1157" tableBorderDxfId="1156" totalsRowBorderDxfId="1155">
  <autoFilter ref="B13:E18" xr:uid="{274DE72F-65DD-43AC-9DB5-343AFE641136}"/>
  <tableColumns count="4">
    <tableColumn id="1" xr3:uid="{CC6803E6-009E-4BCB-BF40-AA118BAABC14}" name="Travel Type" dataDxfId="1154"/>
    <tableColumn id="4" xr3:uid="{713E75D0-0D80-4E9A-B78C-688FB2E27C1D}" name="Distance Travelled" dataDxfId="1153" dataCellStyle="Comma"/>
    <tableColumn id="5" xr3:uid="{65322813-98F7-442B-9E20-2AA416157C21}" name="Unit" dataDxfId="1152"/>
    <tableColumn id="6" xr3:uid="{267EDCCB-FE40-4CCD-A73F-23B8751321C0}" name="Emission Scope Relevance" dataDxfId="1151"/>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D2D3BB24-660B-4DCE-8FAD-C4689DE34962}" name="tbl_Hotels_AB_Input" displayName="tbl_Hotels_AB_Input" ref="B22:F32" totalsRowShown="0" headerRowDxfId="1150" headerRowBorderDxfId="1149" tableBorderDxfId="1148" totalsRowBorderDxfId="1147">
  <autoFilter ref="B22:F32" xr:uid="{D2D3BB24-660B-4DCE-8FAD-C4689DE34962}"/>
  <tableColumns count="5">
    <tableColumn id="6" xr3:uid="{B0D377A1-828D-4626-81F0-750A0240688D}" name="Hotel Stay" dataDxfId="1146" dataCellStyle="Comma"/>
    <tableColumn id="2" xr3:uid="{41733710-7A21-47D6-920C-BAC01C82C91E}" name="Nights Stayed" dataDxfId="1145" dataCellStyle="Comma"/>
    <tableColumn id="3" xr3:uid="{96C5D6F4-3522-4D93-8609-2412EEA47666}" name="Unit" dataDxfId="1144"/>
    <tableColumn id="5" xr3:uid="{C06F6A9D-8D86-4469-B354-5ED01ADFEBB2}" name="Country" dataDxfId="1143"/>
    <tableColumn id="4" xr3:uid="{473E9A05-5E3F-4550-97BD-E11EB3333F4D}" name="Emission Scope Relevance" dataDxfId="1142"/>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F35A86A1-EB2A-4092-AF80-C61D8F87682A}" name="tbl_3.06._SB_Inputs" displayName="tbl_3.06._SB_Inputs" ref="B41:G47" totalsRowShown="0" headerRowDxfId="1141" headerRowBorderDxfId="1140" tableBorderDxfId="1139" totalsRowBorderDxfId="1138">
  <autoFilter ref="B41:G47" xr:uid="{F35A86A1-EB2A-4092-AF80-C61D8F87682A}"/>
  <tableColumns count="6">
    <tableColumn id="1" xr3:uid="{57C6CC8A-728D-485C-93B7-37739A902CF7}" name="Travel Type" dataDxfId="1137"/>
    <tableColumn id="2" xr3:uid="{7A508416-AC6C-49C7-8FB3-4554EA9B5698}" name="Spend" dataDxfId="1136" dataCellStyle="Comma"/>
    <tableColumn id="3" xr3:uid="{383B4850-7B0C-4C79-82D5-6925F7AEB7A6}" name="Currency" dataDxfId="1135"/>
    <tableColumn id="4" xr3:uid="{A75DF75A-0A60-4AE5-AB34-96DE72DC7AEA}" name="Country" dataDxfId="1134"/>
    <tableColumn id="6" xr3:uid="{ACF8299E-97EC-473C-84DB-EA41D9AA25F3}" name="Spend (EUR)" dataDxfId="1133" dataCellStyle="Comma">
      <calculatedColumnFormula>IFERROR(IF(
  tbl_3.06._SB_Inputs[[#This Row],[Currency]]="EUR",
  tbl_3.06._SB_Inputs[[#This Row],[Spend]],
  IF(
    tbl_3.06._SB_Inputs[[#This Row],[Currency]]="USD",
    tbl_3.06._SB_Inputs[[#This Row],[Spend]] / INDEX(tbl_Currency_Exchanges[Exchange Rate to USD], MATCH("EUR", tbl_Currency_Exchanges[Currency], 0)),
    tbl_3.06._SB_Inputs[[#This Row],[Spend]]
      * INDEX(tbl_Currency_Exchanges[Exchange Rate to USD], MATCH(tbl_3.06._SB_Inputs[[#This Row],[Currency]], tbl_Currency_Exchanges[Currency], 0))
      / INDEX(tbl_Currency_Exchanges[Exchange Rate to USD], MATCH("EUR", tbl_Currency_Exchanges[Currency], 0))
  )
), "")</calculatedColumnFormula>
    </tableColumn>
    <tableColumn id="5" xr3:uid="{56CDA059-62D1-4559-88AB-8F272CFECA71}" name="Emission Scope Relevance" dataDxfId="1132"/>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2638048A-F976-4D1A-B7FA-F5211F6CBF6C}" name="tbl_Employee_Commuting_Inputs" displayName="tbl_Employee_Commuting_Inputs" ref="B10:J20" totalsRowShown="0" headerRowDxfId="1131" headerRowBorderDxfId="1130" tableBorderDxfId="1129" totalsRowBorderDxfId="1128">
  <autoFilter ref="B10:J20" xr:uid="{2638048A-F976-4D1A-B7FA-F5211F6CBF6C}"/>
  <tableColumns count="9">
    <tableColumn id="1" xr3:uid="{415133E4-9E92-44C4-80AE-7E797ED3EA06}" name="Location" dataDxfId="1127"/>
    <tableColumn id="2" xr3:uid="{9C00B983-AA42-4EDB-B08E-C8241308C17F}" name="Employees (FTE Count)" dataDxfId="1126"/>
    <tableColumn id="3" xr3:uid="{7736C84E-ECB3-408D-92A1-CCE3F88498B8}" name="Car %" dataDxfId="1125" dataCellStyle="Percent"/>
    <tableColumn id="4" xr3:uid="{D76EA725-7B49-48BA-8533-49E01E383016}" name="Rail %" dataDxfId="1124" dataCellStyle="Percent"/>
    <tableColumn id="5" xr3:uid="{60CB9612-5E8B-4D6E-9894-424152ECA687}" name="Bus %" dataDxfId="1123" dataCellStyle="Percent"/>
    <tableColumn id="6" xr3:uid="{EDC2AB23-738F-4E6A-8479-A3698ADF9B29}" name="Self-Propelled %" dataDxfId="1122" dataCellStyle="Percent"/>
    <tableColumn id="7" xr3:uid="{4BAB87F7-6B85-4371-B0A4-BE4BB75A2024}" name="Check (100%)" dataDxfId="1121">
      <calculatedColumnFormula>SUM(D11:G11)</calculatedColumnFormula>
    </tableColumn>
    <tableColumn id="8" xr3:uid="{F167BB70-4E91-4E9A-8615-BC84ADDF2DC0}" name="Avg. Distance One-Way" dataDxfId="1120" dataCellStyle="Comma"/>
    <tableColumn id="9" xr3:uid="{29E59107-DC59-43A7-A7B8-CE4260EA2BCB}" name="Emission Scope Relevance" dataDxfId="1119"/>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193A538D-58DD-4530-B5FF-7A331926745C}" name="tbl_Teleworking" displayName="tbl_Teleworking" ref="B27:E37" totalsRowShown="0" headerRowDxfId="1118" headerRowBorderDxfId="1117" tableBorderDxfId="1116" totalsRowBorderDxfId="1115">
  <autoFilter ref="B27:E37" xr:uid="{193A538D-58DD-4530-B5FF-7A331926745C}"/>
  <tableColumns count="4">
    <tableColumn id="1" xr3:uid="{8BD53AFB-F88C-44DE-B949-304B6153CFD0}" name="Location" dataDxfId="1114"/>
    <tableColumn id="2" xr3:uid="{9DE395FF-D2DE-47EB-A76B-8626B326A8E0}" name="Employees (FTE Count)" dataDxfId="1113"/>
    <tableColumn id="3" xr3:uid="{F230B4F7-A7FF-4B52-BB54-1B681D3934E2}" name="Average Teleworking Days per Week" dataDxfId="1112"/>
    <tableColumn id="4" xr3:uid="{5E549994-55ED-4308-AC09-DFAE5B08DBE7}" name="Emission Scope Relevance" dataDxfId="1111"/>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DA9D5E-E1B6-43BD-9312-9AE626DC75E9}" name="tbl_1.01._Calculation" displayName="tbl_1.01._Calculation" ref="B11:J17" totalsRowShown="0" headerRowDxfId="1089" headerRowBorderDxfId="1088" tableBorderDxfId="1087" totalsRowBorderDxfId="1086">
  <autoFilter ref="B11:J17" xr:uid="{01DA9D5E-E1B6-43BD-9312-9AE626DC75E9}"/>
  <tableColumns count="9">
    <tableColumn id="1" xr3:uid="{387A9633-0C35-475E-8037-5E0208DE918E}" name="Fuel" dataDxfId="1085"/>
    <tableColumn id="2" xr3:uid="{D692A0D3-B936-4115-BC3B-B9DF25D3B902}" name="Unit" dataDxfId="1084" dataCellStyle="Comma">
      <calculatedColumnFormula>INDEX(tbl_1.01._Input[Unit of Consumption], MATCH(tbl_1.01._Calculation[[#This Row],[Fuel]], tbl_1.01._Input[Fuel], 0))</calculatedColumnFormula>
    </tableColumn>
    <tableColumn id="3" xr3:uid="{0E09244F-0130-4943-A85B-085D1941F302}" name="Consumption" dataDxfId="1083" dataCellStyle="Comma">
      <calculatedColumnFormula>INDEX(tbl_1.01._Input[Consumption], MATCH(tbl_1.01._Calculation[[#This Row],[Fuel]], tbl_1.01._Input[Fuel], 0))</calculatedColumnFormula>
    </tableColumn>
    <tableColumn id="4" xr3:uid="{24D355F4-0A97-46F9-9A93-378CE86B3A14}" name="Emissions 1.01. (kg CO2e)" dataDxfId="1082" dataCellStyle="Comma">
      <calculatedColumnFormula array="1">IF(tbl_1.01._Calculation[[#This Row],[Consumption]:[Consumption]] &gt; 0,
tbl_1.01._Calculation[[#This Row],[Consumption]:[Consumption]]
*
SUMIFS(tbl_1.01._Emission_Factors[kg CO2e/unit],
   tbl_1.01._Emission_Factors[[Scope]:[Scope]], "1.01. Stationary Combustion",
      tbl_1.01._Emission_Factors[[Fuel]:[Fuel]], tbl_1.01._Calculation[[#This Row],[Fuel]:[Fuel]],
         tbl_1.01._Emission_Factors[[Unit]:[Unit]], tbl_1.01._Calculation[[#This Row],[Unit]:[Unit]]), "")</calculatedColumnFormula>
    </tableColumn>
    <tableColumn id="9" xr3:uid="{8B97AA3E-7AFE-4495-804B-0E29683F813E}" name="Emissions CO2 1.01. (kg CO2e)" dataDxfId="1081" dataCellStyle="Comma">
      <calculatedColumnFormula array="1">IF(tbl_1.01._Calculation[[#This Row],[Consumption]:[Consumption]] &gt; 0,
tbl_1.01._Calculation[[#This Row],[Consumption]:[Consumption]]
*
SUMIFS(tbl_1.01._Emission_Factors[CO2 kg CO2e/unit],
   tbl_1.01._Emission_Factors[[Scope]:[Scope]], "1.01. Stationary Combustion",
      tbl_1.01._Emission_Factors[[Fuel]:[Fuel]], tbl_1.01._Calculation[[#This Row],[Fuel]:[Fuel]],
         tbl_1.01._Emission_Factors[[Unit]:[Unit]], tbl_1.01._Calculation[[#This Row],[Unit]:[Unit]]), "")</calculatedColumnFormula>
    </tableColumn>
    <tableColumn id="8" xr3:uid="{A0AB0D3D-71CF-4AC8-94BD-91D0B5DBF775}" name="Emissions CH4 1.01. (kg CO2e)" dataDxfId="1080" dataCellStyle="Comma">
      <calculatedColumnFormula array="1">IF(tbl_1.01._Calculation[[#This Row],[Consumption]:[Consumption]] &gt; 0,
tbl_1.01._Calculation[[#This Row],[Consumption]:[Consumption]]
*
SUMIFS(tbl_1.01._Emission_Factors[CH4 kg CO2e/unit],
   tbl_1.01._Emission_Factors[[Scope]:[Scope]], "1.01. Stationary Combustion",
      tbl_1.01._Emission_Factors[[Fuel]:[Fuel]], tbl_1.01._Calculation[[#This Row],[Fuel]:[Fuel]],
         tbl_1.01._Emission_Factors[[Unit]:[Unit]], tbl_1.01._Calculation[[#This Row],[Unit]:[Unit]]), "")</calculatedColumnFormula>
    </tableColumn>
    <tableColumn id="7" xr3:uid="{74EB60C4-18BC-40C4-B328-91D3F998E006}" name="Emissions N2O 1.01. (kg CO2e)" dataDxfId="1079" dataCellStyle="Comma">
      <calculatedColumnFormula array="1">IF(tbl_1.01._Calculation[[#This Row],[Consumption]:[Consumption]] &gt; 0,
tbl_1.01._Calculation[[#This Row],[Consumption]:[Consumption]]
*
SUMIFS(tbl_1.01._Emission_Factors[N2O kg CO2e/unit],
   tbl_1.01._Emission_Factors[[Scope]:[Scope]], "1.01. Stationary Combustion",
      tbl_1.01._Emission_Factors[[Fuel]:[Fuel]], tbl_1.01._Calculation[[#This Row],[Fuel]:[Fuel]],
         tbl_1.01._Emission_Factors[[Unit]:[Unit]], tbl_1.01._Calculation[[#This Row],[Unit]:[Unit]]), "")</calculatedColumnFormula>
    </tableColumn>
    <tableColumn id="10" xr3:uid="{AD8B60C5-ABCD-4EFF-829E-584E0555C079}" name="Emissions 3.03. (kg CO2e)" dataDxfId="1078" dataCellStyle="Comma">
      <calculatedColumnFormula array="1">IF(tbl_1.01._Calculation[[#This Row],[Consumption]:[Consumption]] &gt; 0,
tbl_1.01._Calculation[[#This Row],[Consumption]:[Consumption]]
*
SUMIFS(tbl_1.01._Emission_Factors[kg CO2e/unit],
   tbl_1.01._Emission_Factors[[Scope]:[Scope]], "3.03. Fuel- and Energy-Related Emissions",
      tbl_1.01._Emission_Factors[[Fuel]:[Fuel]], tbl_1.01._Calculation[[#This Row],[Fuel]:[Fuel]],
         tbl_1.01._Emission_Factors[[Unit]:[Unit]], tbl_1.01._Calculation[[#This Row],[Unit]:[Unit]]), "")</calculatedColumnFormula>
    </tableColumn>
    <tableColumn id="6" xr3:uid="{6F41470B-789D-4503-B400-4F22E124117B}" name="Emission Factor Source" dataDxfId="1077"/>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8DAE135-0E16-40E4-B152-57EDA4EBBE84}" name="tbl_Mobile_Combustion_km" displayName="tbl_Mobile_Combustion_km" ref="B26:K33" totalsRowShown="0" headerRowDxfId="1076" dataDxfId="1074" headerRowBorderDxfId="1075" tableBorderDxfId="1073" totalsRowBorderDxfId="1072">
  <autoFilter ref="B26:K33" xr:uid="{78DAE135-0E16-40E4-B152-57EDA4EBBE84}"/>
  <tableColumns count="10">
    <tableColumn id="1" xr3:uid="{5A4762D2-BDEB-48C7-B244-A153C2750339}" name="Fuel" dataDxfId="1071"/>
    <tableColumn id="2" xr3:uid="{13B3E11B-96F4-4196-AF90-DC35867BEC88}" name="Vehicle Type" dataDxfId="1070" dataCellStyle="Comma">
      <calculatedColumnFormula>INDEX(#REF!, MATCH(tbl_Mobile_Combustion_km[[#This Row],[Fuel]], tbl_1.02._km_Input[Fuel], 0))</calculatedColumnFormula>
    </tableColumn>
    <tableColumn id="4" xr3:uid="{E6A57BCF-2F3A-4986-98CF-416D7C2B0994}" name="Unit" dataDxfId="1069"/>
    <tableColumn id="5" xr3:uid="{ADED69E6-ABD7-4FAB-8F94-2ED6E547A028}" name="Consumption" dataDxfId="1068" dataCellStyle="Comma">
      <calculatedColumnFormula>INDEX(tbl_1.02._km_Input[Consumption], MATCH(tbl_Mobile_Combustion_km[[#This Row],[Fuel]], tbl_1.02._km_Input[Fuel], 0))</calculatedColumnFormula>
    </tableColumn>
    <tableColumn id="6" xr3:uid="{A4C97066-F5EA-497A-B347-5D6F62D991CA}" name="Emissions 1.01. (kg CO2e)" dataDxfId="1067" dataCellStyle="Comma">
      <calculatedColumnFormula array="1">IF(tbl_Mobile_Combustion_km[[#This Row],[Consumption]:[Consumption]] &gt; 0,
tbl_Mobile_Combustion_km[[#This Row],[Consumption]:[Consumption]]
*
SUMIFS(tbl_EF_Cars[kg CO2e/unit],
   tbl_EF_Cars[[Scope]:[Scope]], "1.02. Mobile Combustion",
      tbl_EF_Cars[[Fuel / Load]:[Fuel / Load]], tbl_Mobile_Combustion_km[[#This Row],[Fuel]:[Fuel]],
         tbl_EF_Cars[[Vehicle Type]:[Vehicle Type]], tbl_Mobile_Combustion_km[[#This Row],[Vehicle Type]:[Vehicle Type]]), "")</calculatedColumnFormula>
    </tableColumn>
    <tableColumn id="11" xr3:uid="{45C9BD41-0023-44E8-9516-F870582B79AD}" name="Emissions CO2 1.01. (kg CO2e)" dataDxfId="1066" dataCellStyle="Comma">
      <calculatedColumnFormula array="1">IF(tbl_Mobile_Combustion_km[[#This Row],[Consumption]:[Consumption]] &gt; 0,
tbl_Mobile_Combustion_km[[#This Row],[Consumption]:[Consumption]]
*
SUMIFS(tbl_EF_Cars[CO2 kg CO2e/unit],
   tbl_EF_Cars[[Scope]:[Scope]], "1.02. Mobile Combustion",
      tbl_EF_Cars[[Fuel / Load]:[Fuel / Load]], tbl_Mobile_Combustion_km[[#This Row],[Fuel]:[Fuel]],
         tbl_EF_Cars[[Vehicle Type]:[Vehicle Type]], tbl_Mobile_Combustion_km[[#This Row],[Vehicle Type]:[Vehicle Type]]), "")</calculatedColumnFormula>
    </tableColumn>
    <tableColumn id="7" xr3:uid="{31B0EDDA-DDAA-446A-8486-D27F6FCB2646}" name="Emissions CH4 1.01. (kg CO2e)" dataDxfId="1065" dataCellStyle="Comma">
      <calculatedColumnFormula array="1">IF(tbl_Mobile_Combustion_km[[#This Row],[Consumption]:[Consumption]] &gt; 0,
tbl_Mobile_Combustion_km[[#This Row],[Consumption]:[Consumption]]
*
SUMIFS(tbl_EF_Cars[CH4 kg CO2e/unit],
   tbl_EF_Cars[[Scope]:[Scope]], "1.02. Mobile Combustion",
      tbl_EF_Cars[[Fuel / Load]:[Fuel / Load]], tbl_Mobile_Combustion_km[[#This Row],[Fuel]:[Fuel]],
         tbl_EF_Cars[[Vehicle Type]:[Vehicle Type]], tbl_Mobile_Combustion_km[[#This Row],[Vehicle Type]:[Vehicle Type]]), "")</calculatedColumnFormula>
    </tableColumn>
    <tableColumn id="8" xr3:uid="{C6B0A781-DC09-49AA-BAE1-38C5F0E6F698}" name="Emissions N20 1.01. (kg CO2e)" dataDxfId="1064" dataCellStyle="Comma">
      <calculatedColumnFormula array="1">IF(tbl_Mobile_Combustion_km[[#This Row],[Consumption]:[Consumption]] &gt; 0,
tbl_Mobile_Combustion_km[[#This Row],[Consumption]:[Consumption]]
*
SUMIFS(tbl_EF_Cars[N2O kg CO2e/unit],
   tbl_EF_Cars[[Scope]:[Scope]], "1.02. Mobile Combustion",
      tbl_EF_Cars[[Fuel / Load]:[Fuel / Load]], tbl_Mobile_Combustion_km[[#This Row],[Fuel]:[Fuel]],
         tbl_EF_Cars[[Vehicle Type]:[Vehicle Type]], tbl_Mobile_Combustion_km[[#This Row],[Vehicle Type]:[Vehicle Type]]), "")</calculatedColumnFormula>
    </tableColumn>
    <tableColumn id="9" xr3:uid="{A857B711-FEB6-46DC-A751-CEA7AEF1060D}" name="Emissions 3.03. (kg CO2e)" dataDxfId="1063" dataCellStyle="Comma">
      <calculatedColumnFormula array="1">IF(E27 &gt; 0,
tbl_Mobile_Combustion_km[[#This Row],[Consumption]]
*
SUMIFS(tbl_EF_Cars[kg CO2e/unit],
   tbl_EF_Cars[Scope], "3.03. Fuel-and Energy-Related Emissions",
      tbl_EF_Cars[Fuel / Load],tbl_Mobile_Combustion_km[[#This Row],[Fuel]:[Fuel]],
         tbl_EF_Cars[Vehicle Type], tbl_Mobile_Combustion_km[[#This Row],[Vehicle Type]]),
"")</calculatedColumnFormula>
    </tableColumn>
    <tableColumn id="10" xr3:uid="{F7C83DA1-16CF-473E-92A8-F9DE3B1C48F6}" name="Emission Factor Source" dataDxfId="1062"/>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4181F54-8537-4E27-BEC9-47688BBC6359}" name="Table5" displayName="Table5" ref="B35:J38" totalsRowShown="0" headerRowDxfId="1061" headerRowBorderDxfId="1060" tableBorderDxfId="1059">
  <autoFilter ref="B35:J38" xr:uid="{44181F54-8537-4E27-BEC9-47688BBC6359}"/>
  <tableColumns count="9">
    <tableColumn id="1" xr3:uid="{0795896E-7FBB-44BF-8F54-1E2A5791DD65}" name="Fuel" dataDxfId="1058"/>
    <tableColumn id="2" xr3:uid="{7863888D-2EB2-47AF-9BC4-E08742C6E59C}" name="Unit" dataDxfId="1057" dataCellStyle="Comma"/>
    <tableColumn id="3" xr3:uid="{3C3288E5-2B2E-4143-AC31-F4C916E79FDF}" name="Consumption" dataDxfId="1056" dataCellStyle="Comma">
      <calculatedColumnFormula>INDEX(tbl_1.02._Input[Consumption], MATCH(Table5[[#This Row],[Fuel]], tbl_1.02._Input[Fuel], 0))</calculatedColumnFormula>
    </tableColumn>
    <tableColumn id="4" xr3:uid="{B50BCD12-3257-4C2B-B880-2F743966927D}" name="Emissions 1.01. (kg CO2e)" dataDxfId="1055" dataCellStyle="Comma">
      <calculatedColumnFormula array="1">Table5[[#This Row],[Consumption]:[Consumption]]
*
SUMIFS(tbl_1.01._Emission_Factors[kg CO2e/unit],
   tbl_1.01._Emission_Factors[[Scope]:[Scope]], "1.01. Stationary Combustion",
      tbl_1.01._Emission_Factors[[Unit]:[Unit]], Table5[[#This Row],[Unit]:[Unit]],
         tbl_1.01._Emission_Factors[[Fuel]:[Fuel]], Table5[[#This Row],[Fuel]:[Fuel]])</calculatedColumnFormula>
    </tableColumn>
    <tableColumn id="5" xr3:uid="{B8725751-607C-44AB-B79E-82655A4516D4}" name="Emissions CO2 1.01. (kg CO2e)" dataDxfId="1054" dataCellStyle="Comma">
      <calculatedColumnFormula array="1">Table5[[#This Row],[Consumption]:[Consumption]]
*
SUMIFS(tbl_1.01._Emission_Factors[CO2 kg CO2e/unit],
   tbl_1.01._Emission_Factors[[Scope]:[Scope]], "1.01. Stationary Combustion",
      tbl_1.01._Emission_Factors[[Unit]:[Unit]], Table5[[#This Row],[Unit]:[Unit]],
         tbl_1.01._Emission_Factors[[Fuel]:[Fuel]], Table5[[#This Row],[Fuel]:[Fuel]])</calculatedColumnFormula>
    </tableColumn>
    <tableColumn id="6" xr3:uid="{6048EBDF-823A-4B0A-BF53-97CCCB9FFB10}" name="Emissions CH4 1.01. (kg CO2e)" dataDxfId="1053" dataCellStyle="Comma">
      <calculatedColumnFormula array="1">Table5[[#This Row],[Consumption]:[Consumption]]
*
SUMIFS(tbl_1.01._Emission_Factors[CH4 kg CO2e/unit],
   tbl_1.01._Emission_Factors[[Scope]:[Scope]], "1.01. Stationary Combustion",
      tbl_1.01._Emission_Factors[[Unit]:[Unit]], Table5[[#This Row],[Unit]:[Unit]],
         tbl_1.01._Emission_Factors[[Fuel]:[Fuel]], Table5[[#This Row],[Fuel]:[Fuel]])</calculatedColumnFormula>
    </tableColumn>
    <tableColumn id="7" xr3:uid="{69E8C6D8-BBE3-4C69-9862-0E8B6359FBA8}" name="Emissions N2O 1.01. (kg CO2e)" dataDxfId="1052" dataCellStyle="Comma">
      <calculatedColumnFormula array="1">Table5[[#This Row],[Consumption]:[Consumption]]
*
SUMIFS(tbl_1.01._Emission_Factors[N2O kg CO2e/unit],
   tbl_1.01._Emission_Factors[[Scope]:[Scope]], "1.01. Stationary Combustion",
      tbl_1.01._Emission_Factors[[Unit]:[Unit]], Table5[[#This Row],[Unit]:[Unit]],
         tbl_1.01._Emission_Factors[[Fuel]:[Fuel]], Table5[[#This Row],[Fuel]:[Fuel]])</calculatedColumnFormula>
    </tableColumn>
    <tableColumn id="8" xr3:uid="{E53A86B8-D59F-48EF-A1AE-44BAE71F1E0B}" name="Emissions 3.03. (kg CO2e)" dataDxfId="1051">
      <calculatedColumnFormula array="1">Table5[[#This Row],[Consumption]:[Consumption]]
*
SUMIFS(tbl_1.01._Emission_Factors[kg CO2e/unit],
   tbl_1.01._Emission_Factors[[Scope]:[Scope]], "3.03. Fuel- and Energy-Related Emissions",
      tbl_1.01._Emission_Factors[[Unit]:[Unit]], Table5[[#This Row],[Unit]:[Unit]],
         tbl_1.01._Emission_Factors[[Fuel]:[Fuel]], Table5[[#This Row],[Fuel]:[Fuel]])</calculatedColumnFormula>
    </tableColumn>
    <tableColumn id="9" xr3:uid="{E0EF049F-AE3E-4B6E-BB9E-CBE67BCB5DC8}" name="Emission Factor Source" dataDxfId="1050"/>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08E213D-ED0E-4645-A19D-323B37031716}" name="Table8" displayName="Table8" ref="B56:F66" totalsRowShown="0" headerRowDxfId="1049" dataDxfId="1047" headerRowBorderDxfId="1048" tableBorderDxfId="1046" totalsRowBorderDxfId="1045">
  <autoFilter ref="B56:F66" xr:uid="{608E213D-ED0E-4645-A19D-323B37031716}"/>
  <tableColumns count="5">
    <tableColumn id="2" xr3:uid="{3721AF53-E747-4F73-BF95-D729216FEE0B}" name="Cooling Liquid" dataDxfId="1044" dataCellStyle="Comma"/>
    <tableColumn id="3" xr3:uid="{A073D71D-3EC2-4AA1-9F00-EAFA7E70E45B}" name="Unit" dataDxfId="1043"/>
    <tableColumn id="4" xr3:uid="{F3982B06-DB0B-447D-A8AE-DDBDA931C3C1}" name="Consumption" dataDxfId="1042" dataCellStyle="Comma">
      <calculatedColumnFormula>INDEX(tbl_1.04._Inputs[Consumption], MATCH(Table8[[#This Row],[Cooling Liquid]], tbl_1.04._Inputs[Coolant], 0))</calculatedColumnFormula>
    </tableColumn>
    <tableColumn id="5" xr3:uid="{18B5D327-94B8-441A-9A6D-E64E98CA668D}" name="Emissions 1.04. (kg CO2e)" dataDxfId="1041" dataCellStyle="Comma">
      <calculatedColumnFormula>IF(Table8[[#This Row],[Consumption]] &gt; 0, Table8[[#This Row],[Consumption]] * SUMIFS(tbl_EF_1.04.[kg CO2e/Unit], tbl_EF_1.04.[Cooling Liquid], Table8[[#This Row],[Cooling Liquid]]), "")</calculatedColumnFormula>
    </tableColumn>
    <tableColumn id="6" xr3:uid="{EDDD6BDE-FAA1-446B-A401-71270157725F}" name="Emission Factor Source" dataDxfId="1040"/>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9BC179E-387F-49C7-9260-9F57440D954D}" name="tbl_HGV_Calculation" displayName="tbl_HGV_Calculation" ref="B40:K48" totalsRowShown="0" headerRowDxfId="1039" dataDxfId="1037" headerRowBorderDxfId="1038" tableBorderDxfId="1036" totalsRowBorderDxfId="1035" dataCellStyle="Comma">
  <autoFilter ref="B40:K48" xr:uid="{79BC179E-387F-49C7-9260-9F57440D954D}"/>
  <tableColumns count="10">
    <tableColumn id="1" xr3:uid="{41F1271E-4BA7-49E2-87D7-B1999E4BD1A9}" name="HGV " dataDxfId="1034"/>
    <tableColumn id="3" xr3:uid="{36B11B58-3A64-4E05-BDFF-527DEDB2EB1B}" name="Freight Type" dataDxfId="1033" dataCellStyle="Percent"/>
    <tableColumn id="4" xr3:uid="{FE40C9F2-34F3-4484-9A0E-4EAB56DACF8F}" name="Unit" dataDxfId="1032"/>
    <tableColumn id="5" xr3:uid="{7C429811-5E1E-46C0-806E-435665B54252}" name="Consumption" dataDxfId="1031" dataCellStyle="Comma">
      <calculatedColumnFormula>INDEX(tbl_1.02._HGV_Inputs[Consumption], MATCH(tbl_HGV_Calculation[[#This Row],[HGV ]], tbl_1.02._HGV_Inputs[Vehicle], 0))</calculatedColumnFormula>
    </tableColumn>
    <tableColumn id="6" xr3:uid="{D2BDF9C4-43A9-447F-B7E0-9FAD2CBF6D82}" name="Emissions 1.01. (kg CO2e)" dataDxfId="1030" dataCellStyle="Comma">
      <calculatedColumnFormula array="1">IF(tbl_HGV_Calculation[[#This Row],[Consumption]:[Consumption]] &gt; 0,
tbl_HGV_Calculation[[#This Row],[Consumption]:[Consumption]]
*
SUMIFS(tbl_EF_Cars[kg CO2e/unit],
   tbl_EF_Cars[[Scope]:[Scope]], "1.02. Mobile Combustion",
      tbl_EF_Cars[[Fuel / Load]:[Fuel / Load]], tbl_HGV_Calculation[[#This Row],[Freight Type]:[Freight Type]],
         tbl_EF_Cars[[Vehicle Type]:[Vehicle Type]], tbl_HGV_Calculation[[#This Row],[HGV ]:[HGV ]]),
"")</calculatedColumnFormula>
    </tableColumn>
    <tableColumn id="7" xr3:uid="{CAC430CC-ED51-489C-ABD5-AD9410BCADD1}" name="Emissions CO2 1.01. (kg CO2e)" dataDxfId="1029" dataCellStyle="Comma">
      <calculatedColumnFormula array="1">IF(tbl_HGV_Calculation[[#This Row],[Consumption]:[Consumption]] &gt; 0,
tbl_HGV_Calculation[[#This Row],[Consumption]:[Consumption]]
*
SUMIFS(tbl_EF_Cars[CO2 kg CO2e/unit],
   tbl_EF_Cars[[Scope]:[Scope]], "1.02. Mobile Combustion",
      tbl_EF_Cars[[Fuel / Load]:[Fuel / Load]], tbl_HGV_Calculation[[#This Row],[Freight Type]:[Freight Type]],
         tbl_EF_Cars[[Vehicle Type]:[Vehicle Type]], tbl_HGV_Calculation[[#This Row],[HGV ]:[HGV ]]),
"")</calculatedColumnFormula>
    </tableColumn>
    <tableColumn id="8" xr3:uid="{EB1C3976-2A5B-4D1A-AD9A-A87A8E495397}" name="Emissions CH4 1.01. (kg CO2e)" dataDxfId="1028" dataCellStyle="Comma">
      <calculatedColumnFormula array="1">IF(tbl_HGV_Calculation[[#This Row],[Consumption]:[Consumption]] &gt; 0,
tbl_HGV_Calculation[[#This Row],[Consumption]:[Consumption]]
*
SUMIFS(tbl_EF_Cars[CH4 kg CO2e/unit],
   tbl_EF_Cars[[Scope]:[Scope]], "1.02. Mobile Combustion",
      tbl_EF_Cars[[Fuel / Load]:[Fuel / Load]], tbl_HGV_Calculation[[#This Row],[Freight Type]:[Freight Type]],
         tbl_EF_Cars[[Vehicle Type]:[Vehicle Type]], tbl_HGV_Calculation[[#This Row],[HGV ]:[HGV ]]),
"")</calculatedColumnFormula>
    </tableColumn>
    <tableColumn id="9" xr3:uid="{14B9DD47-9851-4437-B9C5-C639540D631A}" name="Emissions N20 1.01. (kg CO2e)" dataDxfId="1027" dataCellStyle="Comma">
      <calculatedColumnFormula array="1">IF(tbl_HGV_Calculation[[#This Row],[Consumption]:[Consumption]] &gt; 0,
tbl_HGV_Calculation[[#This Row],[Consumption]:[Consumption]]
*
SUMIFS(tbl_EF_Cars[N2O kg CO2e/unit],
   tbl_EF_Cars[[Scope]:[Scope]], "1.02. Mobile Combustion",
      tbl_EF_Cars[[Fuel / Load]:[Fuel / Load]], tbl_HGV_Calculation[[#This Row],[Freight Type]:[Freight Type]],
         tbl_EF_Cars[[Vehicle Type]:[Vehicle Type]], tbl_HGV_Calculation[[#This Row],[HGV ]:[HGV ]]),
"")</calculatedColumnFormula>
    </tableColumn>
    <tableColumn id="10" xr3:uid="{DA0444CD-4770-4F3C-9735-9226936019D7}" name="Emissions 3.03. (kg CO2e)" dataDxfId="1026" dataCellStyle="Comma">
      <calculatedColumnFormula array="1">IF(tbl_HGV_Calculation[[#This Row],[Consumption]:[Consumption]] &gt; 0,
tbl_HGV_Calculation[[#This Row],[Consumption]:[Consumption]]
*
SUMIFS(tbl_EF_Cars[kg CO2e/unit],
   tbl_EF_Cars[[Scope]:[Scope]], "3.03. Fuel-and Energy-Related Emissions",
      tbl_EF_Cars[[Fuel / Load]:[Fuel / Load]], tbl_HGV_Calculation[[#This Row],[Freight Type]:[Freight Type]],
         tbl_EF_Cars[[Vehicle Type]:[Vehicle Type]], tbl_HGV_Calculation[[#This Row],[HGV ]]),
"")</calculatedColumnFormula>
    </tableColumn>
    <tableColumn id="11" xr3:uid="{D67987B0-8028-4787-819E-5A859652E634}" name="Emission Factor Source" dataDxfId="1025"/>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03ADCFD-CDB1-4DE9-AB21-22AA0D316116}" name="tbl_Electricity_Calculation" displayName="tbl_Electricity_Calculation" ref="B8:V18" totalsRowShown="0" headerRowDxfId="27" dataDxfId="26" headerRowBorderDxfId="24" tableBorderDxfId="25" totalsRowBorderDxfId="23">
  <autoFilter ref="B8:V18" xr:uid="{D03ADCFD-CDB1-4DE9-AB21-22AA0D316116}"/>
  <tableColumns count="21">
    <tableColumn id="1" xr3:uid="{2205CC89-3372-4AC9-B400-F82AA65AB3CE}" name="Location" dataDxfId="22"/>
    <tableColumn id="2" xr3:uid="{4E0CBCE3-3F5E-450B-A009-DFBCE9A433F6}" name="Location Name" dataDxfId="21" dataCellStyle="Comma">
      <calculatedColumnFormula>INDEX(tbl_Electricity_Input[Location Name], MATCH(tbl_Electricity_Calculation[[#This Row],[Location]], tbl_Electricity_Input[Location], 0))</calculatedColumnFormula>
    </tableColumn>
    <tableColumn id="3" xr3:uid="{27463701-ABE9-4FD5-AFDE-5A9FC2E39899}" name="Country" dataDxfId="20" dataCellStyle="Comma">
      <calculatedColumnFormula>INDEX(tbl_Electricity_Input[Country], MATCH(tbl_Electricity_Calculation[[#This Row],[Location]], tbl_Electricity_Input[Location], 0))</calculatedColumnFormula>
    </tableColumn>
    <tableColumn id="30" xr3:uid="{1CC17BD8-3438-4789-8FA5-CFE1F48315B8}" name="Last Year with Direct Electricity EF" dataDxfId="19" dataCellStyle="Comma">
      <calculatedColumnFormula>_xlfn.MAXIFS(tbl_IEA_EFs[Year], tbl_IEA_EFs[Country], tbl_Electricity_Calculation[[#This Row],[Country]], tbl_IEA_EFs[Category], "Direct Electricity")</calculatedColumnFormula>
    </tableColumn>
    <tableColumn id="32" xr3:uid="{99324266-8571-462E-80A9-CBB82CFDB321}" name="Last Year with Upstream Electricity EF" dataDxfId="18" dataCellStyle="Comma">
      <calculatedColumnFormula>_xlfn.MAXIFS(tbl_IEA_EFs[Year], tbl_IEA_EFs[Country], tbl_Electricity_Calculation[[#This Row],[Country]], tbl_IEA_EFs[Category], "Upstream Electricity")</calculatedColumnFormula>
    </tableColumn>
    <tableColumn id="31" xr3:uid="{14B5C3A3-F3AE-472C-8E8E-8AC864DBD6E2}" name="Last Year with T&amp;D EF" dataDxfId="17" dataCellStyle="Comma">
      <calculatedColumnFormula>_xlfn.MAXIFS(tbl_IEA_EFs[Year], tbl_IEA_EFs[Country], tbl_Electricity_Calculation[[#This Row],[Country]], tbl_IEA_EFs[Category], "Transmission &amp; Distribution Losses")</calculatedColumnFormula>
    </tableColumn>
    <tableColumn id="6" xr3:uid="{6FC0DAFC-C5B2-4660-A28E-AF7044CCE2EC}" name="Number of Consumption Days" dataDxfId="16" dataCellStyle="Comma">
      <calculatedColumnFormula>INDEX(tbl_Electricity_Input[Number of Consumption Days], MATCH(tbl_Electricity_Calculation[[#This Row],[Location]], tbl_Electricity_Input[Location], 0))</calculatedColumnFormula>
    </tableColumn>
    <tableColumn id="8" xr3:uid="{A271D12A-A4B7-4298-AE70-F2A213A0D3E6}" name="Consumption (kWh)" dataDxfId="15" dataCellStyle="Comma">
      <calculatedColumnFormula>INDEX(tbl_Electricity_Input[Consumption (kWh)], MATCH(tbl_Electricity_Calculation[[#This Row],[Location]], tbl_Electricity_Input[Location], 0))</calculatedColumnFormula>
    </tableColumn>
    <tableColumn id="17" xr3:uid="{2F68D15B-1C32-47EF-9F08-3CAE389C2639}" name="kg CO2e LB" dataDxfId="14" dataCellStyle="Comma">
      <calculatedColumnFormula array="1">IFERROR(tbl_Electricity_Calculation[[#This Row],[Consumption (kWh)]:[Consumption (kWh)]]
*
INDEX(tbl_IEA_EFs[kg CO2e], MATCH(tbl_Electricity_Calculation[[#This Row],[Emission Factor ID LB]:[Emission Factor ID LB]], tbl_IEA_EFs[[ID]:[ID]], 0)), "")</calculatedColumnFormula>
    </tableColumn>
    <tableColumn id="18" xr3:uid="{6EDAABF8-3C92-426A-9AE5-070134F641CE}" name="CO2 kg CO2e LB" dataDxfId="13" dataCellStyle="Comma">
      <calculatedColumnFormula array="1">IFERROR(tbl_Electricity_Calculation[[#This Row],[Consumption (kWh)]:[Consumption (kWh)]]
*
INDEX(tbl_IEA_EFs[kg CO2e of CO2 per unit], MATCH(tbl_Electricity_Calculation[[#This Row],[Emission Factor ID LB]:[Emission Factor ID LB]], tbl_IEA_EFs[[ID]:[ID]], 0)), "")</calculatedColumnFormula>
    </tableColumn>
    <tableColumn id="19" xr3:uid="{66E4E63D-2701-473F-879C-6A030CE67656}" name="CH4 kg CO2e LB" dataDxfId="12" dataCellStyle="Comma">
      <calculatedColumnFormula array="1">IFERROR(tbl_Electricity_Calculation[[#This Row],[Consumption (kWh)]:[Consumption (kWh)]]
*
INDEX(tbl_IEA_EFs[kg CO2e of CH4 per unit], MATCH(tbl_Electricity_Calculation[[#This Row],[Emission Factor ID LB]:[Emission Factor ID LB]], tbl_IEA_EFs[[ID]:[ID]], 0)), "")</calculatedColumnFormula>
    </tableColumn>
    <tableColumn id="20" xr3:uid="{888B6BF7-EB49-44FF-9403-6023B45FB864}" name="N2O kg CO2e LB" dataDxfId="11" dataCellStyle="Comma">
      <calculatedColumnFormula array="1">IFERROR(tbl_Electricity_Calculation[[#This Row],[Consumption (kWh)]:[Consumption (kWh)]]
*
INDEX(tbl_IEA_EFs[kg CO2e of N2O per unit], MATCH(tbl_Electricity_Calculation[[#This Row],[Emission Factor ID LB]:[Emission Factor ID LB]], tbl_IEA_EFs[[ID]:[ID]], 0)), "")</calculatedColumnFormula>
    </tableColumn>
    <tableColumn id="21" xr3:uid="{DCCB3F34-EEBA-4049-8F91-9095E604AC6B}" name="Unspecified kg CO2e LB" dataDxfId="10" dataCellStyle="Comma">
      <calculatedColumnFormula array="1">IFERROR(tbl_Electricity_Calculation[[#This Row],[Consumption (kWh)]:[Consumption (kWh)]]
*
INDEX(tbl_IEA_EFs[kg CO2e of Unspecified per unit2], MATCH(tbl_Electricity_Calculation[[#This Row],[Emission Factor ID LB]:[Emission Factor ID LB]], tbl_IEA_EFs[[ID]:[ID]], 0)), "")</calculatedColumnFormula>
    </tableColumn>
    <tableColumn id="22" xr3:uid="{38EFD172-B714-4601-947D-8A90BA75FB3F}" name="Emission Factor ID LB" dataDxfId="9">
      <calculatedColumnFormula array="1">IFERROR(INDEX(tbl_IEA_EFs[ID],
   MATCH(1, ("Direct Electricity" = tbl_IEA_EFs[Category])
*
      (tbl_Electricity_Calculation[[#This Row],[Last Year with Direct Electricity EF]] = tbl_IEA_EFs[Year])
*
         (tbl_Electricity_Calculation[[#This Row],[Country]] = tbl_IEA_EFs[Country]), 0)), "")</calculatedColumnFormula>
    </tableColumn>
    <tableColumn id="23" xr3:uid="{7764BBAE-DC35-4FAF-BDE8-BEAC20E848D8}" name="kg CO2e 3.03." dataDxfId="8">
      <calculatedColumnFormula array="1">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calculatedColumnFormula>
    </tableColumn>
    <tableColumn id="24" xr3:uid="{7155386E-FA93-4E4B-824D-52E3F13A2882}" name="CO2 kg CO2e 3.03." dataDxfId="7">
      <calculatedColumnFormula array="1">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calculatedColumnFormula>
    </tableColumn>
    <tableColumn id="25" xr3:uid="{A0996842-4CCE-4D5E-8C85-4CB0846F24BE}" name="CH4 kg CO2e 3.03." dataDxfId="6">
      <calculatedColumnFormula array="1">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calculatedColumnFormula>
    </tableColumn>
    <tableColumn id="26" xr3:uid="{F6133E0C-64E0-4AAC-9757-F3BB7C19A378}" name="N2O kg CO2e 3.03." dataDxfId="5">
      <calculatedColumnFormula array="1">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calculatedColumnFormula>
    </tableColumn>
    <tableColumn id="27" xr3:uid="{6B0B6E48-AC0A-4CC3-A436-955947ADEB09}" name="Unspecified kg CO2e 3.03." dataDxfId="4">
      <calculatedColumnFormula array="1">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calculatedColumnFormula>
    </tableColumn>
    <tableColumn id="28" xr3:uid="{EB0E5D79-27D1-45A9-AB96-4C722C3BDEE6}" name="Emission Factor ID Upstream" dataDxfId="3">
      <calculatedColumnFormula array="1">IFERROR(INDEX(tbl_IEA_EFs[ID], MATCH(1, ("Upstream Electricity" = tbl_IEA_EFs[Category]) * (tbl_Electricity_Calculation[[#This Row],[Country]] = tbl_IEA_EFs[Country]) * (tbl_Electricity_Calculation[[#This Row],[Last Year with Upstream Electricity EF]] = tbl_IEA_EFs[Year]), 0)),"")</calculatedColumnFormula>
    </tableColumn>
    <tableColumn id="29" xr3:uid="{8EFE07FE-2E72-4937-B89E-7DFAD8E7E158}" name="Emission Factor ID T&amp;D" dataDxfId="2">
      <calculatedColumnFormula array="1">IFERROR(INDEX(tbl_IEA_EFs[ID], MATCH(1, ("Transmission &amp; Distribution Losses" = tbl_IEA_EFs[Category]) * (tbl_Electricity_Calculation[[#This Row],[Country]] = tbl_IEA_EFs[Country]) * (tbl_Electricity_Calculation[[#This Row],[Last Year with T&amp;D EF]] = tbl_IEA_EFs[Year]), 0)),"")</calculatedColumnFormula>
    </tableColumn>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1A7B9B9-F0CE-437C-B9CC-E6D4A7B783ED}" name="tbl_Calculation_District_Heating" displayName="tbl_Calculation_District_Heating" ref="B25:Q35" totalsRowShown="0" headerRowDxfId="1024" dataDxfId="1022" headerRowBorderDxfId="1023" tableBorderDxfId="1021" totalsRowBorderDxfId="1020">
  <autoFilter ref="B25:Q35" xr:uid="{51A7B9B9-F0CE-437C-B9CC-E6D4A7B783ED}"/>
  <tableColumns count="16">
    <tableColumn id="1" xr3:uid="{37E390DA-A874-471A-A77F-2B93F07600EC}" name="Location" dataDxfId="1019"/>
    <tableColumn id="4" xr3:uid="{3C95F170-05C5-4EE4-9BCD-3F4B5FAE7CE5}" name="Number of Consumption Days" dataDxfId="1018" dataCellStyle="Comma">
      <calculatedColumnFormula>INDEX(tbl_District_heating_Input[Consumption Days], MATCH(tbl_Calculation_District_Heating[[#This Row],[Location]], tbl_District_heating_Input[Location], 0))</calculatedColumnFormula>
    </tableColumn>
    <tableColumn id="6" xr3:uid="{5EEC39EE-9B34-4EC1-A562-F2EED02D99A1}" name="Consumption (kWh)" dataDxfId="1017" dataCellStyle="Comma">
      <calculatedColumnFormula>INDEX(tbl_District_heating_Input[Consumption (kWh)], MATCH(tbl_Calculation_District_Heating[[#This Row],[Location]], tbl_District_heating_Input[Location], 0))</calculatedColumnFormula>
    </tableColumn>
    <tableColumn id="15" xr3:uid="{F3483D4F-2847-4205-A44C-D2E72BFCD206}" name="kg CO2e LB" dataDxfId="1016" dataCellStyle="Comma">
      <calculatedColumnFormula array="1">IFERROR(tbl_Calculation_District_Heating[[#This Row],[Consumption (kWh)]:[Consumption (kWh)]]
*
INDEX(tbl_EF_District_Heating[kg CO2e], MATCH(tbl_Calculation_District_Heating[[#This Row],[Emission Factor ID LB]:[Emission Factor ID LB]], tbl_EF_District_Heating[[Emission Factor ID]:[Emission Factor ID]], 0)), "")</calculatedColumnFormula>
    </tableColumn>
    <tableColumn id="16" xr3:uid="{CB4747C4-2DAE-44A7-8CC7-F869A0F261C1}" name="CO2 kg CO2e LB" dataDxfId="1015" dataCellStyle="Comma">
      <calculatedColumnFormula array="1">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calculatedColumnFormula>
    </tableColumn>
    <tableColumn id="17" xr3:uid="{68663FD3-E2CC-456F-A922-E9AC5C469A3D}" name="CH4 kg CO2e LB`" dataDxfId="1014" dataCellStyle="Comma">
      <calculatedColumnFormula array="1">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calculatedColumnFormula>
    </tableColumn>
    <tableColumn id="18" xr3:uid="{7442A122-85F4-458C-9491-9A950F28D130}" name="N2O kg CO2e LB" dataDxfId="1013" dataCellStyle="Comma">
      <calculatedColumnFormula array="1">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calculatedColumnFormula>
    </tableColumn>
    <tableColumn id="19" xr3:uid="{B8BEAF49-3479-41F1-AC32-FE9442A7AFE6}" name="Unspecified kg CO2e LB" dataDxfId="1012" dataCellStyle="Comma">
      <calculatedColumnFormula array="1">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calculatedColumnFormula>
    </tableColumn>
    <tableColumn id="20" xr3:uid="{B4AF6B86-EB4F-4760-8128-3A2D18F0C2F9}" name="Emission Factor ID LB" dataDxfId="1011">
      <calculatedColumnFormula>IFERROR(INDEX(tbl_EF_District_Heating[Emission Factor ID], MATCH("Heat and Steam", tbl_EF_District_Heating[Activity], 0)), "")</calculatedColumnFormula>
    </tableColumn>
    <tableColumn id="21" xr3:uid="{4FD69918-F4D2-4BC4-AA80-43F9B2DD09E0}" name="kg CO2e 3.03." dataDxfId="1010" dataCellStyle="Comma">
      <calculatedColumnFormula array="1">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calculatedColumnFormula>
    </tableColumn>
    <tableColumn id="22" xr3:uid="{1C8101B0-6807-4B3C-9FCC-9EE49A1AB73F}" name="CO2 kg CO2e 3.03." dataDxfId="1009" dataCellStyle="Comma">
      <calculatedColumnFormula array="1">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calculatedColumnFormula>
    </tableColumn>
    <tableColumn id="23" xr3:uid="{EB17AA18-3786-4B58-A578-6D48028DF460}" name="CH4 kg CO2e 3.03." dataDxfId="1008" dataCellStyle="Comma">
      <calculatedColumnFormula array="1">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calculatedColumnFormula>
    </tableColumn>
    <tableColumn id="24" xr3:uid="{AFE368A4-E34B-419D-AC0F-079BE8A0614B}" name="N2O kg CO2e 3.03." dataDxfId="1007" dataCellStyle="Comma">
      <calculatedColumnFormula array="1">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calculatedColumnFormula>
    </tableColumn>
    <tableColumn id="25" xr3:uid="{9989B841-D614-4AA8-B695-D4CF6DAE28D6}" name="Unspecified kg CO2e 3.03." dataDxfId="1006" dataCellStyle="Comma">
      <calculatedColumnFormula>tbl_Calculation_District_Heating[[#This Row],[kg CO2e 3.03.]]</calculatedColumnFormula>
    </tableColumn>
    <tableColumn id="26" xr3:uid="{A871D366-52D3-4EA3-BCD1-D3D201B40660}" name="Emission Factor ID Upstream" dataDxfId="1005">
      <calculatedColumnFormula>INDEX(tbl_EF_District_Heating[Emission Factor ID], MATCH("WTT - Heat and Steam", tbl_EF_District_Heating[Activity], 0))</calculatedColumnFormula>
    </tableColumn>
    <tableColumn id="27" xr3:uid="{B4ACBDE2-4017-4556-85DB-C45EBC10EF9D}" name="Emission Factor ID T&amp;D" dataDxfId="1004">
      <calculatedColumnFormula>INDEX(tbl_EF_District_Heating[Emission Factor ID], MATCH("WTT - District Heat &amp; steam Distribution", tbl_EF_District_Heating[Activity], 0))</calculatedColumnFormula>
    </tableColumn>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1C553B1-A49A-41CA-B5AB-4CEBA1E6D36C}" name="tbl_3.1_and_3.2_Calc" displayName="tbl_3.1_and_3.2_Calc" ref="B8:F21" totalsRowShown="0" headerRowDxfId="1003" dataDxfId="1001" headerRowBorderDxfId="1002" tableBorderDxfId="1000" totalsRowBorderDxfId="999">
  <autoFilter ref="B8:F21" xr:uid="{41C553B1-A49A-41CA-B5AB-4CEBA1E6D36C}"/>
  <tableColumns count="5">
    <tableColumn id="2" xr3:uid="{511B3404-0590-4CAA-81E0-DDAB33EC2ED7}" name="Category" dataDxfId="998" dataCellStyle="Comma"/>
    <tableColumn id="3" xr3:uid="{9C55D8CA-7A87-464B-83FD-6A1E42C850B1}" name="Country" dataDxfId="997">
      <calculatedColumnFormula>INDEX(tbl_3.01._Input[Country], MATCH(tbl_3.1_and_3.2_Calc[[#This Row],[Category]], tbl_3.01._Input[Category], 0))</calculatedColumnFormula>
    </tableColumn>
    <tableColumn id="9" xr3:uid="{6F156465-2101-4064-989B-9858C37753DD}" name="Spend (EUR)" dataDxfId="996" dataCellStyle="Comma">
      <calculatedColumnFormula>INDEX(tbl_3.01._Input[Total Spend (EUR)], MATCH(tbl_3.1_and_3.2_Calc[[#This Row],[Category]], tbl_3.01._Input[Category], 0))</calculatedColumnFormula>
    </tableColumn>
    <tableColumn id="5" xr3:uid="{1A4437FC-426E-4254-A6A0-F5F527EBC706}" name="Emission Factor (kg CO2e/2025 EUR)" dataDxfId="995" dataCellStyle="Comma">
      <calculatedColumnFormula>IFERROR(AVERAGEIFS(
    INDEX(tbl_3.1._EFs[[Afghanistan]:[Median Value]], 0, MATCH(tbl_3.1_and_3.2_Calc[[#This Row],[Country]], tbl_3.1._EFs[[#Headers],[Afghanistan]:[Median Value]], 0)),
    tbl_3.1._EFs[EF Category], tbl_3.1_and_3.2_Calc[[#This Row],[Category]]
), "")</calculatedColumnFormula>
    </tableColumn>
    <tableColumn id="6" xr3:uid="{15A22CED-F04B-484D-94BC-714D036065AA}" name="Emissions (kg CO2e)" dataDxfId="994" dataCellStyle="Comma">
      <calculatedColumnFormula>IFERROR(tbl_3.1_and_3.2_Calc[[#This Row],[Spend (EUR)]] * tbl_3.1_and_3.2_Calc[[#This Row],[Emission Factor (kg CO2e/2025 EUR)]], "")</calculatedColumnFormula>
    </tableColumn>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C67A0888-914F-4CCF-8933-D775B3190290}" name="tbl_Upstream_Leased_Assets_Calc" displayName="tbl_Upstream_Leased_Assets_Calc" ref="B28:F32" totalsRowShown="0" headerRowDxfId="993" dataDxfId="991" headerRowBorderDxfId="992" tableBorderDxfId="990" totalsRowBorderDxfId="989" dataCellStyle="Comma">
  <autoFilter ref="B28:F32" xr:uid="{C67A0888-914F-4CCF-8933-D775B3190290}"/>
  <tableColumns count="5">
    <tableColumn id="1" xr3:uid="{AB82D1CD-A5C9-41A6-93C7-67F4C45DB961}" name="Item" dataDxfId="988" dataCellStyle="Comma"/>
    <tableColumn id="3" xr3:uid="{60405945-6756-4519-826B-8EAE27A6D31D}" name="Country" dataDxfId="987">
      <calculatedColumnFormula>'Scope 3.1, 3.2 &amp; 3.8'!D35</calculatedColumnFormula>
    </tableColumn>
    <tableColumn id="6" xr3:uid="{50AE7D32-DDC1-44DC-AFDF-AC53A6DD80F8}" name="Spend (EUR)" dataDxfId="986" dataCellStyle="Comma">
      <calculatedColumnFormula>SUMIFS(tbl_Upstream_Leased_Assets_Input[Total Spend (EUR)], tbl_Upstream_Leased_Assets_Input[Category], tbl_Upstream_Leased_Assets_Calc[[#This Row],[Item]])</calculatedColumnFormula>
    </tableColumn>
    <tableColumn id="7" xr3:uid="{D249EFEF-B6C0-4C84-8754-FE41798B9E92}" name="Emission Factor (kg CO2e/2025 EUR)" dataDxfId="985" dataCellStyle="Comma">
      <calculatedColumnFormula>IFERROR(AVERAGEIFS(
    INDEX(tbl_Upstream_Assets_EF[[Afghanistan]:[Median Value]], 0, MATCH(tbl_Upstream_Leased_Assets_Calc[[#This Row],[Country]], tbl_Upstream_Assets_EF[[#Headers],[Afghanistan]:[Median Value]], 0)),
    tbl_Upstream_Assets_EF[EF Category], tbl_Upstream_Leased_Assets_Calc[[#This Row],[Item]]
), "")</calculatedColumnFormula>
    </tableColumn>
    <tableColumn id="8" xr3:uid="{8274D638-5392-4212-8870-9C930996DC71}" name="Emissions (kg CO2e)" dataDxfId="984" dataCellStyle="Comma">
      <calculatedColumnFormula>IFERROR(tbl_Upstream_Leased_Assets_Calc[[#This Row],[Emission Factor (kg CO2e/2025 EUR)]]*tbl_Upstream_Leased_Assets_Calc[[#This Row],[Spend (EUR)]], "")</calculatedColumnFormula>
    </tableColumn>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6AB25A-D0EC-4296-A398-492C50C26DF7}" name="tbl_Upstream_Transport_Calc" displayName="tbl_Upstream_Transport_Calc" ref="B8:F12" totalsRowShown="0" headerRowDxfId="983" dataDxfId="981" headerRowBorderDxfId="982" tableBorderDxfId="980" totalsRowBorderDxfId="979">
  <autoFilter ref="B8:F12" xr:uid="{006AB25A-D0EC-4296-A398-492C50C26DF7}"/>
  <tableColumns count="5">
    <tableColumn id="1" xr3:uid="{6F84B3F4-6ABF-42BA-BE6C-2AE918F4F20A}" name="Category" dataDxfId="978"/>
    <tableColumn id="2" xr3:uid="{2A7D0A68-AA83-4460-B017-84CB48A6066E}" name="Country" dataDxfId="977">
      <calculatedColumnFormula>INDEX(tbl_Upstream_Transport_Input[Country], MATCH(tbl_Upstream_Transport_Calc[[#This Row],[Category]], tbl_Upstream_Transport_Input[Category], 0))</calculatedColumnFormula>
    </tableColumn>
    <tableColumn id="5" xr3:uid="{71917C34-E171-4F7B-90D8-5130DFBB72FE}" name="Adjusted Spend (EUR)" dataDxfId="976" dataCellStyle="Comma">
      <calculatedColumnFormula>SUMIFS(tbl_Upstream_Transport_Input[Spend (EUR)], tbl_Upstream_Transport_Input[Category], tbl_Upstream_Transport_Calc[[#This Row],[Category]])</calculatedColumnFormula>
    </tableColumn>
    <tableColumn id="6" xr3:uid="{794ADF9F-2C47-4884-B3C0-BE86F797E4C2}" name="Emission Factor (kg CO2e/EUR)" dataDxfId="975" dataCellStyle="Comma">
      <calculatedColumnFormula>IFERROR(AVERAGEIFS(
    INDEX(tbl_Upstream_Transport_EF[[Afghanistan]:[Median Value]], 0, MATCH(tbl_Upstream_Transport_Calc[[#This Row],[Country]], tbl_Upstream_Transport_EF[[#Headers],[Afghanistan]:[Median Value]], 0)),
    tbl_Upstream_Transport_EF[EF Category], tbl_Upstream_Transport_Calc[[#This Row],[Category]]
), "")</calculatedColumnFormula>
    </tableColumn>
    <tableColumn id="7" xr3:uid="{12AA0B81-B828-4A66-8323-684CC5D014C2}" name="Emissions (kg CO2e)" dataDxfId="974" dataCellStyle="Comma">
      <calculatedColumnFormula>IFERROR(tbl_Upstream_Transport_Calc[[#This Row],[Emission Factor (kg CO2e/EUR)]]*tbl_Upstream_Transport_Calc[[#This Row],[Adjusted Spend (EUR)]],0)</calculatedColumnFormula>
    </tableColumn>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365B6B5E-9F92-4075-BDF1-8D6D4269E226}" name="tbl_Waste_Calculation" displayName="tbl_Waste_Calculation" ref="B8:G20" totalsRowShown="0" headerRowDxfId="973" dataDxfId="971" headerRowBorderDxfId="972" tableBorderDxfId="970" totalsRowBorderDxfId="969">
  <autoFilter ref="B8:G20" xr:uid="{365B6B5E-9F92-4075-BDF1-8D6D4269E226}"/>
  <tableColumns count="6">
    <tableColumn id="1" xr3:uid="{E199FACA-BEE1-412D-9616-710F6336245A}" name="Waste Type" dataDxfId="968"/>
    <tableColumn id="2" xr3:uid="{F86EC844-EE81-49E9-8422-D1B6C9D2116B}" name="Consumption" dataDxfId="967" dataCellStyle="Comma">
      <calculatedColumnFormula>INDEX(tbl_Waste_Input[Consumption], MATCH(tbl_Waste_Calculation[[#This Row],[Waste Type]], tbl_Waste_Input[Waste Type], 0))</calculatedColumnFormula>
    </tableColumn>
    <tableColumn id="3" xr3:uid="{B39344BB-838A-4FB9-8D0D-FAC6E44D7752}" name="Unit" dataDxfId="966">
      <calculatedColumnFormula>INDEX(tbl_Waste_Input[Unit], MATCH(tbl_Waste_Calculation[[#This Row],[Waste Type]], tbl_Waste_Input[Waste Type], 0))</calculatedColumnFormula>
    </tableColumn>
    <tableColumn id="4" xr3:uid="{F63A60E5-EE16-4ADC-AE43-04B0AAEDB2A6}" name="Conversion to tonnes" dataDxfId="965" dataCellStyle="Comma">
      <calculatedColumnFormula>IF(tbl_Waste_Calculation[[#This Row],[Unit]] = "tonnes",
tbl_Waste_Calculation[[#This Row],[Consumption]],
tbl_Waste_Calculation[[#This Row],[Consumption]]
*
INDEX(tbl_Waste_EF[Conversion Factor],
   MATCH(tbl_Waste_Calculation[[#This Row],[Waste Type]], tbl_Waste_EF[Activity], 0)))</calculatedColumnFormula>
    </tableColumn>
    <tableColumn id="5" xr3:uid="{F1347A0B-D798-4FDF-B102-CB7B1A5A7D32}" name="Emission Factor (kg CO2e/tonne)" dataDxfId="964" dataCellStyle="Comma">
      <calculatedColumnFormula>SUMIFS(tbl_Waste_EF[kg CO2e], tbl_Waste_EF[Activity], tbl_Waste_Calculation[[#This Row],[Waste Type]])</calculatedColumnFormula>
    </tableColumn>
    <tableColumn id="6" xr3:uid="{D1FB2AF5-7224-45F3-9FA5-82AC7999E8DF}" name="Emissions (kg CO2e)" dataDxfId="963" dataCellStyle="Comma">
      <calculatedColumnFormula>tbl_Waste_Calculation[[#This Row],[Emission Factor (kg CO2e/tonne)]]*tbl_Waste_Calculation[[#This Row],[Conversion to tonnes]]</calculatedColumnFormula>
    </tableColumn>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BE6E500-227E-4669-A20D-9C47E15741A5}" name="tbl_Water_Calculation" displayName="tbl_Water_Calculation" ref="B27:H28" totalsRowShown="0" headerRowDxfId="962" dataDxfId="960" headerRowBorderDxfId="961" tableBorderDxfId="959" totalsRowBorderDxfId="958">
  <autoFilter ref="B27:H28" xr:uid="{1BE6E500-227E-4669-A20D-9C47E15741A5}"/>
  <tableColumns count="7">
    <tableColumn id="1" xr3:uid="{24E46C20-C16C-456A-AF10-46278F657AC3}" name="Water Consumption" dataDxfId="957"/>
    <tableColumn id="2" xr3:uid="{3F4F9718-D216-45D7-B318-5EBE224FC36C}" name="Consumption" dataDxfId="956" dataCellStyle="Comma">
      <calculatedColumnFormula>INDEX(tbl_Water_Input[Consumption], MATCH(tbl_Water_Calculation[[#This Row],[Water Consumption]], tbl_Water_Input[Water Consumption], 0))</calculatedColumnFormula>
    </tableColumn>
    <tableColumn id="3" xr3:uid="{33207CAA-C748-4BF8-904E-992FFD64034F}" name="Unit" dataDxfId="955" dataCellStyle="Comma">
      <calculatedColumnFormula>INDEX(tbl_Water_Input[Unit], MATCH(tbl_Water_Calculation[[#This Row],[Water Consumption]], tbl_Water_Input[Water Consumption], 0))</calculatedColumnFormula>
    </tableColumn>
    <tableColumn id="4" xr3:uid="{B4D3B381-B749-4FB1-9339-149D5D78A747}" name="Emission Factor Water Supply _x000a_(kg CO2e/unit)" dataDxfId="954" dataCellStyle="Comma">
      <calculatedColumnFormula array="1">INDEX(tbl_Water_EF[kg CO2e], MATCH(1,("Water Supply" = tbl_Water_EF[Type]) * (tbl_Water_Calculation[[#This Row],[Unit]] = tbl_Water_EF[Unit]), 0))</calculatedColumnFormula>
    </tableColumn>
    <tableColumn id="7" xr3:uid="{5E614231-2FB5-4280-9F40-4724F05D4366}" name="Emission Factor Water Treatment (kg CO2e/unit)" dataDxfId="953" dataCellStyle="Comma">
      <calculatedColumnFormula array="1">INDEX(tbl_Water_EF[kg CO2e], MATCH(1,("Water Treatment" = tbl_Water_EF[Type]) * (tbl_Water_Calculation[[#This Row],[Unit]] = tbl_Water_EF[Unit]), 0))</calculatedColumnFormula>
    </tableColumn>
    <tableColumn id="5" xr3:uid="{330B6476-4ABB-469C-8F17-B178C0A4C822}" name="Emissions Water Supply _x000a_(kg CO2e)" dataDxfId="952" dataCellStyle="Comma">
      <calculatedColumnFormula>tbl_Water_Calculation[[#This Row],[Emission Factor Water Supply 
(kg CO2e/unit)]]*tbl_Water_Calculation[[#This Row],[Consumption]]</calculatedColumnFormula>
    </tableColumn>
    <tableColumn id="6" xr3:uid="{3D4494F2-B8E5-4A1A-8067-2C7D8F0AE1F7}" name="Emissions Water Treatment _x000a_(kg CO2e)" dataDxfId="951" dataCellStyle="Comma">
      <calculatedColumnFormula>tbl_Water_Calculation[[#This Row],[Emission Factor Water Treatment (kg CO2e/unit)]]*tbl_Water_Calculation[[#This Row],[Consumption]]</calculatedColumnFormula>
    </tableColumn>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3FDDA6B-3E47-4E9A-99E0-43CD93032A3A}" name="tbl_Business_Travel_Activity_Calc" displayName="tbl_Business_Travel_Activity_Calc" ref="B8:K13" totalsRowShown="0" headerRowDxfId="950" dataDxfId="948" headerRowBorderDxfId="949" tableBorderDxfId="947" totalsRowBorderDxfId="946">
  <autoFilter ref="B8:K13" xr:uid="{93FDDA6B-3E47-4E9A-99E0-43CD93032A3A}"/>
  <tableColumns count="10">
    <tableColumn id="1" xr3:uid="{E348D197-C9FA-49D1-B041-9C2600DCD91D}" name="Travel Type" dataDxfId="945"/>
    <tableColumn id="3" xr3:uid="{8277291F-BB77-4D14-9E55-8C1214EF5D5E}" name="Attribute Value" dataDxfId="944">
      <calculatedColumnFormula>INDEX(#REF!, MATCH(tbl_Business_Travel_Activity_Calc[[#This Row],[Travel Type]], tbl_3.06._AB_Input[Travel Type], 0))</calculatedColumnFormula>
    </tableColumn>
    <tableColumn id="4" xr3:uid="{9B37A601-025B-4681-BC5F-FC38BCD3D5C3}" name="Distance Travelled" dataDxfId="943" dataCellStyle="Comma">
      <calculatedColumnFormula>INDEX(tbl_3.06._AB_Input[Distance Travelled], MATCH(tbl_Business_Travel_Activity_Calc[[#This Row],[Travel Type]], tbl_3.06._AB_Input[Travel Type], 0))</calculatedColumnFormula>
    </tableColumn>
    <tableColumn id="11" xr3:uid="{26992E14-318A-4FF2-9178-11DF0F3AE9A7}" name="Flight Category" dataDxfId="942" dataCellStyle="Comma"/>
    <tableColumn id="5" xr3:uid="{3DC026F3-D4C9-469F-9B5E-E33B00A04B9F}" name="Unit" dataDxfId="941">
      <calculatedColumnFormula>INDEX(tbl_3.06._AB_Input[Unit], MATCH(tbl_Business_Travel_Activity_Calc[[#This Row],[Travel Type]], tbl_3.06._AB_Input[Travel Type], 0))</calculatedColumnFormula>
    </tableColumn>
    <tableColumn id="6" xr3:uid="{935919B7-243C-400D-81DC-809E2C1AC9B3}" name="Emissions 3.06. (kg CO2e)" dataDxfId="940" dataCellStyle="Comma">
      <calculatedColumnFormula array="1">IFERROR(tbl_Business_Travel_Activity_Calc[[#This Row],[Distance Travelled]:[Distance Travelled]]
*
SUMIFS(btl_Business_Travel_Activity_EF[kg CO2e],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calculatedColumnFormula>
    </tableColumn>
    <tableColumn id="7" xr3:uid="{4064ED44-1A67-49A1-82DC-08785F484706}" name="Emissions CO2 3.06. (kg CO2e)" dataDxfId="939">
      <calculatedColumnFormula array="1">IFERROR(tbl_Business_Travel_Activity_Calc[[#This Row],[Distance Travelled]:[Distance Travelled]]
*
SUMIFS(btl_Business_Travel_Activity_EF[kg CO2e of CO2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calculatedColumnFormula>
    </tableColumn>
    <tableColumn id="8" xr3:uid="{44414750-C239-42CA-B0D5-5A146672D6C9}" name="Emissions CH4 3.06. (kg CO2e)" dataDxfId="938">
      <calculatedColumnFormula array="1">IFERROR(tbl_Business_Travel_Activity_Calc[[#This Row],[Distance Travelled]:[Distance Travelled]]
*
SUMIFS(btl_Business_Travel_Activity_EF[kg CO2e of CH4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calculatedColumnFormula>
    </tableColumn>
    <tableColumn id="9" xr3:uid="{5AF49F21-8277-40DC-8BEB-487FC1D62149}" name="Emissions N2O 3.06. (kg CO2e)" dataDxfId="937">
      <calculatedColumnFormula array="1">IFERROR(tbl_Business_Travel_Activity_Calc[[#This Row],[Distance Travelled]:[Distance Travelled]]
*
SUMIFS(btl_Business_Travel_Activity_EF[kg CO2e of N2O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calculatedColumnFormula>
    </tableColumn>
    <tableColumn id="10" xr3:uid="{2517AA60-CEF1-4AE2-A6EE-64EEFAE5E01B}" name="Emissions WTT (kg CO2e)" dataDxfId="936">
      <calculatedColumnFormula array="1">IFERROR(tbl_Business_Travel_Activity_Calc[[#This Row],[Distance Travelled]:[Distance Travelled]]
*
SUMIFS(btl_Business_Travel_Activity_EF[kg CO2e 3.03 ],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calculatedColumnFormula>
    </tableColumn>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D0A3C4ED-EBC9-4AD9-A772-2B9751201273}" name="tbl_Hotel_Calc" displayName="tbl_Hotel_Calc" ref="B15:G25" totalsRowShown="0" headerRowDxfId="935" dataDxfId="933" headerRowBorderDxfId="934" tableBorderDxfId="932" totalsRowBorderDxfId="931">
  <autoFilter ref="B15:G25" xr:uid="{D0A3C4ED-EBC9-4AD9-A772-2B9751201273}"/>
  <tableColumns count="6">
    <tableColumn id="1" xr3:uid="{7C98A97E-06E5-4C00-B863-D81CC9FE351D}" name="Hotel Stay" dataDxfId="930"/>
    <tableColumn id="2" xr3:uid="{4B6B9684-FFB9-4256-B15A-80DEAF34BC70}" name="Nights Stayed" dataDxfId="929" dataCellStyle="Comma">
      <calculatedColumnFormula>INDEX(tbl_Hotels_AB_Input[Nights Stayed], MATCH(tbl_Hotel_Calc[[#This Row],[Hotel Stay]], tbl_Hotels_AB_Input[Hotel Stay], 0))</calculatedColumnFormula>
    </tableColumn>
    <tableColumn id="3" xr3:uid="{7E9A5336-C479-42B8-83BE-78F371147A23}" name="Unit" dataDxfId="928"/>
    <tableColumn id="6" xr3:uid="{69497E96-7C60-4196-B334-E4C0BC262C83}" name="Country" dataDxfId="927">
      <calculatedColumnFormula>INDEX(tbl_Hotels_AB_Input[Country], MATCH(tbl_Hotel_Calc[[#This Row],[Hotel Stay]], tbl_Hotels_AB_Input[Hotel Stay], 0))</calculatedColumnFormula>
    </tableColumn>
    <tableColumn id="5" xr3:uid="{FDDCD12C-6B74-4CA3-9C07-D587908AD0EF}" name="Emission Factor (kg CO2e/night)" dataDxfId="926" dataCellStyle="Comma">
      <calculatedColumnFormula>SUMIFS(tbl_Business_Travel_Hotels[kg CO2e], tbl_Business_Travel_Hotels[Country], tbl_Hotel_Calc[[#This Row],[Country]])</calculatedColumnFormula>
    </tableColumn>
    <tableColumn id="4" xr3:uid="{2121411D-4573-4AA9-8E13-E18249A4F732}" name="Emissions 3.06. (kg CO2e)" dataDxfId="925" dataCellStyle="Comma">
      <calculatedColumnFormula>tbl_Hotel_Calc[[#This Row],[Emission Factor (kg CO2e/night)]]*tbl_Hotel_Calc[[#This Row],[Nights Stayed]]</calculatedColumnFormula>
    </tableColumn>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73C04DF-7A5F-492E-A9C2-439511D6F94D}" name="tbl_Business_Travel_Spend_Calc" displayName="tbl_Business_Travel_Spend_Calc" ref="B32:F38" totalsRowShown="0" headerRowDxfId="924" dataDxfId="922" headerRowBorderDxfId="923" tableBorderDxfId="921" totalsRowBorderDxfId="920">
  <autoFilter ref="B32:F38" xr:uid="{A73C04DF-7A5F-492E-A9C2-439511D6F94D}"/>
  <tableColumns count="5">
    <tableColumn id="1" xr3:uid="{9A0E8561-5589-49F6-934C-18A9E9F6495C}" name="Travel Type" dataDxfId="919"/>
    <tableColumn id="4" xr3:uid="{BAA1CEDC-5102-45D8-95A6-EDF3986C0A93}" name="Country" dataDxfId="918">
      <calculatedColumnFormula>INDEX(tbl_3.06._SB_Inputs[Country], MATCH(tbl_Business_Travel_Spend_Calc[[#This Row],[Travel Type]], tbl_3.06._SB_Inputs[Travel Type], 0))</calculatedColumnFormula>
    </tableColumn>
    <tableColumn id="5" xr3:uid="{A480B26F-5B40-4BC8-8412-653192883017}" name="Adjusted Spend" dataDxfId="917" dataCellStyle="Comma">
      <calculatedColumnFormula>SUMIFS(tbl_3.06._SB_Inputs[Spend (EUR)], tbl_3.06._SB_Inputs[Travel Type], tbl_Business_Travel_Spend_Calc[[#This Row],[Travel Type]])</calculatedColumnFormula>
    </tableColumn>
    <tableColumn id="6" xr3:uid="{D7138F82-1B9F-4C65-92E8-61A357D8D632}" name="Emission Factor_x000a_(kg CO2e/2025 EUR)" dataDxfId="916" dataCellStyle="Comma">
      <calculatedColumnFormula>IFERROR(AVERAGEIFS(
    INDEX(tbl_Business_Travel_Spend[[Afghanistan]:[Median Value]], 0, MATCH(tbl_Business_Travel_Spend_Calc[[#This Row],[Country]], tbl_Business_Travel_Spend[[#Headers],[Afghanistan]:[Median Value]], 0)),
    tbl_Business_Travel_Spend[Travel Category], tbl_Business_Travel_Spend_Calc[[#This Row],[Travel Type]]
), "")</calculatedColumnFormula>
    </tableColumn>
    <tableColumn id="7" xr3:uid="{C9E2EADE-ED27-46AD-B912-31DFAA606233}" name="Emissions (kg CO2e)" dataDxfId="915" dataCellStyle="Comma">
      <calculatedColumnFormula>IFERROR(tbl_Business_Travel_Spend_Calc[[#This Row],[Emission Factor
(kg CO2e/2025 EUR)]]*tbl_Business_Travel_Spend_Calc[[#This Row],[Adjusted Spend]],0)</calculatedColumnFormula>
    </tableColumn>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5F2BDAD8-B7CB-4225-A742-243E786D7D96}" name="tbl_Commuting_Calc" displayName="tbl_Commuting_Calc" ref="B8:AI18" totalsRowShown="0" headerRowDxfId="914" dataDxfId="912" headerRowBorderDxfId="913" tableBorderDxfId="911" totalsRowBorderDxfId="910">
  <autoFilter ref="B8:AI18" xr:uid="{5F2BDAD8-B7CB-4225-A742-243E786D7D96}"/>
  <tableColumns count="34">
    <tableColumn id="1" xr3:uid="{3DE6CDD6-7597-4438-A348-F9C7BD671D9F}" name="Location" dataDxfId="909">
      <calculatedColumnFormula>'Scope 3.7'!B11</calculatedColumnFormula>
    </tableColumn>
    <tableColumn id="2" xr3:uid="{0E07B154-4B18-465E-942F-B7A2158DE7CA}" name="Employees (FTE Count)" dataDxfId="908" dataCellStyle="Comma">
      <calculatedColumnFormula>INDEX(tbl_Employee_Commuting_Inputs[Employees (FTE Count)], MATCH(tbl_Commuting_Calc[[#This Row],[Location]], tbl_Employee_Commuting_Inputs[Location], 0))</calculatedColumnFormula>
    </tableColumn>
    <tableColumn id="3" xr3:uid="{05A03E4C-9930-423D-89B1-75C6D105CD68}" name="Car %" dataDxfId="907" dataCellStyle="Percent">
      <calculatedColumnFormula>INDEX(tbl_Employee_Commuting_Inputs[Car %], MATCH(tbl_Commuting_Calc[[#This Row],[Location]], tbl_Employee_Commuting_Inputs[Location], 0))</calculatedColumnFormula>
    </tableColumn>
    <tableColumn id="4" xr3:uid="{CA97C7CA-CDA0-4BA6-A50E-7B24DF5EAD53}" name="Rail %" dataDxfId="906" dataCellStyle="Percent">
      <calculatedColumnFormula>INDEX(tbl_Employee_Commuting_Inputs[Rail %], MATCH(tbl_Commuting_Calc[[#This Row],[Location]], tbl_Employee_Commuting_Inputs[Location], 0))</calculatedColumnFormula>
    </tableColumn>
    <tableColumn id="5" xr3:uid="{0D3132E5-F101-4BBD-B034-855D560567DD}" name="Bus %" dataDxfId="905" dataCellStyle="Percent">
      <calculatedColumnFormula>INDEX(tbl_Employee_Commuting_Inputs[Bus %], MATCH(tbl_Commuting_Calc[[#This Row],[Location]], tbl_Employee_Commuting_Inputs[Location], 0))</calculatedColumnFormula>
    </tableColumn>
    <tableColumn id="6" xr3:uid="{5853DF0B-9C67-4E2C-BC4A-AF7ADF654CBF}" name="Self-Propelled %" dataDxfId="904" dataCellStyle="Percent">
      <calculatedColumnFormula>INDEX(tbl_Employee_Commuting_Inputs[Self-Propelled %], MATCH(tbl_Commuting_Calc[[#This Row],[Location]], tbl_Employee_Commuting_Inputs[Location], 0))</calculatedColumnFormula>
    </tableColumn>
    <tableColumn id="7" xr3:uid="{55F5A1EA-5FCD-47AA-B218-0E84D6C999A5}" name="Check (100%)" dataDxfId="903" dataCellStyle="Percent">
      <calculatedColumnFormula>SUM(tbl_Commuting_Calc[[#This Row],[Car %]:[Self-Propelled %]])</calculatedColumnFormula>
    </tableColumn>
    <tableColumn id="8" xr3:uid="{375862EF-4BC3-4E67-A7E2-C4794ED6622C}" name="Avg. Distance One-Way" dataDxfId="902" dataCellStyle="Comma">
      <calculatedColumnFormula>INDEX(tbl_Employee_Commuting_Inputs[Avg. Distance One-Way], MATCH(tbl_Commuting_Calc[[#This Row],[Location]], tbl_Employee_Commuting_Inputs[Location], 0))</calculatedColumnFormula>
    </tableColumn>
    <tableColumn id="9" xr3:uid="{92365F52-F322-490F-A2DF-C64C74DD1971}" name="Total Distance (Two-Way)" dataDxfId="901" dataCellStyle="Comma">
      <calculatedColumnFormula>(tbl_Commuting_Calc[[#This Row],[Avg. Distance One-Way]]*tbl_Commuting_Calc[[#This Row],[Employees (FTE Count)]])*2</calculatedColumnFormula>
    </tableColumn>
    <tableColumn id="18" xr3:uid="{B5B93138-63E7-49F6-980D-795E972B42F8}" name="Total Yearly Distance" dataDxfId="900" dataCellStyle="Comma">
      <calculatedColumnFormula array="1">tbl_Commuting_Calc[[#This Row],[Total Distance (Two-Way)]]*const_Working_days_annum</calculatedColumnFormula>
    </tableColumn>
    <tableColumn id="10" xr3:uid="{A7D8AD95-BD10-4982-8029-1258DFC89D8F}" name="Total Distance Car (km)" dataDxfId="899" dataCellStyle="Percent">
      <calculatedColumnFormula>tbl_Commuting_Calc[[#This Row],[Total Yearly Distance]]*tbl_Commuting_Calc[[#This Row],[Car %]]</calculatedColumnFormula>
    </tableColumn>
    <tableColumn id="11" xr3:uid="{7C02C8F9-E133-47CA-B7A4-A1B313522161}" name="Total Distance Rail (km)" dataDxfId="898" dataCellStyle="Percent">
      <calculatedColumnFormula>tbl_Commuting_Calc[[#This Row],[Total Yearly Distance]]*tbl_Commuting_Calc[[#This Row],[Rail %]]</calculatedColumnFormula>
    </tableColumn>
    <tableColumn id="12" xr3:uid="{51EB4D47-4646-4340-8B68-86188AAC3DF2}" name="Total Distance Bus (km)" dataDxfId="897" dataCellStyle="Percent">
      <calculatedColumnFormula>tbl_Commuting_Calc[[#This Row],[Total Yearly Distance]]*tbl_Commuting_Calc[[#This Row],[Bus %]]</calculatedColumnFormula>
    </tableColumn>
    <tableColumn id="13" xr3:uid="{E48CD757-B412-4FBF-9773-3F8EA8CE17B8}" name="Total Distance Self-Propelled (km)" dataDxfId="896" dataCellStyle="Percent">
      <calculatedColumnFormula>tbl_Commuting_Calc[[#This Row],[Total Yearly Distance]]*tbl_Commuting_Calc[[#This Row],[Self-Propelled %]]</calculatedColumnFormula>
    </tableColumn>
    <tableColumn id="14" xr3:uid="{F3DBC257-ED32-4C68-9855-5944AAB9758B}" name="Emissions Car (kg CO2e)" dataDxfId="895" dataCellStyle="Comma">
      <calculatedColumnFormula array="1">tbl_Commuting_Calc[[#This Row],[Total Distance Car (km)]:[Total Distance Car (km)]] * INDEX(tbl_Commuting_EFs[kg CO2e including WTT], MATCH("Car", tbl_Commuting_EFs[[Transport Mode]:[Transport Mode]], 0))</calculatedColumnFormula>
    </tableColumn>
    <tableColumn id="24" xr3:uid="{0536859F-1DAE-4E93-BB9F-B1A0E5115B59}" name="Emissions CO2 Car (kg CO2e)" dataDxfId="894" dataCellStyle="Comma">
      <calculatedColumnFormula array="1">tbl_Commuting_Calc[[#This Row],[Total Distance Car (km)]:[Total Distance Car (km)]] * INDEX(tbl_Commuting_EFs[kg CO2e of CO2 per unit], MATCH("Car", tbl_Commuting_EFs[[Transport Mode]:[Transport Mode]], 0))</calculatedColumnFormula>
    </tableColumn>
    <tableColumn id="23" xr3:uid="{4B4FAD35-3209-4619-B242-855644455456}" name="Emissions CH4 Car (kg CO2e)" dataDxfId="893" dataCellStyle="Comma">
      <calculatedColumnFormula array="1">tbl_Commuting_Calc[[#This Row],[Total Distance Car (km)]:[Total Distance Car (km)]] * INDEX(tbl_Commuting_EFs[kg CO2e of CH4 per unit], MATCH("Car", tbl_Commuting_EFs[[Transport Mode]:[Transport Mode]], 0))</calculatedColumnFormula>
    </tableColumn>
    <tableColumn id="22" xr3:uid="{CB662D2A-1881-4CA7-B0E7-3B3ECC87EA9D}" name="Emissions N2O Car (kg CO2e)" dataDxfId="892" dataCellStyle="Comma">
      <calculatedColumnFormula array="1">tbl_Commuting_Calc[[#This Row],[Total Distance Car (km)]:[Total Distance Car (km)]] * INDEX(tbl_Commuting_EFs[kg CO2e of N2O per unit], MATCH("Car", tbl_Commuting_EFs[[Transport Mode]:[Transport Mode]], 0))</calculatedColumnFormula>
    </tableColumn>
    <tableColumn id="15" xr3:uid="{56328315-F639-4295-9704-F4BECBA45F28}" name="Emissions Rail (kg CO2e)" dataDxfId="891" dataCellStyle="Comma">
      <calculatedColumnFormula array="1">tbl_Commuting_Calc[[#This Row],[Total Distance Rail (km)]:[Total Distance Rail (km)]] * INDEX(tbl_Commuting_EFs[kg CO2e including WTT], MATCH("Rail", tbl_Commuting_EFs[[Transport Mode]:[Transport Mode]], 0))</calculatedColumnFormula>
    </tableColumn>
    <tableColumn id="27" xr3:uid="{D9EDF710-9E4A-4C37-900A-AFEAD978F58A}" name="Emissions CO2 Rail (kg CO2e)" dataDxfId="890" dataCellStyle="Comma">
      <calculatedColumnFormula array="1">tbl_Commuting_Calc[[#This Row],[Total Distance Rail (km)]:[Total Distance Rail (km)]] * INDEX(tbl_Commuting_EFs[kg CO2e of CO2 per unit], MATCH("Rail", tbl_Commuting_EFs[[Transport Mode]:[Transport Mode]], 0))</calculatedColumnFormula>
    </tableColumn>
    <tableColumn id="26" xr3:uid="{C914841B-1076-4C35-97DF-6ECA14C04C66}" name="Emissions CH4 Rail (kg CO2e)" dataDxfId="889" dataCellStyle="Comma">
      <calculatedColumnFormula array="1">tbl_Commuting_Calc[[#This Row],[Total Distance Rail (km)]:[Total Distance Rail (km)]] * INDEX(tbl_Commuting_EFs[kg CO2e of CH4 per unit], MATCH("Rail", tbl_Commuting_EFs[[Transport Mode]:[Transport Mode]], 0))</calculatedColumnFormula>
    </tableColumn>
    <tableColumn id="25" xr3:uid="{787359FA-D523-4BEC-90F5-B7491D6F7224}" name="Emissions N2O Rail (kg CO2e)" dataDxfId="888" dataCellStyle="Comma">
      <calculatedColumnFormula array="1">tbl_Commuting_Calc[[#This Row],[Total Distance Rail (km)]:[Total Distance Rail (km)]] * INDEX(tbl_Commuting_EFs[kg CO2e of N2O per unit], MATCH("Rail", tbl_Commuting_EFs[[Transport Mode]:[Transport Mode]], 0))</calculatedColumnFormula>
    </tableColumn>
    <tableColumn id="16" xr3:uid="{B532348F-849C-4E8E-A012-A73B4F866900}" name="Emissions Bus (kg CO2e)" dataDxfId="887" dataCellStyle="Comma">
      <calculatedColumnFormula array="1">tbl_Commuting_Calc[[#This Row],[Total Distance Bus (km)]:[Total Distance Bus (km)]] * INDEX(tbl_Commuting_EFs[kg CO2e including WTT], MATCH("Bus", tbl_Commuting_EFs[[Transport Mode]:[Transport Mode]], 0))</calculatedColumnFormula>
    </tableColumn>
    <tableColumn id="30" xr3:uid="{CD74D357-8779-49C7-9C77-49055EE91ACA}" name="Emissions CO2 Bus (kg CO2e)" dataDxfId="886" dataCellStyle="Comma">
      <calculatedColumnFormula array="1">tbl_Commuting_Calc[[#This Row],[Total Distance Bus (km)]:[Total Distance Bus (km)]] * INDEX(tbl_Commuting_EFs[kg CO2e of CO2 per unit], MATCH("Bus", tbl_Commuting_EFs[[Transport Mode]:[Transport Mode]], 0))</calculatedColumnFormula>
    </tableColumn>
    <tableColumn id="29" xr3:uid="{F4136F2C-2E6C-4E55-A921-F2AA6A1D23FC}" name="Emissions CH4 Bus (kg CO2e)" dataDxfId="885" dataCellStyle="Comma">
      <calculatedColumnFormula array="1">tbl_Commuting_Calc[[#This Row],[Total Distance Bus (km)]:[Total Distance Bus (km)]] * INDEX(tbl_Commuting_EFs[kg CO2e of CH4 per unit], MATCH("Bus", tbl_Commuting_EFs[[Transport Mode]:[Transport Mode]], 0))</calculatedColumnFormula>
    </tableColumn>
    <tableColumn id="28" xr3:uid="{F9819636-1F54-478B-AE0B-6B485978469A}" name="Emissions N2O Bus (kg CO2e)" dataDxfId="884" dataCellStyle="Comma">
      <calculatedColumnFormula array="1">tbl_Commuting_Calc[[#This Row],[Total Distance Bus (km)]:[Total Distance Bus (km)]] * INDEX(tbl_Commuting_EFs[kg CO2e of N2O per unit], MATCH("Bus", tbl_Commuting_EFs[[Transport Mode]:[Transport Mode]], 0))</calculatedColumnFormula>
    </tableColumn>
    <tableColumn id="17" xr3:uid="{316844CB-1D3A-420F-808A-C2CF799D3D24}" name="Emissions Self-Propelled (kg CO2e)" dataDxfId="883" dataCellStyle="Percent">
      <calculatedColumnFormula array="1">tbl_Commuting_Calc[[#This Row],[Total Distance Car (km)]:[Total Distance Car (km)]] * INDEX(tbl_Commuting_EFs[kg CO2e including WTT], MATCH("Self-Propelled", tbl_Commuting_EFs[[Transport Mode]:[Transport Mode]], 0))</calculatedColumnFormula>
    </tableColumn>
    <tableColumn id="31" xr3:uid="{65A9F784-35B6-4A9A-96F0-D18403E424B1}" name="Emissions CO2 Self-Propelled (kg CO2e)" dataDxfId="882" dataCellStyle="Percent">
      <calculatedColumnFormula array="1">tbl_Commuting_Calc[[#This Row],[Total Distance Car (km)]:[Total Distance Car (km)]] * INDEX(tbl_Commuting_EFs[kg CO2e of CO2 per unit], MATCH("Self-Propelled", tbl_Commuting_EFs[[Transport Mode]:[Transport Mode]], 0))</calculatedColumnFormula>
    </tableColumn>
    <tableColumn id="32" xr3:uid="{53467DA7-5B25-44C5-819C-46F0C0E43F01}" name="Emissions CH4 Self-Propelled (kg CO2e)" dataDxfId="881" dataCellStyle="Percent">
      <calculatedColumnFormula array="1">tbl_Commuting_Calc[[#This Row],[Total Distance Car (km)]:[Total Distance Car (km)]] * INDEX(tbl_Commuting_EFs[kg CO2e of CH4 per unit], MATCH("Self-Propelled", tbl_Commuting_EFs[[Transport Mode]:[Transport Mode]], 0))</calculatedColumnFormula>
    </tableColumn>
    <tableColumn id="33" xr3:uid="{B4A5E878-CF16-4ED9-9907-12ED486BD45D}" name="Emissions N2O Self-Propelled (kg CO2e)" dataDxfId="880" dataCellStyle="Percent">
      <calculatedColumnFormula array="1">tbl_Commuting_Calc[[#This Row],[Total Distance Car (km)]:[Total Distance Car (km)]] * INDEX(tbl_Commuting_EFs[kg CO2e of N2O per unit], MATCH("Self-Propelled", tbl_Commuting_EFs[[Transport Mode]:[Transport Mode]], 0))</calculatedColumnFormula>
    </tableColumn>
    <tableColumn id="34" xr3:uid="{4A208FB3-6151-46C0-AA4C-083F0A4F06E7}" name="Total Emissions (kg CO2e)" dataDxfId="879" dataCellStyle="Comma">
      <calculatedColumnFormula>SUM(tbl_Commuting_Calc[[#This Row],[Emissions Self-Propelled (kg CO2e)]], tbl_Commuting_Calc[[#This Row],[Emissions Bus (kg CO2e)]], tbl_Commuting_Calc[[#This Row],[Emissions Rail (kg CO2e)]], tbl_Commuting_Calc[[#This Row],[Emissions Car (kg CO2e)]])</calculatedColumnFormula>
    </tableColumn>
    <tableColumn id="35" xr3:uid="{8467D319-6F8F-425E-959B-5E996BEBEA5E}" name="Total Emissions CO2 (kg CO2e" dataDxfId="878" dataCellStyle="Comma">
      <calculatedColumnFormula>SUM(tbl_Commuting_Calc[[#This Row],[Emissions CO2 Self-Propelled (kg CO2e)]], tbl_Commuting_Calc[[#This Row],[Emissions CO2 Bus (kg CO2e)]], tbl_Commuting_Calc[[#This Row],[Emissions CO2 Rail (kg CO2e)]], tbl_Commuting_Calc[[#This Row],[Emissions CO2 Car (kg CO2e)]])</calculatedColumnFormula>
    </tableColumn>
    <tableColumn id="36" xr3:uid="{0AB746FF-9CFE-45AF-A350-9021F7479379}" name="Total Emissions CH4 (kg CO2e)" dataDxfId="877" dataCellStyle="Comma">
      <calculatedColumnFormula>SUM(tbl_Commuting_Calc[[#This Row],[Emissions CH4 Self-Propelled (kg CO2e)]], tbl_Commuting_Calc[[#This Row],[Emissions CH4 Bus (kg CO2e)]], tbl_Commuting_Calc[[#This Row],[Emissions CH4 Rail (kg CO2e)]], tbl_Commuting_Calc[[#This Row],[Emissions CH4 Car (kg CO2e)]])</calculatedColumnFormula>
    </tableColumn>
    <tableColumn id="37" xr3:uid="{D1FDE7B1-7A6D-49C3-B9CB-FCB3CE160CCE}" name="Total Emissions N2O (kg CO2e)" dataDxfId="876" dataCellStyle="Comma">
      <calculatedColumnFormula>SUM(tbl_Commuting_Calc[[#This Row],[Emissions N2O Self-Propelled (kg CO2e)]], tbl_Commuting_Calc[[#This Row],[Emissions N2O Bus (kg CO2e)]], tbl_Commuting_Calc[[#This Row],[Emissions N2O Rail (kg CO2e)]], tbl_Commuting_Calc[[#This Row],[Emissions N2O Car (kg CO2e)]])</calculatedColumnFormula>
    </tableColumn>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D88671EF-F928-4675-A5FE-94E7D7AB7C0F}" name="tbl_Teleworking_Calc" displayName="tbl_Teleworking_Calc" ref="B25:H35" totalsRowShown="0" headerRowBorderDxfId="875" tableBorderDxfId="874" totalsRowBorderDxfId="873">
  <autoFilter ref="B25:H35" xr:uid="{D88671EF-F928-4675-A5FE-94E7D7AB7C0F}"/>
  <tableColumns count="7">
    <tableColumn id="1" xr3:uid="{5D7C3188-4DA2-4ADC-A1E6-7DC7E13F7216}" name="Location" dataDxfId="872">
      <calculatedColumnFormula>'Scope 3.7'!B28</calculatedColumnFormula>
    </tableColumn>
    <tableColumn id="2" xr3:uid="{AD8660CB-098E-4C64-B4F2-587E37D25F40}" name="Employees (FTE Count)" dataDxfId="871" dataCellStyle="Comma">
      <calculatedColumnFormula>'Scope 3.7'!C28</calculatedColumnFormula>
    </tableColumn>
    <tableColumn id="3" xr3:uid="{D324998C-1FE9-4CE1-AF47-82D6065F59FF}" name="Average Teleworking Days per Week" dataDxfId="870" dataCellStyle="Comma">
      <calculatedColumnFormula>'Scope 3.7'!D28</calculatedColumnFormula>
    </tableColumn>
    <tableColumn id="4" xr3:uid="{8DEF949C-22FB-4B99-99B2-1A235F042D47}" name="Average Teleworking Hours per Week" dataDxfId="869" dataCellStyle="Comma">
      <calculatedColumnFormula>tbl_Teleworking_Calc[[#This Row],[Average Teleworking Days per Week]]*8</calculatedColumnFormula>
    </tableColumn>
    <tableColumn id="5" xr3:uid="{E1F576CC-FAEB-463E-8B85-2870BA87CBC8}" name="Average Teleworking Hours per Year" dataDxfId="868" dataCellStyle="Comma">
      <calculatedColumnFormula>tbl_Teleworking_Calc[[#This Row],[Average Teleworking Hours per Week]]*const_Working_weeks_annum</calculatedColumnFormula>
    </tableColumn>
    <tableColumn id="6" xr3:uid="{F5D7D3CD-3DE0-4E31-8A35-D6917335F1AC}" name="Emission Factor (kg CO2e/Hour)" dataDxfId="867" dataCellStyle="Comma">
      <calculatedColumnFormula array="1">tbl_Teleworking_EFs[kg CO2e]</calculatedColumnFormula>
    </tableColumn>
    <tableColumn id="7" xr3:uid="{3D76ABF7-92EC-4D29-9DFD-F65214203864}" name="Emissions (kg CO2e)" dataDxfId="866" dataCellStyle="Comma">
      <calculatedColumnFormula>tbl_Teleworking_Calc[[#This Row],[Emission Factor (kg CO2e/Hour)]]*tbl_Teleworking_Calc[[#This Row],[Average Teleworking Hours per Year]]</calculatedColumnFormula>
    </tableColumn>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DB0BF00-A232-44DA-AA26-425298E631E3}" name="tbl_Currency_Exchanges" displayName="tbl_Currency_Exchanges" ref="B4:D48" totalsRowShown="0" headerRowDxfId="865" dataDxfId="863" headerRowBorderDxfId="864" tableBorderDxfId="862" totalsRowBorderDxfId="861">
  <autoFilter ref="B4:D48" xr:uid="{BDB0BF00-A232-44DA-AA26-425298E631E3}"/>
  <tableColumns count="3">
    <tableColumn id="1" xr3:uid="{34FA9405-583F-4C83-8DC5-E68090694C00}" name="Currency" dataDxfId="860"/>
    <tableColumn id="2" xr3:uid="{4A07C878-D295-46CA-8D14-817316E769B3}" name="Exchange Rate to USD" dataDxfId="859" dataCellStyle="Comma"/>
    <tableColumn id="3" xr3:uid="{64428298-4B60-4EB0-8024-FC1D8097B4F6}" name="Source" dataDxfId="858" dataCellStyle="Note"/>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BFD0DBB-D51C-40F0-B407-218872A5018D}" name="tbl_Working_Days_Constants" displayName="tbl_Working_Days_Constants" ref="B50:D52" totalsRowShown="0" headerRowDxfId="857" headerRowBorderDxfId="856" tableBorderDxfId="855">
  <autoFilter ref="B50:D52" xr:uid="{DBFD0DBB-D51C-40F0-B407-218872A5018D}"/>
  <tableColumns count="3">
    <tableColumn id="1" xr3:uid="{61A70C60-4680-49E0-BB41-D7F15EAA4B13}" name="Constant Name" dataDxfId="854"/>
    <tableColumn id="2" xr3:uid="{32BCC74E-D4EF-49A4-81EE-4A757EC255E1}" name="Constant" dataDxfId="853" dataCellStyle="Comma"/>
    <tableColumn id="3" xr3:uid="{49306CF5-A439-4139-A41F-C003E94D716B}" name="Description" dataDxfId="852" dataCellStyle="Note"/>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A7C7C95-2F94-4111-9552-D62BBD1CB4B3}" name="tbl_1.01._Emission_Factors" displayName="tbl_1.01._Emission_Factors" ref="B6:L52" totalsRowShown="0" headerRowDxfId="851" dataDxfId="849" headerRowBorderDxfId="850" tableBorderDxfId="848" totalsRowBorderDxfId="847">
  <autoFilter ref="B6:L52" xr:uid="{4A7C7C95-2F94-4111-9552-D62BBD1CB4B3}"/>
  <tableColumns count="11">
    <tableColumn id="11" xr3:uid="{CD5F1090-8D63-44F5-B391-8E2EB3D055AF}" name="Scope" dataDxfId="846"/>
    <tableColumn id="1" xr3:uid="{B13FE5AF-2DEE-4464-A2FF-4E3F79F189D2}" name="Fuel" dataDxfId="845"/>
    <tableColumn id="12" xr3:uid="{299AD15C-5EF0-440A-BDC9-128EB70A0A14}" name="DEFRA Name" dataDxfId="844"/>
    <tableColumn id="2" xr3:uid="{31E1FCE7-B108-4E11-95D7-284E8FF3E0AC}" name="Unit" dataDxfId="843"/>
    <tableColumn id="4" xr3:uid="{A6BB50FF-7BCA-4BFA-8796-75C239C4813D}" name="kg CO2e/unit" dataDxfId="842" dataCellStyle="Comma"/>
    <tableColumn id="5" xr3:uid="{4FC77FA6-9EF7-4929-8CE8-8E1EA96E7F9B}" name="CO2 kg CO2e/unit" dataDxfId="841" dataCellStyle="Comma"/>
    <tableColumn id="6" xr3:uid="{B3CEEF25-BE08-4600-876A-529E794A43FA}" name="CH4 kg CO2e/unit" dataDxfId="840" dataCellStyle="Comma"/>
    <tableColumn id="7" xr3:uid="{59C17750-38B8-462C-BFFE-885EEDC72BC7}" name="N2O kg CO2e/unit" dataDxfId="839" dataCellStyle="Comma"/>
    <tableColumn id="8" xr3:uid="{CC17C3EA-D438-4651-BC73-603DDCE00332}" name="Emission Factor Source" dataDxfId="838"/>
    <tableColumn id="9" xr3:uid="{3FD13A85-3D8A-4A19-A0D3-012371C120D1}" name="Emission Factor Year" dataDxfId="837"/>
    <tableColumn id="10" xr3:uid="{5C28DADF-0CD2-4344-8B4C-4EE3968EC6EB}" name="Emission Factor Link" dataDxfId="836"/>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809FED5-DD0E-4FB3-9D78-1A2812223A77}" name="tbl_EF_Cars" displayName="tbl_EF_Cars" ref="B57:L177" totalsRowShown="0" headerRowDxfId="835" dataDxfId="834">
  <autoFilter ref="B57:L177" xr:uid="{E809FED5-DD0E-4FB3-9D78-1A2812223A77}"/>
  <tableColumns count="11">
    <tableColumn id="1" xr3:uid="{40025EF5-83FF-4BF2-8CA1-23034DBCEB26}" name="Scope" dataDxfId="833"/>
    <tableColumn id="2" xr3:uid="{7ECF85C6-8F70-4FCA-8523-058DF865AC6F}" name="Vehicle Type" dataDxfId="832"/>
    <tableColumn id="3" xr3:uid="{E14AC96C-CF56-4CF5-973E-6980040F6177}" name="Unit" dataDxfId="831"/>
    <tableColumn id="4" xr3:uid="{5B284FD4-708F-4A67-90E0-FD16CDF39340}" name="Fuel / Load" dataDxfId="830"/>
    <tableColumn id="5" xr3:uid="{A9E530C2-6C02-4534-933C-C1347CC970CD}" name="kg CO2e/unit" dataDxfId="829"/>
    <tableColumn id="6" xr3:uid="{5A91FE7D-CCFE-4094-B89F-D71A731F0944}" name="CO2 kg CO2e/unit" dataDxfId="828"/>
    <tableColumn id="7" xr3:uid="{314DD900-6337-44B4-BB7D-0B9F16536A4E}" name="CH4 kg CO2e/unit" dataDxfId="827"/>
    <tableColumn id="8" xr3:uid="{8B7E8928-BF94-4ED9-A3CC-C530E7213967}" name="N2O kg CO2e/unit" dataDxfId="826"/>
    <tableColumn id="9" xr3:uid="{91027DD1-0610-41A0-ACDD-41DA3E67806D}" name="Emission Factor Source" dataDxfId="825"/>
    <tableColumn id="10" xr3:uid="{F66A321B-3A67-484F-8BE9-45FEAAC5E777}" name="Emission Factor Year" dataDxfId="824"/>
    <tableColumn id="11" xr3:uid="{2CB30B0B-37E2-4010-9494-2CABDEFF739F}" name="Emission Factor Link" dataDxfId="823"/>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BE9CB90-DE17-4E13-A4B7-437E4BB939AE}" name="tbl_EF_1.04." displayName="tbl_EF_1.04." ref="B182:L319" totalsRowShown="0" headerRowDxfId="822" dataDxfId="820" headerRowBorderDxfId="821" tableBorderDxfId="819" totalsRowBorderDxfId="818">
  <autoFilter ref="B182:L319" xr:uid="{8BE9CB90-DE17-4E13-A4B7-437E4BB939AE}"/>
  <tableColumns count="11">
    <tableColumn id="1" xr3:uid="{79AB3849-88FD-4A78-BC95-C0D7071509F5}" name="Scope" dataDxfId="817"/>
    <tableColumn id="2" xr3:uid="{27AF8527-B9AB-4194-985A-33B46979CDA1}" name="Cooling Liquid" dataDxfId="816"/>
    <tableColumn id="3" xr3:uid="{A37650D9-C8BC-41DA-82B2-F72390EC8A6A}" name="Unit" dataDxfId="815"/>
    <tableColumn id="4" xr3:uid="{4BB8AE54-4938-4E4B-BDF3-1F786D04CD6D}" name="kg CO2e/Unit" dataDxfId="814" dataCellStyle="Comma"/>
    <tableColumn id="11" xr3:uid="{13C7E3D8-F5CB-4A2B-9E49-7CBA9E0F31FB}" name="kg CO2e/unit2" dataDxfId="813" dataCellStyle="Comma"/>
    <tableColumn id="10" xr3:uid="{AD4409C3-77B8-4262-8F07-01BDFED83658}" name="CO2 kg CO2e/unit" dataDxfId="812" dataCellStyle="Comma"/>
    <tableColumn id="9" xr3:uid="{2BB8A344-0369-461A-9437-7EBB18AAD716}" name="CH4 kg CO2e/unit" dataDxfId="811" dataCellStyle="Comma"/>
    <tableColumn id="8" xr3:uid="{00E2C298-3251-4123-B224-8241855BCE71}" name="N2O kg CO2e/unit" dataDxfId="810" dataCellStyle="Comma"/>
    <tableColumn id="5" xr3:uid="{117E6CA0-009C-41D7-B18B-11DE6FF1D13A}" name="Emission Factor Source" dataDxfId="809"/>
    <tableColumn id="6" xr3:uid="{90D855C7-990D-4A9D-94E2-F04E306C1838}" name="Emission Factor Year" dataDxfId="808"/>
    <tableColumn id="7" xr3:uid="{8835DC0A-1ECD-44E5-B5A1-EF33C66EA30C}" name="Emission Factor Link" dataDxfId="807"/>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D5223DF-5CF5-4EB3-B2A6-F8299AB6C309}" name="tbl_IEA_EFs" displayName="tbl_IEA_EFs" ref="B6:S1152" totalsRowShown="0" headerRowDxfId="806" dataDxfId="804" headerRowBorderDxfId="805" tableBorderDxfId="803" totalsRowBorderDxfId="802">
  <autoFilter ref="B6:S1152" xr:uid="{5D5223DF-5CF5-4EB3-B2A6-F8299AB6C309}"/>
  <tableColumns count="18">
    <tableColumn id="1" xr3:uid="{8E8ADC71-AC58-4553-84AE-C3D6F2C309DB}" name="Scope" dataDxfId="801"/>
    <tableColumn id="2" xr3:uid="{F3D8F3D3-71A0-4D46-BB83-D4EDBC621639}" name="Category" dataDxfId="800"/>
    <tableColumn id="3" xr3:uid="{E0CBD423-AA8A-4AA2-A508-D489CB326FE7}" name="Fuel" dataDxfId="799"/>
    <tableColumn id="4" xr3:uid="{C314E925-C837-4D45-88F6-64EE6AD72390}" name="Unit" dataDxfId="798"/>
    <tableColumn id="5" xr3:uid="{4EFB5556-70D0-4FF1-9E8D-E9E2DB89E6D9}" name="kg CO2e" dataDxfId="797" dataCellStyle="Comma"/>
    <tableColumn id="6" xr3:uid="{BAD3C30A-C6D6-436B-B6DD-EC65FDEA2DB0}" name="kg CO2e of CO2 per unit" dataDxfId="796" dataCellStyle="Comma"/>
    <tableColumn id="7" xr3:uid="{35DA8F89-FC2A-4E82-BF33-7F93FC608A19}" name="kg CO2e of CH4 per unit" dataDxfId="795" dataCellStyle="Comma"/>
    <tableColumn id="8" xr3:uid="{21448E7E-063B-4595-82D4-82C38D092448}" name="kg CO2e of N2O per unit" dataDxfId="794" dataCellStyle="Comma"/>
    <tableColumn id="17" xr3:uid="{41951BCC-B045-4FC4-BBF4-9BB639CE8DB1}" name="kg CO2e of Unspecified per unit2" dataDxfId="793" dataCellStyle="Comma"/>
    <tableColumn id="18" xr3:uid="{87E60D85-4B4F-42CC-BE80-8EAB0A9DE3CA}" name="GWP" dataDxfId="792"/>
    <tableColumn id="21" xr3:uid="{DE017A36-5BB4-4D9C-8C20-EEAB64241E2B}" name="Life Cycle" dataDxfId="791"/>
    <tableColumn id="24" xr3:uid="{BF071C17-328C-47B3-979D-AA210942E677}" name="Year" dataDxfId="790"/>
    <tableColumn id="25" xr3:uid="{EE294609-E335-4CD7-BF2B-68CA6DBBBCD3}" name="ISO-2 Code" dataDxfId="789"/>
    <tableColumn id="30" xr3:uid="{A0FB759E-9AF5-4D4D-8ACA-CBD8693B19C6}" name="ISO-3 Code" dataDxfId="788"/>
    <tableColumn id="11" xr3:uid="{B3B05467-6F52-4E00-A558-795FEFE58CE2}" name="Country" dataDxfId="787"/>
    <tableColumn id="22" xr3:uid="{E4DD8854-96EE-4084-B899-175D9BA793C3}" name="Source" dataDxfId="786"/>
    <tableColumn id="27" xr3:uid="{D80FACC2-AFB5-4A75-89DD-22E9BB62D275}" name="Contributor Contact" dataDxfId="785"/>
    <tableColumn id="29" xr3:uid="{E7208F0B-EF24-400D-8509-8E6DF56C8D34}" name="ID" dataDxfId="784"/>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01D4150-1E44-42F7-AB7B-5738CF7CDD6A}" name="tbl_EF_District_Heating" displayName="tbl_EF_District_Heating" ref="B1157:M1160" totalsRowShown="0" headerRowDxfId="783" dataDxfId="781" headerRowBorderDxfId="782" tableBorderDxfId="780" totalsRowBorderDxfId="779">
  <autoFilter ref="B1157:M1160" xr:uid="{401D4150-1E44-42F7-AB7B-5738CF7CDD6A}"/>
  <tableColumns count="12">
    <tableColumn id="1" xr3:uid="{07A20121-C7C9-4A84-BE3A-374DC64C1B04}" name="Activity" dataDxfId="778"/>
    <tableColumn id="2" xr3:uid="{BCABC8A8-D868-4C53-8526-46E9274408B9}" name="Type" dataDxfId="777"/>
    <tableColumn id="3" xr3:uid="{6397885D-98B5-4FAB-9710-8D13C0E7B8B9}" name="Unit" dataDxfId="776"/>
    <tableColumn id="4" xr3:uid="{120B1BDE-2D9E-4599-BB60-834209780852}" name="kg CO2e" dataDxfId="775" dataCellStyle="Comma"/>
    <tableColumn id="10" xr3:uid="{E365FB34-D34F-4F60-AB54-B669A255AA8A}" name="kg CO2e of CO2 per unit" dataDxfId="774" dataCellStyle="Comma"/>
    <tableColumn id="9" xr3:uid="{FB2A7737-D39A-4D63-98F0-823AA150A771}" name="kg CO2e of CH4 per unit" dataDxfId="773" dataCellStyle="Comma"/>
    <tableColumn id="8" xr3:uid="{6286C4E7-E75D-4711-B879-60B35A0EB75A}" name="kg CO2e of N2O per unit" dataDxfId="772" dataCellStyle="Comma"/>
    <tableColumn id="12" xr3:uid="{859ADD4D-CA54-4FDD-AED5-10A6F8A7849F}" name="kg CO2e of Unspecified per unit" dataDxfId="771" dataCellStyle="Comma"/>
    <tableColumn id="5" xr3:uid="{5A91EB45-B740-4006-8BED-BC5DDCA45FDD}" name="Emission Factor Source" dataDxfId="770"/>
    <tableColumn id="6" xr3:uid="{0E06BA76-802D-468C-A483-72C2270C5A06}" name="Emission Factor Year" dataDxfId="769"/>
    <tableColumn id="7" xr3:uid="{AB7263B6-8415-4304-B0F3-CC92454D8D19}" name="Emission Factor Link" dataDxfId="768" dataCellStyle="Hyperlink"/>
    <tableColumn id="11" xr3:uid="{8D5D5DCD-446A-4FFF-AAD2-2FAEC7561BCB}" name="Emission Factor ID" dataDxfId="767" dataCellStyle="Hyperlink"/>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016D624-4F39-432E-83DE-185FB03675BF}" name="tbl_3.1._EFs" displayName="tbl_3.1._EFs" ref="B6:FB60" totalsRowShown="0" headerRowDxfId="766" dataDxfId="764" headerRowBorderDxfId="765" tableBorderDxfId="763" totalsRowBorderDxfId="762">
  <autoFilter ref="B6:FB60" xr:uid="{B016D624-4F39-432E-83DE-185FB03675BF}"/>
  <tableColumns count="157">
    <tableColumn id="1" xr3:uid="{376433DB-39B8-4FF7-B057-2D32609FF1D7}" name="EF Category" dataDxfId="761"/>
    <tableColumn id="2" xr3:uid="{A8999932-3520-4E9E-BDA0-0BB35EFDD138}" name="CEDA Code" dataDxfId="760"/>
    <tableColumn id="3" xr3:uid="{3E41B1B0-004D-4AE6-955B-E0B51C6B46D7}" name="CEDA Description" dataDxfId="759"/>
    <tableColumn id="4" xr3:uid="{F3E9E0FD-D8F3-4D94-A876-98D6539E5E39}" name="Afghanistan" dataDxfId="758" dataCellStyle="Comma"/>
    <tableColumn id="5" xr3:uid="{778E37E2-DC77-4FE1-81F7-1ACC512D4163}" name="Angola" dataDxfId="757" dataCellStyle="Comma"/>
    <tableColumn id="6" xr3:uid="{4F58CBF7-042B-4D43-97D6-995D912F1F33}" name="Albania" dataDxfId="756" dataCellStyle="Comma"/>
    <tableColumn id="7" xr3:uid="{B6C2277C-E57C-422F-9B6C-49E7486F7FE5}" name="United Arab Emirates" dataDxfId="755" dataCellStyle="Comma"/>
    <tableColumn id="8" xr3:uid="{7FB6480A-8264-49EB-986E-43787C08B0A4}" name="Argentina" dataDxfId="754" dataCellStyle="Comma"/>
    <tableColumn id="9" xr3:uid="{A62989AC-7E29-4DA5-B4B2-17D775B226EC}" name="Antigua and Barbuda" dataDxfId="753" dataCellStyle="Comma"/>
    <tableColumn id="10" xr3:uid="{B229DE60-30B1-47D3-81A1-F23B25451980}" name="Australia" dataDxfId="752" dataCellStyle="Comma"/>
    <tableColumn id="11" xr3:uid="{99EB245D-E94B-49CD-9C47-57C9FBA54EA4}" name="Austria" dataDxfId="751" dataCellStyle="Comma"/>
    <tableColumn id="12" xr3:uid="{A8D99968-E243-4B6D-BCA1-76FC27154D37}" name="Burundi" dataDxfId="750" dataCellStyle="Comma"/>
    <tableColumn id="13" xr3:uid="{B24027E7-8962-429D-9CBB-30FA3CC64754}" name="Belgium" dataDxfId="749" dataCellStyle="Comma"/>
    <tableColumn id="14" xr3:uid="{ACFBF565-1502-4E1C-A838-AF26C9BEFE44}" name="Benin" dataDxfId="748" dataCellStyle="Comma"/>
    <tableColumn id="15" xr3:uid="{7C23A58E-01F0-4271-BD3E-7ED7474BB334}" name="Burkina Faso" dataDxfId="747" dataCellStyle="Comma"/>
    <tableColumn id="16" xr3:uid="{455B4D85-1993-4E44-B550-AD9459C59D3B}" name="Bangladesh" dataDxfId="746" dataCellStyle="Comma"/>
    <tableColumn id="17" xr3:uid="{A95E80CB-C700-4532-8858-FDD6EE386ABC}" name="Bulgaria" dataDxfId="745" dataCellStyle="Comma"/>
    <tableColumn id="18" xr3:uid="{64E791DB-C9A5-463C-8CC0-32C943EF879C}" name="Bahrain" dataDxfId="744" dataCellStyle="Comma"/>
    <tableColumn id="19" xr3:uid="{D171C431-D349-4366-B3E3-B4C50DF9C63D}" name="Bahamas" dataDxfId="743" dataCellStyle="Comma"/>
    <tableColumn id="20" xr3:uid="{3B9E26FC-6043-46DC-BDB8-C733C79F909A}" name="Belize" dataDxfId="742" dataCellStyle="Comma"/>
    <tableColumn id="21" xr3:uid="{9DDCA121-68F8-4604-8DAF-E1100F8004F5}" name="Bolivia" dataDxfId="741" dataCellStyle="Comma"/>
    <tableColumn id="22" xr3:uid="{8D6A0E7B-EB9A-463D-A7E6-300F9C83A367}" name="Brazil" dataDxfId="740" dataCellStyle="Comma"/>
    <tableColumn id="23" xr3:uid="{518B66F7-6AF8-422F-ADC9-0B312CD62ECD}" name="Barbados" dataDxfId="739" dataCellStyle="Comma"/>
    <tableColumn id="24" xr3:uid="{19E13332-C40C-416A-8434-3C5A8A635A9B}" name="Bhutan" dataDxfId="738" dataCellStyle="Comma"/>
    <tableColumn id="25" xr3:uid="{401C8A04-AA03-4FD0-8613-090E3805CC34}" name="Central African Republic" dataDxfId="737" dataCellStyle="Comma"/>
    <tableColumn id="26" xr3:uid="{DE43F0AE-F94E-4857-96A3-6C2BB80BA5FF}" name="Canada" dataDxfId="736" dataCellStyle="Comma"/>
    <tableColumn id="27" xr3:uid="{EE8531C0-6B98-4E4C-9A4C-D512F2F84D63}" name="Switzerland" dataDxfId="735" dataCellStyle="Comma"/>
    <tableColumn id="28" xr3:uid="{4E7F50E0-7728-4C75-9913-0CBC13DB47F3}" name="Chile" dataDxfId="734" dataCellStyle="Comma"/>
    <tableColumn id="29" xr3:uid="{F056DC67-7588-45D3-9633-CDA6722B85EB}" name="China" dataDxfId="733" dataCellStyle="Comma"/>
    <tableColumn id="30" xr3:uid="{A27151DE-E9C2-4A52-BB53-E99FE5DE2509}" name="Cote d'Ivoire" dataDxfId="732" dataCellStyle="Comma"/>
    <tableColumn id="31" xr3:uid="{4A4704DC-3D5A-4BF5-99CA-582530FAC7C6}" name="Cameroon" dataDxfId="731" dataCellStyle="Comma"/>
    <tableColumn id="32" xr3:uid="{DF13AFA9-3A3C-40F7-AB4C-263B59221C99}" name="Congo" dataDxfId="730" dataCellStyle="Comma"/>
    <tableColumn id="33" xr3:uid="{80AF6117-3D7F-4F1C-A4ED-09DE8C22FFD8}" name="Colombia" dataDxfId="729" dataCellStyle="Comma"/>
    <tableColumn id="34" xr3:uid="{A66F4B12-3498-4515-9879-F0D0F736CB53}" name="Costa Rica" dataDxfId="728" dataCellStyle="Comma"/>
    <tableColumn id="35" xr3:uid="{E8E702A3-60E8-4717-A1FD-6593CC7ED3F4}" name="Cyprus" dataDxfId="727" dataCellStyle="Comma"/>
    <tableColumn id="36" xr3:uid="{3B49FBB8-D9CC-4152-8129-DAC80E0717C6}" name="Czech Republic" dataDxfId="726" dataCellStyle="Comma"/>
    <tableColumn id="37" xr3:uid="{568F5967-F6D5-41B0-98D1-4906A32E231D}" name="Germany" dataDxfId="725" dataCellStyle="Comma"/>
    <tableColumn id="38" xr3:uid="{659DD374-E90B-4DA0-A136-1101EE89D3DA}" name="Dominica" dataDxfId="724" dataCellStyle="Comma"/>
    <tableColumn id="39" xr3:uid="{FEA09CE4-1D45-47B3-8364-779DDF490139}" name="Denmark" dataDxfId="723" dataCellStyle="Comma"/>
    <tableColumn id="40" xr3:uid="{F2030037-00AC-4C95-B065-C7AC5ACE691B}" name="Dominican Republic" dataDxfId="722" dataCellStyle="Comma"/>
    <tableColumn id="41" xr3:uid="{6A1B9BA3-8331-474D-9553-E6093E0EDDCD}" name="Algeria" dataDxfId="721" dataCellStyle="Comma"/>
    <tableColumn id="42" xr3:uid="{A995C453-A803-4A80-AE53-EBFEC9A99108}" name="Ecuador" dataDxfId="720" dataCellStyle="Comma"/>
    <tableColumn id="43" xr3:uid="{314079D3-EF00-465E-A812-10EA1E64F6F4}" name="Egypt" dataDxfId="719" dataCellStyle="Comma"/>
    <tableColumn id="44" xr3:uid="{E74951F2-B5B3-40C0-9F3A-04F44AC6F5FB}" name="Spain" dataDxfId="718" dataCellStyle="Comma"/>
    <tableColumn id="45" xr3:uid="{58FC2532-7163-4C73-894C-E0F5C3545307}" name="Estonia" dataDxfId="717" dataCellStyle="Comma"/>
    <tableColumn id="46" xr3:uid="{B583F2F2-190F-4CA4-8C33-230D52840FD2}" name="Ethiopia" dataDxfId="716" dataCellStyle="Comma"/>
    <tableColumn id="47" xr3:uid="{8133DE86-F62B-45E8-B1B2-5F8DC4B6AFCD}" name="Finland" dataDxfId="715" dataCellStyle="Comma"/>
    <tableColumn id="48" xr3:uid="{79BA0803-8FCA-4DD9-836D-F65E61A22776}" name="Fiji" dataDxfId="714" dataCellStyle="Comma"/>
    <tableColumn id="49" xr3:uid="{9FC07D19-C66E-4732-902D-ECFA1B24D7D5}" name="France" dataDxfId="713" dataCellStyle="Comma"/>
    <tableColumn id="50" xr3:uid="{0835A6D7-8E86-4DD0-A85F-A56F765F0D6F}" name="Gabon" dataDxfId="712" dataCellStyle="Comma"/>
    <tableColumn id="51" xr3:uid="{31C8F3B1-23BB-4B5B-9F70-23785D5A8E70}" name="United Kingdom" dataDxfId="711" dataCellStyle="Comma"/>
    <tableColumn id="52" xr3:uid="{6904CB9C-6E2D-4E55-87E3-A4DAD44B61C3}" name="Guinea" dataDxfId="710" dataCellStyle="Comma"/>
    <tableColumn id="53" xr3:uid="{8B289F4C-C2DD-47A8-9229-5CF1E1FF0686}" name="Gambia" dataDxfId="709" dataCellStyle="Comma"/>
    <tableColumn id="54" xr3:uid="{8AC03AAF-4886-4041-B8FC-97AB2A4258DB}" name="Guinea-Bissau" dataDxfId="708" dataCellStyle="Comma"/>
    <tableColumn id="55" xr3:uid="{3E34B7B2-0B51-4A6B-9471-46C81294BD51}" name="Equatorial Guinea" dataDxfId="707" dataCellStyle="Comma"/>
    <tableColumn id="56" xr3:uid="{FD48F496-837C-4242-BFCF-B8B469ECB497}" name="Greece" dataDxfId="706" dataCellStyle="Comma"/>
    <tableColumn id="57" xr3:uid="{A3E71496-F325-4D10-9E11-E2A5D37B0EEC}" name="Grenada" dataDxfId="705" dataCellStyle="Comma"/>
    <tableColumn id="58" xr3:uid="{70DA477D-420B-47E9-B558-421A906AEDEB}" name="Guatemala" dataDxfId="704" dataCellStyle="Comma"/>
    <tableColumn id="59" xr3:uid="{11627424-0494-4B24-9ED8-16A4E7D8FCB2}" name="Hong Kong, China" dataDxfId="703" dataCellStyle="Comma"/>
    <tableColumn id="60" xr3:uid="{47D23BEF-9853-4CBF-BB50-EF56A7EAE415}" name="Honduras" dataDxfId="702" dataCellStyle="Comma"/>
    <tableColumn id="61" xr3:uid="{42FE1377-1045-45CA-BDCD-4281E9B42608}" name="Croatia" dataDxfId="701" dataCellStyle="Comma"/>
    <tableColumn id="62" xr3:uid="{85F1F773-4878-4748-ABEF-9D7EFF9FFCD7}" name="Haiti" dataDxfId="700" dataCellStyle="Comma"/>
    <tableColumn id="63" xr3:uid="{C5CA9578-AC9C-4E78-A1FB-A27E82FBE3FD}" name="Hungary" dataDxfId="699" dataCellStyle="Comma"/>
    <tableColumn id="64" xr3:uid="{58730448-9020-4CB9-97B4-CB10C656F0DB}" name="Indonesia" dataDxfId="698" dataCellStyle="Comma"/>
    <tableColumn id="65" xr3:uid="{777085D2-6F97-4428-A6CA-5580AA74C40B}" name="India" dataDxfId="697" dataCellStyle="Comma"/>
    <tableColumn id="66" xr3:uid="{EB2907B0-E32E-4518-855E-4097B02065A2}" name="Ireland" dataDxfId="696" dataCellStyle="Comma"/>
    <tableColumn id="67" xr3:uid="{702901B7-931E-4851-BF7C-7A96A2733918}" name="Iran, Islamic Republic of" dataDxfId="695" dataCellStyle="Comma"/>
    <tableColumn id="68" xr3:uid="{F2767B08-FD1F-4C82-85E3-59D8872E9D68}" name="Iraq" dataDxfId="694" dataCellStyle="Comma"/>
    <tableColumn id="69" xr3:uid="{94414449-357C-4301-8C3D-287576CE953D}" name="Iceland" dataDxfId="693" dataCellStyle="Comma"/>
    <tableColumn id="70" xr3:uid="{719DDC16-EF56-40B6-9222-6F9ED85F4CD8}" name="Israel" dataDxfId="692" dataCellStyle="Comma"/>
    <tableColumn id="71" xr3:uid="{0D7A128B-25FE-4F1E-9D2E-88B5E65E9BE8}" name="Italy" dataDxfId="691" dataCellStyle="Comma"/>
    <tableColumn id="72" xr3:uid="{B366837A-9089-4F15-A761-A346BAF74872}" name="Jamaica" dataDxfId="690" dataCellStyle="Comma"/>
    <tableColumn id="73" xr3:uid="{064A681F-F2E4-464C-9E5A-56BAA3AA3E8A}" name="Jordan" dataDxfId="689" dataCellStyle="Comma"/>
    <tableColumn id="74" xr3:uid="{419EF186-F3FC-4453-BECC-FCD19C0C8E8E}" name="Japan" dataDxfId="688" dataCellStyle="Comma"/>
    <tableColumn id="75" xr3:uid="{82876DA2-81F5-49C4-8E24-2F62462A7C9E}" name="Kazakhstan" dataDxfId="687" dataCellStyle="Comma"/>
    <tableColumn id="76" xr3:uid="{80EE3C85-7AC9-4F47-BCBC-E193B9ACC6BB}" name="Kenya" dataDxfId="686" dataCellStyle="Comma"/>
    <tableColumn id="77" xr3:uid="{CDA50530-E27B-4DEC-A37C-C892393E7BCE}" name="Cambodia" dataDxfId="685" dataCellStyle="Comma"/>
    <tableColumn id="78" xr3:uid="{0D0A5A14-7A8B-4382-8AE8-D2CA17CEFE6C}" name="Kiribati" dataDxfId="684" dataCellStyle="Comma"/>
    <tableColumn id="79" xr3:uid="{8986B43C-87CE-46EA-91A8-9099673B8376}" name="Saint Kitts and Nevis" dataDxfId="683" dataCellStyle="Comma"/>
    <tableColumn id="80" xr3:uid="{4F39A43D-96A2-4710-BFEE-6F8ED3799824}" name="South Korea" dataDxfId="682" dataCellStyle="Comma"/>
    <tableColumn id="81" xr3:uid="{56D4D2E6-4A0B-4548-9FC1-87C879F33B09}" name="Kuwait" dataDxfId="681" dataCellStyle="Comma"/>
    <tableColumn id="82" xr3:uid="{B592B95E-CDCF-49A8-AFD4-F3FE356B9270}" name="Lao People’s Democratic Rep." dataDxfId="680" dataCellStyle="Comma"/>
    <tableColumn id="83" xr3:uid="{A36EDE85-DD95-4875-82EB-9257218D75CE}" name="Lebanon" dataDxfId="679" dataCellStyle="Comma"/>
    <tableColumn id="84" xr3:uid="{864CB0AD-872D-497B-86DF-589E79AFDA9F}" name="Saint Lucia" dataDxfId="678" dataCellStyle="Comma"/>
    <tableColumn id="85" xr3:uid="{367CB7C3-146E-46A8-A412-B3C37328BF51}" name="Sri Lanka" dataDxfId="677" dataCellStyle="Comma"/>
    <tableColumn id="86" xr3:uid="{CA17C4D4-14E7-41EC-AED7-586C045A072A}" name="Lesotho" dataDxfId="676" dataCellStyle="Comma"/>
    <tableColumn id="87" xr3:uid="{B0B82895-F88E-4EE2-89AA-21E51C87B19C}" name="Lithuania" dataDxfId="675" dataCellStyle="Comma"/>
    <tableColumn id="88" xr3:uid="{7D5DB29A-F818-4B41-8038-B5F8AC694A57}" name="Luxembourg" dataDxfId="674" dataCellStyle="Comma"/>
    <tableColumn id="89" xr3:uid="{19673BDE-0922-46D6-B805-8D89B6B3EFB1}" name="Latvia" dataDxfId="673" dataCellStyle="Comma"/>
    <tableColumn id="90" xr3:uid="{33201FA2-02AB-401E-9699-11EACA4C6F94}" name="Morocco" dataDxfId="672" dataCellStyle="Comma"/>
    <tableColumn id="91" xr3:uid="{F9C56B56-EFFB-4576-B383-AC2282DCE615}" name="Moldova, Republic of" dataDxfId="671" dataCellStyle="Comma"/>
    <tableColumn id="92" xr3:uid="{8A3B8657-8C57-4440-94D1-D5F4096DCC2B}" name="Maldives" dataDxfId="670" dataCellStyle="Comma"/>
    <tableColumn id="93" xr3:uid="{70463F36-AC8A-4689-9242-3EEAF037F55E}" name="Mexico" dataDxfId="669" dataCellStyle="Comma"/>
    <tableColumn id="94" xr3:uid="{3B02CDBD-6192-42D3-B03B-C0A322CC92CE}" name="Macedonia, the former Yugoslav Republic of" dataDxfId="668" dataCellStyle="Comma"/>
    <tableColumn id="95" xr3:uid="{F3E89568-64CD-4B8E-8E7E-D1533CE54F68}" name="Mali" dataDxfId="667" dataCellStyle="Comma"/>
    <tableColumn id="96" xr3:uid="{276AD3A3-A0DB-4BF1-9896-037C30AE4B6D}" name="Malta" dataDxfId="666" dataCellStyle="Comma"/>
    <tableColumn id="97" xr3:uid="{4603EDE4-52BA-4B8B-AD6F-B9B9EC0F5235}" name="Myanmar" dataDxfId="665" dataCellStyle="Comma"/>
    <tableColumn id="98" xr3:uid="{2D503C6A-0D80-4AA4-A3AA-11B0152B4B7C}" name="Mongolia" dataDxfId="664" dataCellStyle="Comma"/>
    <tableColumn id="99" xr3:uid="{1EC72C59-6C0E-4D93-AEA8-DF7F2FB9105F}" name="Mauritius" dataDxfId="663" dataCellStyle="Comma"/>
    <tableColumn id="100" xr3:uid="{0A91AF70-B841-4625-9A48-662F5F82CC54}" name="Malawi" dataDxfId="662" dataCellStyle="Comma"/>
    <tableColumn id="101" xr3:uid="{78B7A56E-78D7-4702-8E7D-60AF4C979AAD}" name="Malaysia" dataDxfId="661" dataCellStyle="Comma"/>
    <tableColumn id="102" xr3:uid="{F3289EFD-AD10-41E3-9B8C-1D645859AF91}" name="Namibia" dataDxfId="660" dataCellStyle="Comma"/>
    <tableColumn id="103" xr3:uid="{3419888A-67CF-4FAD-92BB-57833463021A}" name="Niger" dataDxfId="659" dataCellStyle="Comma"/>
    <tableColumn id="104" xr3:uid="{BA4911ED-F407-4A15-9B21-5C6A76469756}" name="Nigeria" dataDxfId="658" dataCellStyle="Comma"/>
    <tableColumn id="105" xr3:uid="{1891189E-8AA8-4608-8F99-A9C189F075A8}" name="Nicaragua" dataDxfId="657" dataCellStyle="Comma"/>
    <tableColumn id="106" xr3:uid="{05EEBA99-9A91-46F2-962C-FD446060D832}" name="Netherlands" dataDxfId="656" dataCellStyle="Comma"/>
    <tableColumn id="107" xr3:uid="{90E443D2-313A-4383-8861-06A86D8EE909}" name="Norway" dataDxfId="655" dataCellStyle="Comma"/>
    <tableColumn id="108" xr3:uid="{00725B22-AE15-43B1-B705-7A33612C6F16}" name="Nepal" dataDxfId="654" dataCellStyle="Comma"/>
    <tableColumn id="109" xr3:uid="{FCEAE808-1C73-49D4-9EC8-EDB9B1E985C1}" name="Nauru" dataDxfId="653" dataCellStyle="Comma"/>
    <tableColumn id="110" xr3:uid="{217172FD-1611-43D5-94C6-DB1C1D3DD3EB}" name="New Zealand" dataDxfId="652" dataCellStyle="Comma"/>
    <tableColumn id="111" xr3:uid="{6DE4C960-C511-42B8-B30A-5EEDD84CADFC}" name="Oman" dataDxfId="651" dataCellStyle="Comma"/>
    <tableColumn id="112" xr3:uid="{5E306E87-2F0E-4226-809B-C825ED238BC4}" name="Pakistan" dataDxfId="650" dataCellStyle="Comma"/>
    <tableColumn id="113" xr3:uid="{08C91A45-75F0-4A57-ADB8-948D925C779B}" name="Peru" dataDxfId="649" dataCellStyle="Comma"/>
    <tableColumn id="114" xr3:uid="{A84C7243-E5CD-4BCE-8D01-7BABE6B3B5B9}" name="Philippines" dataDxfId="648" dataCellStyle="Comma"/>
    <tableColumn id="115" xr3:uid="{ACA26C3B-CDC1-4EF7-8D6C-19341E468EBA}" name="Papua New Guinea" dataDxfId="647" dataCellStyle="Comma"/>
    <tableColumn id="116" xr3:uid="{53CD8F95-9133-4283-BD51-D9E7A25A69CE}" name="Poland" dataDxfId="646" dataCellStyle="Comma"/>
    <tableColumn id="117" xr3:uid="{10777222-0600-4BAD-8ADC-87AE548BCE1A}" name="Portugal" dataDxfId="645" dataCellStyle="Comma"/>
    <tableColumn id="118" xr3:uid="{C573D519-CA98-495B-9436-A2C25F59A4B7}" name="Paraguay" dataDxfId="644" dataCellStyle="Comma"/>
    <tableColumn id="119" xr3:uid="{2E0F7C5F-3077-4A6D-B221-FAAE4C10FF0E}" name="Qatar" dataDxfId="643" dataCellStyle="Comma"/>
    <tableColumn id="120" xr3:uid="{D97913CD-D766-45FC-ADDD-A48A6AEB3D47}" name="Romania" dataDxfId="642" dataCellStyle="Comma"/>
    <tableColumn id="121" xr3:uid="{EBBE9886-111F-4F4E-AAC4-A2A74776B3E9}" name="Rest of World" dataDxfId="641" dataCellStyle="Comma"/>
    <tableColumn id="122" xr3:uid="{89C1A467-4F13-4693-9F13-807F919F9332}" name="Russian Federation" dataDxfId="640" dataCellStyle="Comma"/>
    <tableColumn id="123" xr3:uid="{C8D5D92A-B21C-4267-A9DD-3C47C7551863}" name="Rwanda" dataDxfId="639" dataCellStyle="Comma"/>
    <tableColumn id="124" xr3:uid="{65EE1E9A-90CD-4105-A6C1-CA072AEDC984}" name="Saudi Arabia" dataDxfId="638" dataCellStyle="Comma"/>
    <tableColumn id="125" xr3:uid="{4A0C807E-65DF-43C3-B5E7-1C5B76B7446D}" name="Senegal" dataDxfId="637" dataCellStyle="Comma"/>
    <tableColumn id="126" xr3:uid="{84A3E655-FAED-40F6-AAE5-42B281CAEF43}" name="Singapore" dataDxfId="636" dataCellStyle="Comma"/>
    <tableColumn id="127" xr3:uid="{C129CCF6-AE49-4B4E-A9CA-3289A6440CF3}" name="Solomon Islands" dataDxfId="635" dataCellStyle="Comma"/>
    <tableColumn id="128" xr3:uid="{78FA8C1E-8A3F-4F37-B6CE-35A93BECC9E7}" name="Sierra Leone" dataDxfId="634" dataCellStyle="Comma"/>
    <tableColumn id="129" xr3:uid="{C5504CDE-9FA0-4E2C-BA17-7530E0D81A89}" name="El Salvador" dataDxfId="633" dataCellStyle="Comma"/>
    <tableColumn id="130" xr3:uid="{885BAC0A-2030-420A-AC20-BE2CB52C5BBB}" name="Slovak Republic" dataDxfId="632" dataCellStyle="Comma"/>
    <tableColumn id="131" xr3:uid="{8468624A-8A05-4025-BF13-4E5F607FA964}" name="Slovenia" dataDxfId="631" dataCellStyle="Comma"/>
    <tableColumn id="132" xr3:uid="{1ADC15BC-5D52-4A47-A250-64C735CF8E61}" name="Sweden" dataDxfId="630" dataCellStyle="Comma"/>
    <tableColumn id="133" xr3:uid="{975F6A23-CA88-4288-A8D1-0CAF2E5B6DDF}" name="Swaziland" dataDxfId="629" dataCellStyle="Comma"/>
    <tableColumn id="134" xr3:uid="{494B712F-131E-42AE-9289-E4D63E98DBF2}" name="Seychelles" dataDxfId="628" dataCellStyle="Comma"/>
    <tableColumn id="135" xr3:uid="{8049D912-7ABE-44FF-88AA-A95C2B2D20D0}" name="Chad" dataDxfId="627" dataCellStyle="Comma"/>
    <tableColumn id="136" xr3:uid="{75F2FF03-DBF8-4D8B-8F64-75B4DEC4EA17}" name="Togo" dataDxfId="626" dataCellStyle="Comma"/>
    <tableColumn id="137" xr3:uid="{29DC5D00-5873-4023-A33A-1C89EA58338C}" name="Thailand" dataDxfId="625" dataCellStyle="Comma"/>
    <tableColumn id="138" xr3:uid="{607B7ACA-121D-4C23-85C6-91FB624FE0A6}" name="Timor-Leste" dataDxfId="624" dataCellStyle="Comma"/>
    <tableColumn id="139" xr3:uid="{9541353E-AC90-41EF-9249-E0847C6AFEFC}" name="Trinidad and Tobago" dataDxfId="623" dataCellStyle="Comma"/>
    <tableColumn id="140" xr3:uid="{6CDE1AF6-4515-452B-991F-966817D89329}" name="Tunisia" dataDxfId="622" dataCellStyle="Comma"/>
    <tableColumn id="141" xr3:uid="{F77394E9-92E0-45C6-81C8-3722E83EECA9}" name="Turkey" dataDxfId="621" dataCellStyle="Comma"/>
    <tableColumn id="142" xr3:uid="{3F73802F-599F-447E-935D-24CF05DF5735}" name="Chinese Taipei" dataDxfId="620" dataCellStyle="Comma"/>
    <tableColumn id="143" xr3:uid="{A3016108-E63E-4534-8AE8-5450BA5B24C2}" name="Tanzania_United Republic of" dataDxfId="619" dataCellStyle="Comma"/>
    <tableColumn id="144" xr3:uid="{761C9FBB-994F-4EA5-98A1-235F14B09746}" name="Uganda" dataDxfId="618" dataCellStyle="Comma"/>
    <tableColumn id="145" xr3:uid="{F5F3C445-CE14-49B6-A693-031528DAE628}" name="Ukraine" dataDxfId="617" dataCellStyle="Comma"/>
    <tableColumn id="146" xr3:uid="{BEA0C76C-9DB3-47D9-BED7-CACABABCB9AC}" name="Uruguay" dataDxfId="616" dataCellStyle="Comma"/>
    <tableColumn id="147" xr3:uid="{00F85CD5-CCCE-4D6E-B1DF-36147D38F33E}" name="United States" dataDxfId="615" dataCellStyle="Comma"/>
    <tableColumn id="148" xr3:uid="{4B24C653-D2D5-4E31-983B-995A503CE3B6}" name="Saint Vincent and the Grenadines" dataDxfId="614" dataCellStyle="Comma"/>
    <tableColumn id="149" xr3:uid="{94286512-E11A-4553-BEFD-211C0FBAC80B}" name="Viet Nam" dataDxfId="613" dataCellStyle="Comma"/>
    <tableColumn id="150" xr3:uid="{F8DFA138-A795-4CFC-80F5-51762F872887}" name="Vanuatu" dataDxfId="612" dataCellStyle="Comma"/>
    <tableColumn id="151" xr3:uid="{523B0171-0137-4C19-BC8D-71F70DC84643}" name="Samoa" dataDxfId="611" dataCellStyle="Comma"/>
    <tableColumn id="152" xr3:uid="{872E596E-59B8-4EB0-8212-67DEE140605B}" name="South Africa" dataDxfId="610" dataCellStyle="Comma"/>
    <tableColumn id="153" xr3:uid="{BE788AAF-B485-4B35-8606-11C292D33C71}" name="Median Value" dataDxfId="609" dataCellStyle="Comma"/>
    <tableColumn id="155" xr3:uid="{9AD3AA54-812D-4382-8118-375C3D678590}" name="Year" dataDxfId="608"/>
    <tableColumn id="156" xr3:uid="{3080C9FB-1CAD-41AE-A088-F30DB6D29913}" name="Currency" dataDxfId="607"/>
    <tableColumn id="157" xr3:uid="{4D32D294-937F-42E5-A6CC-1DD51B67D11E}" name="Link" dataDxfId="606"/>
    <tableColumn id="158" xr3:uid="{2E1DB1A8-D81C-4DBE-A3C6-0CA0B5195A7D}" name="EF Provider" dataDxfId="605"/>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BEE012D-B26C-4867-9425-566AB510D8E4}" name="tbl_Waste_EF" displayName="tbl_Waste_EF" ref="B65:J77" totalsRowShown="0" headerRowDxfId="604" dataDxfId="602" headerRowBorderDxfId="603" tableBorderDxfId="601" totalsRowBorderDxfId="600">
  <autoFilter ref="B65:J77" xr:uid="{8BEE012D-B26C-4867-9425-566AB510D8E4}"/>
  <tableColumns count="9">
    <tableColumn id="1" xr3:uid="{B0434C98-0C0C-436B-AF86-2D138794C150}" name="Activity" dataDxfId="599"/>
    <tableColumn id="2" xr3:uid="{36914FAC-978D-4F02-88C6-B7F4E496B4DB}" name="Waste type" dataDxfId="598"/>
    <tableColumn id="3" xr3:uid="{E1721225-84DB-4590-89DB-50E984C4A4BC}" name="Waste Disposal Method" dataDxfId="597"/>
    <tableColumn id="4" xr3:uid="{D91CAE50-63BC-4301-B6D0-8277F958F247}" name="Unit" dataDxfId="596"/>
    <tableColumn id="5" xr3:uid="{472E2A62-A552-42DF-B445-55D352F07E81}" name="kg CO2e" dataDxfId="595" dataCellStyle="Comma"/>
    <tableColumn id="6" xr3:uid="{74B7BA1F-8C24-40B8-9AEC-DA3650AC01AB}" name="Conversion Factor" dataDxfId="594" dataCellStyle="Comma"/>
    <tableColumn id="7" xr3:uid="{0F1C558E-FDD2-4212-8E93-9ABDA05C4BC2}" name="Emission Factor Source" dataDxfId="593"/>
    <tableColumn id="8" xr3:uid="{3620E645-3E53-4F9C-9E50-49CA13929958}" name="Emission Factor Year" dataDxfId="592"/>
    <tableColumn id="9" xr3:uid="{31A2E79C-2377-4C2B-A8CD-3E734D479906}" name="Emission Factor Link" dataDxfId="591"/>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4D5BCC8-2824-4091-8BC4-7157DF4C9093}" name="tbl_Water_EF" displayName="tbl_Water_EF" ref="B82:H86" totalsRowShown="0" headerRowDxfId="590" dataDxfId="588" headerRowBorderDxfId="589" tableBorderDxfId="587" totalsRowBorderDxfId="586">
  <autoFilter ref="B82:H86" xr:uid="{24D5BCC8-2824-4091-8BC4-7157DF4C9093}"/>
  <tableColumns count="7">
    <tableColumn id="1" xr3:uid="{1F9ED851-1E0B-444E-A42B-04D8DF308A93}" name="Activity" dataDxfId="585"/>
    <tableColumn id="2" xr3:uid="{AA9F1CEC-0118-4E64-AE39-8378A8B3A8AD}" name="Type" dataDxfId="584"/>
    <tableColumn id="3" xr3:uid="{F831299C-950D-499D-88CC-C2859A6A1EF7}" name="Unit" dataDxfId="583"/>
    <tableColumn id="4" xr3:uid="{96258F16-C02A-4BC1-9E0B-D8D724A01F87}" name="kg CO2e" dataDxfId="582" dataCellStyle="Comma"/>
    <tableColumn id="5" xr3:uid="{0F314303-C551-48DE-965B-DB9596790D3D}" name="Emission Factor Source" dataDxfId="581"/>
    <tableColumn id="6" xr3:uid="{629DCD82-CE33-430E-8626-EA4DCA50E2B1}" name="Emission Factor Year" dataDxfId="580"/>
    <tableColumn id="7" xr3:uid="{DBDCBCA4-318C-4A7F-A3FE-B225119CE71C}" name="Emission Factor Link" dataDxfId="579" dataCellStyle="Hyperlink"/>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E182506-9E29-403C-BBB6-80D8CD35302E}" name="btl_Business_Travel_Activity_EF" displayName="btl_Business_Travel_Activity_EF" ref="B91:M107" totalsRowShown="0" headerRowDxfId="578" dataDxfId="576" headerRowBorderDxfId="577" tableBorderDxfId="575" totalsRowBorderDxfId="574">
  <autoFilter ref="B91:M107" xr:uid="{3E182506-9E29-403C-BBB6-80D8CD35302E}"/>
  <tableColumns count="12">
    <tableColumn id="1" xr3:uid="{596B6CDE-0323-4A7D-995E-C346BA4162BF}" name="Activity" dataDxfId="573"/>
    <tableColumn id="2" xr3:uid="{702FA495-F935-4907-BFF4-49916443D9A5}" name="Distance" dataDxfId="572"/>
    <tableColumn id="3" xr3:uid="{7E830BE0-E81B-424B-AF63-8FA3CDC40846}" name="Class" dataDxfId="571"/>
    <tableColumn id="4" xr3:uid="{876CC77B-E925-4354-A9DC-271D30770F56}" name="Unit" dataDxfId="570"/>
    <tableColumn id="5" xr3:uid="{1B2BCB14-D06E-43EF-8B29-57482D194FDE}" name="kg CO2e" dataDxfId="569" dataCellStyle="Comma"/>
    <tableColumn id="6" xr3:uid="{19965FDF-7BBF-4CCF-AF9D-74EE43A59EAB}" name="kg CO2e of CO2 per unit" dataDxfId="568" dataCellStyle="Comma"/>
    <tableColumn id="7" xr3:uid="{6A4D3FEA-566C-4DF9-AE0D-601EFADD8E1B}" name="kg CO2e of CH4 per unit" dataDxfId="567" dataCellStyle="Comma"/>
    <tableColumn id="8" xr3:uid="{F2358282-E642-448F-96B3-39AD5F6E0625}" name="kg CO2e of N2O per unit" dataDxfId="566" dataCellStyle="Comma"/>
    <tableColumn id="12" xr3:uid="{2E599CF9-7878-4B8C-944C-C9B576B296CC}" name="kg CO2e 3.03 " dataDxfId="565" dataCellStyle="Comma"/>
    <tableColumn id="9" xr3:uid="{4187C742-67E4-4872-A358-457BA0C549B6}" name="Emission Factor Source" dataDxfId="564"/>
    <tableColumn id="10" xr3:uid="{8DB5A057-1844-4E78-AC8E-5503E07572C7}" name="Emission Factor Year" dataDxfId="563"/>
    <tableColumn id="11" xr3:uid="{869DF185-5DF1-40B6-8521-F42254E95821}" name="Emission Factor Link" dataDxfId="562"/>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26F7829D-3A3A-4959-89A2-75647FAF5ED8}" name="tbl_Business_Travel_Hotels" displayName="tbl_Business_Travel_Hotels" ref="B109:H147" totalsRowShown="0" headerRowDxfId="561" dataDxfId="559" headerRowBorderDxfId="560" tableBorderDxfId="558" totalsRowBorderDxfId="557">
  <autoFilter ref="B109:H147" xr:uid="{26F7829D-3A3A-4959-89A2-75647FAF5ED8}"/>
  <tableColumns count="7">
    <tableColumn id="1" xr3:uid="{4DA23119-4C4B-4640-8E55-05F4B274AE1C}" name="Activity" dataDxfId="556"/>
    <tableColumn id="2" xr3:uid="{46BC4E15-02BE-4963-B918-6D5D28E5D5C4}" name="Country" dataDxfId="555"/>
    <tableColumn id="3" xr3:uid="{9F0556ED-4EE1-4D4D-9161-BA2129AE6133}" name="Unit" dataDxfId="554"/>
    <tableColumn id="4" xr3:uid="{BD22F5B9-EAAF-470C-8D6C-A6C85CAFB62B}" name="kg CO2e" dataDxfId="553" dataCellStyle="Comma"/>
    <tableColumn id="5" xr3:uid="{594BB659-4553-4835-A5AF-056C54974AB1}" name="Emission Factor Source" dataDxfId="552"/>
    <tableColumn id="6" xr3:uid="{A13448F4-4E25-4807-B270-8E5674D5544F}" name="Emission Factor Year" dataDxfId="551"/>
    <tableColumn id="7" xr3:uid="{5EF4A82E-BFCD-43F6-ABB1-3D6D8127A3E7}" name="Emission Factor Link" dataDxfId="550"/>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370D070C-0499-44BF-A2BD-07800EF8A3B3}" name="tbl_Business_Travel_Spend" displayName="tbl_Business_Travel_Spend" ref="B149:FB155" totalsRowShown="0" headerRowDxfId="549" dataDxfId="547" headerRowBorderDxfId="548" tableBorderDxfId="546" totalsRowBorderDxfId="545">
  <autoFilter ref="B149:FB155" xr:uid="{370D070C-0499-44BF-A2BD-07800EF8A3B3}"/>
  <tableColumns count="157">
    <tableColumn id="1" xr3:uid="{D3B2938D-7D84-4120-AD1C-C5E9EA4E543A}" name="Travel Category" dataDxfId="544"/>
    <tableColumn id="2" xr3:uid="{FA213530-0750-4BE0-8102-9032FF7D756B}" name="CEDA Code" dataDxfId="543"/>
    <tableColumn id="3" xr3:uid="{558C7883-446D-4C91-9D7F-6C09EF8786C3}" name="CEDA Description" dataDxfId="542"/>
    <tableColumn id="4" xr3:uid="{3630E5CF-2AEF-458E-981D-ADD99DFB968B}" name="Afghanistan" dataDxfId="541" dataCellStyle="Comma"/>
    <tableColumn id="5" xr3:uid="{5F115593-6A58-4B74-9769-ADF5E96370BA}" name="Angola" dataDxfId="540" dataCellStyle="Comma"/>
    <tableColumn id="6" xr3:uid="{C1C45CE0-7292-4822-BC27-666FE136CB99}" name="Albania" dataDxfId="539" dataCellStyle="Comma"/>
    <tableColumn id="7" xr3:uid="{5FFC667C-5130-46EA-8ADD-6110547192AD}" name="United Arab Emirates" dataDxfId="538" dataCellStyle="Comma"/>
    <tableColumn id="8" xr3:uid="{4ADE917E-727A-481C-8B31-D51EB5C30C63}" name="Argentina" dataDxfId="537" dataCellStyle="Comma"/>
    <tableColumn id="9" xr3:uid="{44C5BF1B-2BEF-464E-AFFB-5805D075B44E}" name="Antigua and Barbuda" dataDxfId="536" dataCellStyle="Comma"/>
    <tableColumn id="10" xr3:uid="{E13A4707-8C4A-44A7-B46F-A40030ED7B87}" name="Australia" dataDxfId="535" dataCellStyle="Comma"/>
    <tableColumn id="11" xr3:uid="{090F887F-6B1E-459D-817C-38226CC675E4}" name="Austria" dataDxfId="534" dataCellStyle="Comma"/>
    <tableColumn id="12" xr3:uid="{39FFC42A-E3E9-45B8-BB5B-8F78ED06C212}" name="Burundi" dataDxfId="533" dataCellStyle="Comma"/>
    <tableColumn id="13" xr3:uid="{1D350C79-FFAE-4EAC-84D8-7D94143FE24E}" name="Belgium" dataDxfId="532" dataCellStyle="Comma"/>
    <tableColumn id="14" xr3:uid="{B586A729-C77F-47E4-8F54-AF7DCBCC5B5C}" name="Benin" dataDxfId="531" dataCellStyle="Comma"/>
    <tableColumn id="15" xr3:uid="{8887B535-2881-46C1-929D-FE0149E36059}" name="Burkina Faso" dataDxfId="530" dataCellStyle="Comma"/>
    <tableColumn id="16" xr3:uid="{A6684569-9EAA-4E80-8F38-D78EFF355F55}" name="Bangladesh" dataDxfId="529" dataCellStyle="Comma"/>
    <tableColumn id="17" xr3:uid="{BEED839B-55B2-45E0-962C-E9264295779B}" name="Bulgaria" dataDxfId="528" dataCellStyle="Comma"/>
    <tableColumn id="18" xr3:uid="{BE5918ED-784D-40ED-BB86-FAF2DC7640A1}" name="Bahrain" dataDxfId="527" dataCellStyle="Comma"/>
    <tableColumn id="19" xr3:uid="{22487DA8-7658-4954-8C95-FE6BC00D05A4}" name="Bahamas" dataDxfId="526" dataCellStyle="Comma"/>
    <tableColumn id="20" xr3:uid="{F5A08FE6-9464-4460-BCAF-26FCD01FCFE9}" name="Belize" dataDxfId="525" dataCellStyle="Comma"/>
    <tableColumn id="21" xr3:uid="{3BB7D1BA-9C04-45B7-A02C-FBB0AF7318FF}" name="Bolivia" dataDxfId="524" dataCellStyle="Comma"/>
    <tableColumn id="22" xr3:uid="{4D10C608-8B29-415C-A4E4-3A0C890F3BA1}" name="Brazil" dataDxfId="523" dataCellStyle="Comma"/>
    <tableColumn id="23" xr3:uid="{F304F8C6-5266-4E0F-BC36-42EA2D617F52}" name="Barbados" dataDxfId="522" dataCellStyle="Comma"/>
    <tableColumn id="24" xr3:uid="{C21A5695-50B0-462B-B63A-6E6A984D933D}" name="Bhutan" dataDxfId="521" dataCellStyle="Comma"/>
    <tableColumn id="25" xr3:uid="{EAAA33F1-0DB8-4FB4-B3A6-39152AEA5807}" name="Central African Republic" dataDxfId="520" dataCellStyle="Comma"/>
    <tableColumn id="26" xr3:uid="{B4E113EC-34AF-4431-94D3-A3A14404E005}" name="Canada" dataDxfId="519" dataCellStyle="Comma"/>
    <tableColumn id="27" xr3:uid="{353ABE86-5C4F-48BC-BC51-06E3B604A738}" name="Switzerland" dataDxfId="518" dataCellStyle="Comma"/>
    <tableColumn id="28" xr3:uid="{85C7CA13-69D3-427F-A35B-1EEE6E728F71}" name="Chile" dataDxfId="517" dataCellStyle="Comma"/>
    <tableColumn id="29" xr3:uid="{82A58976-9877-4FEE-8085-ABEC1B919371}" name="China" dataDxfId="516" dataCellStyle="Comma"/>
    <tableColumn id="30" xr3:uid="{E8EF2A27-8F66-4AEE-91D5-080ED784834C}" name="Cote d'Ivoire" dataDxfId="515" dataCellStyle="Comma"/>
    <tableColumn id="31" xr3:uid="{7F1083A5-0398-4E29-88B5-191CB3BADDD0}" name="Cameroon" dataDxfId="514" dataCellStyle="Comma"/>
    <tableColumn id="32" xr3:uid="{FC7605E4-31EF-47DC-9F46-E99A9AFD9D1B}" name="Congo" dataDxfId="513" dataCellStyle="Comma"/>
    <tableColumn id="33" xr3:uid="{0C604808-FCEF-42A4-9A59-B497119DC3CE}" name="Colombia" dataDxfId="512" dataCellStyle="Comma"/>
    <tableColumn id="34" xr3:uid="{0FC4EE3D-3759-4D5F-B967-51C10E870EBF}" name="Costa Rica" dataDxfId="511" dataCellStyle="Comma"/>
    <tableColumn id="35" xr3:uid="{E3535EBF-39DD-499B-AABB-44AB906203B5}" name="Cyprus" dataDxfId="510" dataCellStyle="Comma"/>
    <tableColumn id="36" xr3:uid="{30213C07-EFB9-4A41-8EAD-46D12A596894}" name="Czech Republic" dataDxfId="509" dataCellStyle="Comma"/>
    <tableColumn id="37" xr3:uid="{7F229854-2210-43CE-AF9B-7FF8C972FACE}" name="Germany" dataDxfId="508" dataCellStyle="Comma"/>
    <tableColumn id="38" xr3:uid="{ADC626E9-333F-4282-BE64-F872FE23F832}" name="Dominica" dataDxfId="507" dataCellStyle="Comma"/>
    <tableColumn id="39" xr3:uid="{11575AB5-2947-449D-B5BE-4C91A5083C53}" name="Denmark" dataDxfId="506" dataCellStyle="Comma"/>
    <tableColumn id="40" xr3:uid="{801A20CF-2DB6-4091-888B-646B6EDA8C11}" name="Dominican Republic" dataDxfId="505" dataCellStyle="Comma"/>
    <tableColumn id="41" xr3:uid="{2FD1A81A-2AEF-4337-8EE9-2939CDAF01C3}" name="Algeria" dataDxfId="504" dataCellStyle="Comma"/>
    <tableColumn id="42" xr3:uid="{26CFCDE5-49F1-49AE-8C0B-AF2EFE1785FB}" name="Ecuador" dataDxfId="503" dataCellStyle="Comma"/>
    <tableColumn id="43" xr3:uid="{3995FDC0-7651-4ED3-B853-D1CD2E861C0C}" name="Egypt" dataDxfId="502" dataCellStyle="Comma"/>
    <tableColumn id="44" xr3:uid="{DF2B96C8-4F1A-4FF1-8F7C-187F6311BD5F}" name="Spain" dataDxfId="501" dataCellStyle="Comma"/>
    <tableColumn id="45" xr3:uid="{FFDDC40C-8A30-45A2-8ACC-E63BFEE8046B}" name="Estonia" dataDxfId="500" dataCellStyle="Comma"/>
    <tableColumn id="46" xr3:uid="{01CAC4BC-936A-4C81-9138-1F232A9899C3}" name="Ethiopia" dataDxfId="499" dataCellStyle="Comma"/>
    <tableColumn id="47" xr3:uid="{E0B3D235-0D36-45C7-9006-A6C67DC9E133}" name="Finland" dataDxfId="498" dataCellStyle="Comma"/>
    <tableColumn id="48" xr3:uid="{D1251C09-350E-4EA0-B6A1-7F83F3A19F6E}" name="Fiji" dataDxfId="497" dataCellStyle="Comma"/>
    <tableColumn id="49" xr3:uid="{C3EA452B-5654-432C-9AAB-9BCDABF70645}" name="France" dataDxfId="496" dataCellStyle="Comma"/>
    <tableColumn id="50" xr3:uid="{FAA8DABF-C4FA-46AA-AA9D-4E003AEF313B}" name="Gabon" dataDxfId="495" dataCellStyle="Comma"/>
    <tableColumn id="51" xr3:uid="{A3A48981-D229-4620-81C3-3F1B172F5D6B}" name="United Kingdom" dataDxfId="494" dataCellStyle="Comma"/>
    <tableColumn id="52" xr3:uid="{089BA03E-9AFF-4859-A5F7-889D603532DA}" name="Guinea" dataDxfId="493" dataCellStyle="Comma"/>
    <tableColumn id="53" xr3:uid="{F8CA3031-567F-4E10-A345-BC310035CA1C}" name="Gambia" dataDxfId="492" dataCellStyle="Comma"/>
    <tableColumn id="54" xr3:uid="{62EAD179-3331-4F2F-8143-FF425852E8E1}" name="Guinea-Bissau" dataDxfId="491" dataCellStyle="Comma"/>
    <tableColumn id="55" xr3:uid="{030ED5DB-739A-4BC9-8DA6-9753631AC9C0}" name="Equatorial Guinea" dataDxfId="490" dataCellStyle="Comma"/>
    <tableColumn id="56" xr3:uid="{E6071BEA-780F-4B80-8AAA-C0093B71A153}" name="Greece" dataDxfId="489" dataCellStyle="Comma"/>
    <tableColumn id="57" xr3:uid="{22039774-61AB-4BE7-AF32-87B1A2060CFC}" name="Grenada" dataDxfId="488" dataCellStyle="Comma"/>
    <tableColumn id="58" xr3:uid="{000E529B-04EF-45C6-B231-408F8679B6DF}" name="Guatemala" dataDxfId="487" dataCellStyle="Comma"/>
    <tableColumn id="59" xr3:uid="{EA21FEC3-7F6E-4F05-A4B0-0742E512A79F}" name="Hong Kong, China" dataDxfId="486" dataCellStyle="Comma"/>
    <tableColumn id="60" xr3:uid="{7714B754-A89C-4C1F-B1DF-06E3373F7FA3}" name="Honduras" dataDxfId="485" dataCellStyle="Comma"/>
    <tableColumn id="61" xr3:uid="{BAC70F8C-22F8-4372-8867-E8A4FF8E9628}" name="Croatia" dataDxfId="484" dataCellStyle="Comma"/>
    <tableColumn id="62" xr3:uid="{A6BAD646-FDA5-47A7-B95F-C41373F2B642}" name="Haiti" dataDxfId="483" dataCellStyle="Comma"/>
    <tableColumn id="63" xr3:uid="{A6193A3E-59C4-4FD5-8D06-49288A8EA661}" name="Hungary" dataDxfId="482" dataCellStyle="Comma"/>
    <tableColumn id="64" xr3:uid="{1BB1A18C-BB70-43E8-97E1-8111965E1669}" name="Indonesia" dataDxfId="481" dataCellStyle="Comma"/>
    <tableColumn id="65" xr3:uid="{B6055D90-4E8A-4565-B3F2-4B28BB283C5B}" name="India" dataDxfId="480" dataCellStyle="Comma"/>
    <tableColumn id="66" xr3:uid="{E8678A7E-D8C0-4983-95E7-EE7DF0F05B2C}" name="Ireland" dataDxfId="479" dataCellStyle="Comma"/>
    <tableColumn id="67" xr3:uid="{9EE106F2-C440-4CC0-B767-35569DAA9DDC}" name="Iran, Islamic Republic of" dataDxfId="478" dataCellStyle="Comma"/>
    <tableColumn id="68" xr3:uid="{F9118027-B786-4DB9-BF81-DC5157834FA7}" name="Iraq" dataDxfId="477" dataCellStyle="Comma"/>
    <tableColumn id="69" xr3:uid="{C9FB1639-033C-4D1A-9134-62F0EC5B878C}" name="Iceland" dataDxfId="476" dataCellStyle="Comma"/>
    <tableColumn id="70" xr3:uid="{8107CD02-E585-4065-8576-3D98D84D0075}" name="Israel" dataDxfId="475" dataCellStyle="Comma"/>
    <tableColumn id="71" xr3:uid="{84E5C34A-221A-4C38-8433-074087153A42}" name="Italy" dataDxfId="474" dataCellStyle="Comma"/>
    <tableColumn id="72" xr3:uid="{1F714EE8-47F9-40FE-ACE1-429C51EF4AD2}" name="Jamaica" dataDxfId="473" dataCellStyle="Comma"/>
    <tableColumn id="73" xr3:uid="{2FBA897E-D1D0-4BB0-ADDE-DD52EF3EA1AB}" name="Jordan" dataDxfId="472" dataCellStyle="Comma"/>
    <tableColumn id="74" xr3:uid="{405F92F7-B13A-4600-9944-CFB73F2E1E3C}" name="Japan" dataDxfId="471" dataCellStyle="Comma"/>
    <tableColumn id="75" xr3:uid="{C4401A0F-2567-4A8A-BE62-B23F9EFBA4A7}" name="Kazakhstan" dataDxfId="470" dataCellStyle="Comma"/>
    <tableColumn id="76" xr3:uid="{9980DAA2-4C3A-440D-9ABB-3B46A75DB6C8}" name="Kenya" dataDxfId="469" dataCellStyle="Comma"/>
    <tableColumn id="77" xr3:uid="{4E74D77F-6EB1-4F33-83FA-EE0BE15418B0}" name="Cambodia" dataDxfId="468" dataCellStyle="Comma"/>
    <tableColumn id="78" xr3:uid="{CE796795-C0CB-4922-BC7B-78AA1BD19286}" name="Kiribati" dataDxfId="467" dataCellStyle="Comma"/>
    <tableColumn id="79" xr3:uid="{76D0CC38-8215-4DCB-ADE0-7C05AFB75D13}" name="Saint Kitts and Nevis" dataDxfId="466" dataCellStyle="Comma"/>
    <tableColumn id="80" xr3:uid="{80CFC23B-C703-4149-83E6-1996E17595FA}" name="South Korea" dataDxfId="465" dataCellStyle="Comma"/>
    <tableColumn id="81" xr3:uid="{4D283542-1D49-4FED-ADD4-F52A93262264}" name="Kuwait" dataDxfId="464" dataCellStyle="Comma"/>
    <tableColumn id="82" xr3:uid="{AF3F09EC-24C1-4C1F-90CC-ABFA6E22FBDC}" name="Lao People’s Democratic Rep." dataDxfId="463" dataCellStyle="Comma"/>
    <tableColumn id="83" xr3:uid="{E2FA6CBB-C470-42BE-AF35-D37E8275A2DF}" name="Lebanon" dataDxfId="462" dataCellStyle="Comma"/>
    <tableColumn id="84" xr3:uid="{F7FF7CB5-06F7-4EFF-B284-708B0CFFEE8B}" name="Saint Lucia" dataDxfId="461" dataCellStyle="Comma"/>
    <tableColumn id="85" xr3:uid="{64438EE5-F6EA-46F4-B90B-6E0FCA2380B0}" name="Sri Lanka" dataDxfId="460" dataCellStyle="Comma"/>
    <tableColumn id="86" xr3:uid="{9D824EC5-D456-41F8-8269-0748DFAC8F45}" name="Lesotho" dataDxfId="459" dataCellStyle="Comma"/>
    <tableColumn id="87" xr3:uid="{840FFDC4-F8CE-431E-8AD1-6C698CD81C85}" name="Lithuania" dataDxfId="458" dataCellStyle="Comma"/>
    <tableColumn id="88" xr3:uid="{DBBF85B7-B3B3-4D86-BA12-90D89D3AB892}" name="Luxembourg" dataDxfId="457" dataCellStyle="Comma"/>
    <tableColumn id="89" xr3:uid="{CF5DD151-2DC0-4346-B587-D81FC36BC01A}" name="Latvia" dataDxfId="456" dataCellStyle="Comma"/>
    <tableColumn id="90" xr3:uid="{86282F88-2A45-4A55-8DC2-8A420756D34B}" name="Morocco" dataDxfId="455" dataCellStyle="Comma"/>
    <tableColumn id="91" xr3:uid="{2D07B75E-A9FF-468F-9AB3-4A2D2A4E5F83}" name="Moldova, Republic of" dataDxfId="454" dataCellStyle="Comma"/>
    <tableColumn id="92" xr3:uid="{D3824B2E-8CDD-4C13-BEA5-DDC0C722EABD}" name="Maldives" dataDxfId="453" dataCellStyle="Comma"/>
    <tableColumn id="93" xr3:uid="{3F73A20A-BFDA-4C2C-8105-1084A66E1D02}" name="Mexico" dataDxfId="452" dataCellStyle="Comma"/>
    <tableColumn id="94" xr3:uid="{DFF4D5F8-C5DB-4D68-B7F5-A175187BA70C}" name="Macedonia, the former Yugoslav Republic of" dataDxfId="451" dataCellStyle="Comma"/>
    <tableColumn id="95" xr3:uid="{9435EA65-CE2A-4B6F-BE1D-A78DA736C01A}" name="Mali" dataDxfId="450" dataCellStyle="Comma"/>
    <tableColumn id="96" xr3:uid="{8B783F88-E922-4CCF-AA4E-E4F68B8C0956}" name="Malta" dataDxfId="449" dataCellStyle="Comma"/>
    <tableColumn id="97" xr3:uid="{C6E9B08B-7268-43EF-94AF-D5AACB368DA6}" name="Myanmar" dataDxfId="448" dataCellStyle="Comma"/>
    <tableColumn id="98" xr3:uid="{3CC87FF3-4265-4134-87AB-23DBA343ACF0}" name="Mongolia" dataDxfId="447" dataCellStyle="Comma"/>
    <tableColumn id="99" xr3:uid="{A30FFFB8-0D6D-466D-A0F6-3EF83FC98AC0}" name="Mauritius" dataDxfId="446" dataCellStyle="Comma"/>
    <tableColumn id="100" xr3:uid="{B0D39002-BFB6-44A3-9EB2-36B1627C67D2}" name="Malawi" dataDxfId="445" dataCellStyle="Comma"/>
    <tableColumn id="101" xr3:uid="{2A34756C-5477-4889-B7D7-74D017BD5E17}" name="Malaysia" dataDxfId="444" dataCellStyle="Comma"/>
    <tableColumn id="102" xr3:uid="{E72471F0-2596-4C73-8057-4E8DD7AE1121}" name="Namibia" dataDxfId="443" dataCellStyle="Comma"/>
    <tableColumn id="103" xr3:uid="{67A86F6C-14C6-4042-852A-E82D15CB1195}" name="Niger" dataDxfId="442" dataCellStyle="Comma"/>
    <tableColumn id="104" xr3:uid="{865DAD5B-D4E1-4718-8EFE-66C37BA8036C}" name="Nigeria" dataDxfId="441" dataCellStyle="Comma"/>
    <tableColumn id="105" xr3:uid="{AD381812-C5D0-4562-AF54-FE83379ED884}" name="Nicaragua" dataDxfId="440" dataCellStyle="Comma"/>
    <tableColumn id="106" xr3:uid="{56413AF2-0487-4646-B424-F1861B98240B}" name="Netherlands" dataDxfId="439" dataCellStyle="Comma"/>
    <tableColumn id="107" xr3:uid="{6A11BE5F-04E8-4CFF-87A1-7EE25E2AFBD3}" name="Norway" dataDxfId="438" dataCellStyle="Comma"/>
    <tableColumn id="108" xr3:uid="{32228F12-4886-47BB-B76C-16C9DD0D767B}" name="Nepal" dataDxfId="437" dataCellStyle="Comma"/>
    <tableColumn id="109" xr3:uid="{53A34D09-E18C-469B-BC52-8A74CB748036}" name="Nauru" dataDxfId="436" dataCellStyle="Comma"/>
    <tableColumn id="110" xr3:uid="{584B268C-7CE5-4BF6-8F3D-A4D1DB3A24BA}" name="New Zealand" dataDxfId="435" dataCellStyle="Comma"/>
    <tableColumn id="111" xr3:uid="{A4E8FD00-06C2-4686-9A26-0D15698ABC92}" name="Oman" dataDxfId="434" dataCellStyle="Comma"/>
    <tableColumn id="112" xr3:uid="{D5F4CEF0-34AF-470D-8000-0AF9E9D7D53A}" name="Pakistan" dataDxfId="433" dataCellStyle="Comma"/>
    <tableColumn id="113" xr3:uid="{163AB12A-F7EC-4B4B-84A9-D9A35B195B99}" name="Peru" dataDxfId="432" dataCellStyle="Comma"/>
    <tableColumn id="114" xr3:uid="{7F747B6C-51C7-42E7-9DD3-00825007BE9E}" name="Philippines" dataDxfId="431" dataCellStyle="Comma"/>
    <tableColumn id="115" xr3:uid="{C1B008A2-1854-4A2E-91BF-18B4B3464C87}" name="Papua New Guinea" dataDxfId="430" dataCellStyle="Comma"/>
    <tableColumn id="116" xr3:uid="{46D34996-9513-4B7E-B458-DA5425953CFB}" name="Poland" dataDxfId="429" dataCellStyle="Comma"/>
    <tableColumn id="117" xr3:uid="{30495046-4F83-4C21-9ED7-AF38BD6C468B}" name="Portugal" dataDxfId="428" dataCellStyle="Comma"/>
    <tableColumn id="118" xr3:uid="{02FAD2EA-561C-4E95-881E-D9FF5A20215E}" name="Paraguay" dataDxfId="427" dataCellStyle="Comma"/>
    <tableColumn id="119" xr3:uid="{5C67D07E-71D6-4CB8-9521-E3C7EA70A58F}" name="Qatar" dataDxfId="426" dataCellStyle="Comma"/>
    <tableColumn id="120" xr3:uid="{8B9E020D-E938-407E-861D-A616FA348C1B}" name="Romania" dataDxfId="425" dataCellStyle="Comma"/>
    <tableColumn id="121" xr3:uid="{08CCADD7-C278-472D-ACE8-C15130CD5149}" name="Rest of World" dataDxfId="424" dataCellStyle="Comma"/>
    <tableColumn id="122" xr3:uid="{F6C8E2D2-5787-41F1-95E6-BE2BB0339D4F}" name="Russian Federation" dataDxfId="423" dataCellStyle="Comma"/>
    <tableColumn id="123" xr3:uid="{045AF5AE-77F2-46DF-A6EF-FC0534873221}" name="Rwanda" dataDxfId="422" dataCellStyle="Comma"/>
    <tableColumn id="124" xr3:uid="{DAE20F4E-B02D-4ACC-ACF5-42F79AC3B0B7}" name="Saudi Arabia" dataDxfId="421" dataCellStyle="Comma"/>
    <tableColumn id="125" xr3:uid="{DF586BB8-EA3E-426A-B7E2-C1BF3A5C8270}" name="Senegal" dataDxfId="420" dataCellStyle="Comma"/>
    <tableColumn id="126" xr3:uid="{18CAD03B-ED24-4F05-850E-7BAAA965F1F8}" name="Singapore" dataDxfId="419" dataCellStyle="Comma"/>
    <tableColumn id="127" xr3:uid="{914E5175-6933-46D8-8702-9ECAC07CB297}" name="Solomon Islands" dataDxfId="418" dataCellStyle="Comma"/>
    <tableColumn id="128" xr3:uid="{441E5D96-6205-43C5-9D36-15CBB0AFA98E}" name="Sierra Leone" dataDxfId="417" dataCellStyle="Comma"/>
    <tableColumn id="129" xr3:uid="{6506E2B6-F035-4F0C-AD47-84D61ABF2E05}" name="El Salvador" dataDxfId="416" dataCellStyle="Comma"/>
    <tableColumn id="130" xr3:uid="{2096C168-90DC-4825-9596-A60E4EA091B3}" name="Slovak Republic" dataDxfId="415" dataCellStyle="Comma"/>
    <tableColumn id="131" xr3:uid="{6FBFCB2B-DED2-4CE0-9F2A-822D48B99081}" name="Slovenia" dataDxfId="414" dataCellStyle="Comma"/>
    <tableColumn id="132" xr3:uid="{AFE2CBFD-D2E4-459A-9D34-CC1819D5354D}" name="Sweden" dataDxfId="413" dataCellStyle="Comma"/>
    <tableColumn id="133" xr3:uid="{C0BD28EA-86C3-401C-A4E5-5648E942A967}" name="Swaziland" dataDxfId="412" dataCellStyle="Comma"/>
    <tableColumn id="134" xr3:uid="{9660B5A6-81AD-4CDA-9A0F-6DF0BE944758}" name="Seychelles" dataDxfId="411" dataCellStyle="Comma"/>
    <tableColumn id="135" xr3:uid="{497E0855-E7DB-4977-974E-6FBAAA056C7E}" name="Chad" dataDxfId="410" dataCellStyle="Comma"/>
    <tableColumn id="136" xr3:uid="{9F259F6D-C32C-4835-B166-84511EE380CA}" name="Togo" dataDxfId="409" dataCellStyle="Comma"/>
    <tableColumn id="137" xr3:uid="{E844D86B-E4AA-4174-AD28-BF4ABAA0317F}" name="Thailand" dataDxfId="408" dataCellStyle="Comma"/>
    <tableColumn id="138" xr3:uid="{47D20B79-9312-4D3C-976E-4705EECD1EED}" name="Timor-Leste" dataDxfId="407" dataCellStyle="Comma"/>
    <tableColumn id="139" xr3:uid="{6E461994-E000-4C4B-9FC8-45665A8B6D68}" name="Trinidad and Tobago" dataDxfId="406" dataCellStyle="Comma"/>
    <tableColumn id="140" xr3:uid="{3E0D7E64-5DF8-4428-B8A1-76A643CEFC6E}" name="Tunisia" dataDxfId="405" dataCellStyle="Comma"/>
    <tableColumn id="141" xr3:uid="{F36167A6-186A-46EC-8002-865792E66256}" name="Turkey" dataDxfId="404" dataCellStyle="Comma"/>
    <tableColumn id="142" xr3:uid="{62EF0888-514E-4E7A-ACCB-48990E979FE1}" name="Chinese Taipei" dataDxfId="403" dataCellStyle="Comma"/>
    <tableColumn id="143" xr3:uid="{EF3EF077-D1EA-4178-BC37-242900F82D15}" name="Tanzania_United Republic of" dataDxfId="402" dataCellStyle="Comma"/>
    <tableColumn id="144" xr3:uid="{64BF33ED-7F86-4AE6-A1E0-94086AC0A976}" name="Uganda" dataDxfId="401" dataCellStyle="Comma"/>
    <tableColumn id="145" xr3:uid="{C2A2ED25-788F-438C-AF30-5F0458BA3458}" name="Ukraine" dataDxfId="400" dataCellStyle="Comma"/>
    <tableColumn id="146" xr3:uid="{E3DB002E-6C66-48FB-9928-67FDB2532DD8}" name="Uruguay" dataDxfId="399" dataCellStyle="Comma"/>
    <tableColumn id="147" xr3:uid="{66B0DA67-5E08-4269-9975-50E5C6E3AF11}" name="United States" dataDxfId="398" dataCellStyle="Comma"/>
    <tableColumn id="148" xr3:uid="{911C60AD-2FB0-427E-8B29-5BD369C7A512}" name="Saint Vincent and the Grenadines" dataDxfId="397" dataCellStyle="Comma"/>
    <tableColumn id="149" xr3:uid="{87F1FBC6-DB09-435E-A5B0-9ACD78161162}" name="Viet Nam" dataDxfId="396" dataCellStyle="Comma"/>
    <tableColumn id="150" xr3:uid="{D6EECB9B-FD7E-471D-9BD3-46CFC1F1D682}" name="Vanuatu" dataDxfId="395" dataCellStyle="Comma"/>
    <tableColumn id="151" xr3:uid="{413974AB-6B52-4814-9EF3-32D51DA792F2}" name="Samoa" dataDxfId="394" dataCellStyle="Comma"/>
    <tableColumn id="152" xr3:uid="{A345DD20-D257-4A50-9937-A604BA411A95}" name="South Africa" dataDxfId="393" dataCellStyle="Comma"/>
    <tableColumn id="153" xr3:uid="{F1540EC7-E08E-443B-90FB-3D159D699AB9}" name="Median Value" dataDxfId="392" dataCellStyle="Comma">
      <calculatedColumnFormula>MEDIAN(tbl_Business_Travel_Spend[[#This Row],[Afghanistan]:[South Africa]])</calculatedColumnFormula>
    </tableColumn>
    <tableColumn id="154" xr3:uid="{05D3A23C-2581-4E02-A417-8EA4E4AAECE2}" name="Year" dataDxfId="391"/>
    <tableColumn id="155" xr3:uid="{205026EA-BFF1-41F6-AC63-C657C791C5C7}" name="Currency" dataDxfId="390"/>
    <tableColumn id="156" xr3:uid="{08DCFF5D-81F8-4184-A506-E76059852189}" name="Link" dataDxfId="389"/>
    <tableColumn id="157" xr3:uid="{ACDB7D90-95BB-462E-9B36-927087A97009}" name="EF Provider" dataDxfId="388"/>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6DF2174C-DEA9-4A55-9462-0029CCC10A22}" name="tbl_Commuting_EFs" displayName="tbl_Commuting_EFs" ref="B160:M164" totalsRowShown="0" headerRowDxfId="387" dataDxfId="385" headerRowBorderDxfId="386" tableBorderDxfId="384" totalsRowBorderDxfId="383">
  <autoFilter ref="B160:M164" xr:uid="{6DF2174C-DEA9-4A55-9462-0029CCC10A22}"/>
  <tableColumns count="12">
    <tableColumn id="1" xr3:uid="{12A164A4-5348-4034-B386-B2D52E81005D}" name="Transport Mode" dataDxfId="382"/>
    <tableColumn id="2" xr3:uid="{5698DBA5-3153-4B88-B685-C37D04593963}" name="DEFRA Factor Name" dataDxfId="381"/>
    <tableColumn id="3" xr3:uid="{862E3007-CF6D-4D99-9AC1-58082559DD82}" name="Unit" dataDxfId="380"/>
    <tableColumn id="4" xr3:uid="{2D6DE85C-D7D9-47F2-95C4-EFE8BF979EAA}" name="kg CO2e" dataDxfId="379" dataCellStyle="Comma"/>
    <tableColumn id="5" xr3:uid="{D5D95377-82AE-4859-A45C-71B95F6C0A51}" name="kg CO2e including WTT" dataDxfId="378" dataCellStyle="Comma">
      <calculatedColumnFormula>E161+J161</calculatedColumnFormula>
    </tableColumn>
    <tableColumn id="6" xr3:uid="{F1D70E36-B7DC-4D3E-9033-00FD1FBB0E90}" name="kg CO2e of CO2 per unit" dataDxfId="377" dataCellStyle="Comma"/>
    <tableColumn id="7" xr3:uid="{2D56FEE6-F573-4F18-879D-EB57B2B1DB41}" name="kg CO2e of CH4 per unit" dataDxfId="376" dataCellStyle="Comma"/>
    <tableColumn id="8" xr3:uid="{C7A6F3B4-CCC1-445B-8627-7E78670D9042}" name="kg CO2e of N2O per unit" dataDxfId="375" dataCellStyle="Comma"/>
    <tableColumn id="9" xr3:uid="{B25353CA-3053-4EE4-A6DE-B65A70188381}" name="Downstream" dataDxfId="374" dataCellStyle="Comma"/>
    <tableColumn id="10" xr3:uid="{F9835BC7-D01E-4E75-94CE-BAEC4632FCF0}" name="Emission Factor Source" dataDxfId="373"/>
    <tableColumn id="11" xr3:uid="{431FDF1A-6896-4E13-8B13-814B773FB18B}" name="Emission Factor Year" dataDxfId="372"/>
    <tableColumn id="12" xr3:uid="{4AF55FD3-2641-4D5F-B5CD-72D233D8573A}" name="Emission Factor Link" dataDxfId="371"/>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71849CCB-6525-4842-B63E-673423745151}" name="tbl_Upstream_Assets_EF" displayName="tbl_Upstream_Assets_EF" ref="B169:FB177" totalsRowShown="0" headerRowDxfId="370" headerRowBorderDxfId="369" tableBorderDxfId="368">
  <autoFilter ref="B169:FB177" xr:uid="{71849CCB-6525-4842-B63E-673423745151}"/>
  <tableColumns count="157">
    <tableColumn id="1" xr3:uid="{0DF8300D-8923-4210-B74B-72B0C34AF437}" name="EF Category" dataDxfId="367"/>
    <tableColumn id="2" xr3:uid="{FC539A9B-A3C4-46D5-ADBD-D9E56B14FE89}" name="CEDA Code" dataDxfId="366"/>
    <tableColumn id="3" xr3:uid="{C0843B19-57F4-4357-9BA4-141A9CA5E76D}" name="CEDA Description" dataDxfId="365"/>
    <tableColumn id="4" xr3:uid="{B0C9414F-09DA-45C1-BE46-24F6416F2075}" name="Afghanistan" dataDxfId="364" dataCellStyle="Comma"/>
    <tableColumn id="5" xr3:uid="{50C23CEC-8309-4FD1-A1D4-A12B9B743DE9}" name="Angola" dataDxfId="363" dataCellStyle="Comma"/>
    <tableColumn id="6" xr3:uid="{E5C79C64-D880-448F-9088-16EBB9BDACCC}" name="Albania" dataDxfId="362" dataCellStyle="Comma"/>
    <tableColumn id="7" xr3:uid="{A7107267-41C2-48CC-B2D8-DB3C2A9F74E5}" name="United Arab Emirates" dataDxfId="361" dataCellStyle="Comma"/>
    <tableColumn id="8" xr3:uid="{CD389D31-70AD-47AF-9AFE-E8D525090095}" name="Argentina" dataDxfId="360" dataCellStyle="Comma"/>
    <tableColumn id="9" xr3:uid="{C377DC85-8876-44CF-9698-9AB329937990}" name="Antigua and Barbuda" dataDxfId="359" dataCellStyle="Comma"/>
    <tableColumn id="10" xr3:uid="{CC458250-4E34-4B15-9ECA-523F83B36A6E}" name="Australia" dataDxfId="358" dataCellStyle="Comma"/>
    <tableColumn id="11" xr3:uid="{D0819A0E-A81D-4D02-8E8C-1835C0038084}" name="Austria" dataDxfId="357" dataCellStyle="Comma"/>
    <tableColumn id="12" xr3:uid="{E3FB7BE4-F05B-4572-930F-DD622D9321CA}" name="Burundi" dataDxfId="356" dataCellStyle="Comma"/>
    <tableColumn id="13" xr3:uid="{39416D0E-4CBD-41F5-BD73-779879AD5DB6}" name="Belgium" dataDxfId="355" dataCellStyle="Comma"/>
    <tableColumn id="14" xr3:uid="{0F00C790-F808-4432-B85C-1003ED735D15}" name="Benin" dataDxfId="354" dataCellStyle="Comma"/>
    <tableColumn id="15" xr3:uid="{623F9787-77C1-467C-A723-3F94F8B027BE}" name="Burkina Faso" dataDxfId="353" dataCellStyle="Comma"/>
    <tableColumn id="16" xr3:uid="{3D0A866D-EB3C-4897-B464-EDE8B59A47DB}" name="Bangladesh" dataDxfId="352" dataCellStyle="Comma"/>
    <tableColumn id="17" xr3:uid="{FECD84AD-2840-4AB4-B182-0CCDE952405F}" name="Bulgaria" dataDxfId="351" dataCellStyle="Comma"/>
    <tableColumn id="18" xr3:uid="{011B23D6-4561-48EC-9A05-83AE37EF6D47}" name="Bahrain" dataDxfId="350" dataCellStyle="Comma"/>
    <tableColumn id="19" xr3:uid="{FBDAC24D-C74E-43FA-87BD-BD023366E607}" name="Bahamas" dataDxfId="349" dataCellStyle="Comma"/>
    <tableColumn id="20" xr3:uid="{61ECC5E5-3404-42BE-9C03-7A760FFA8684}" name="Belize" dataDxfId="348" dataCellStyle="Comma"/>
    <tableColumn id="21" xr3:uid="{0BD7AE6B-1079-4B12-83E4-5B41F9E4737C}" name="Bolivia" dataDxfId="347" dataCellStyle="Comma"/>
    <tableColumn id="22" xr3:uid="{6364A516-0CEC-4EE9-A258-D6B30F4509A9}" name="Brazil" dataDxfId="346" dataCellStyle="Comma"/>
    <tableColumn id="23" xr3:uid="{ACF20CF8-0A2A-4B51-A80A-D674FBFD569D}" name="Barbados" dataDxfId="345" dataCellStyle="Comma"/>
    <tableColumn id="24" xr3:uid="{55CEB5EC-D67A-4B82-A582-67BB1100C94C}" name="Bhutan" dataDxfId="344" dataCellStyle="Comma"/>
    <tableColumn id="25" xr3:uid="{5127ACC0-4C89-4B12-A905-A8216E00C4C2}" name="Central African Republic" dataDxfId="343" dataCellStyle="Comma"/>
    <tableColumn id="26" xr3:uid="{87AE6467-D503-484A-863B-0810A721D79D}" name="Canada" dataDxfId="342" dataCellStyle="Comma"/>
    <tableColumn id="27" xr3:uid="{B17093A0-68E0-4AB7-A039-7A95271F1265}" name="Switzerland" dataDxfId="341" dataCellStyle="Comma"/>
    <tableColumn id="28" xr3:uid="{C4BF8E46-AE99-45CD-A33A-064E0FB650C8}" name="Chile" dataDxfId="340" dataCellStyle="Comma"/>
    <tableColumn id="29" xr3:uid="{BACC5BA6-D113-40A4-A200-3E7EE9357FC1}" name="China" dataDxfId="339" dataCellStyle="Comma"/>
    <tableColumn id="30" xr3:uid="{32BA1DED-CC89-46B9-91D0-E32332A64D7B}" name="Cote d'Ivoire" dataDxfId="338" dataCellStyle="Comma"/>
    <tableColumn id="31" xr3:uid="{90A3AD1D-92E6-407E-824A-4C62F85601B3}" name="Cameroon" dataDxfId="337" dataCellStyle="Comma"/>
    <tableColumn id="32" xr3:uid="{17D1301E-B7FE-4C0F-8DA1-B8E3DF4AC879}" name="Congo" dataDxfId="336" dataCellStyle="Comma"/>
    <tableColumn id="33" xr3:uid="{CBEFAAD1-1D7B-45FF-8311-99F4088D536C}" name="Colombia" dataDxfId="335" dataCellStyle="Comma"/>
    <tableColumn id="34" xr3:uid="{AE82C85B-0256-46FC-991C-92DE14D7E241}" name="Costa Rica" dataDxfId="334" dataCellStyle="Comma"/>
    <tableColumn id="35" xr3:uid="{50C85DA1-41FD-41C8-8868-8723C7CB3FCD}" name="Cyprus" dataDxfId="333" dataCellStyle="Comma"/>
    <tableColumn id="36" xr3:uid="{AD59FE70-2B55-4FB5-8846-4CD559FE0114}" name="Czech Republic" dataDxfId="332" dataCellStyle="Comma"/>
    <tableColumn id="37" xr3:uid="{ACBA54C4-BFAF-46FE-9A86-7380294E7D10}" name="Germany" dataDxfId="331" dataCellStyle="Comma"/>
    <tableColumn id="38" xr3:uid="{1F714A4F-391F-4B43-A074-000756C66475}" name="Dominica" dataDxfId="330" dataCellStyle="Comma"/>
    <tableColumn id="39" xr3:uid="{C26BB193-518A-4BB1-BC25-CC868D5C8FEA}" name="Denmark" dataDxfId="329" dataCellStyle="Comma"/>
    <tableColumn id="40" xr3:uid="{802C776E-B164-420F-8A05-AF58E7DA6B0A}" name="Dominican Republic" dataDxfId="328" dataCellStyle="Comma"/>
    <tableColumn id="41" xr3:uid="{3CCDAC57-D3D3-4EF7-B6D5-2B45B82C7BB5}" name="Algeria" dataDxfId="327" dataCellStyle="Comma"/>
    <tableColumn id="42" xr3:uid="{AB438047-4A9A-4EA4-9337-8D1C5EC1DD7F}" name="Ecuador" dataDxfId="326" dataCellStyle="Comma"/>
    <tableColumn id="43" xr3:uid="{47F4AA5B-B354-41EC-B053-3D8E278CB6C8}" name="Egypt" dataDxfId="325" dataCellStyle="Comma"/>
    <tableColumn id="44" xr3:uid="{BAF141F9-A840-4155-86D3-A8905B369427}" name="Spain" dataDxfId="324" dataCellStyle="Comma"/>
    <tableColumn id="45" xr3:uid="{4031E0A6-CDD4-4A58-A6EB-FADDA16E8CB8}" name="Estonia" dataDxfId="323" dataCellStyle="Comma"/>
    <tableColumn id="46" xr3:uid="{DA9034D1-6A56-4F29-9F35-3D2D697496ED}" name="Ethiopia" dataDxfId="322" dataCellStyle="Comma"/>
    <tableColumn id="47" xr3:uid="{CF3AB1FB-9DF3-4D36-A328-344FB15319CF}" name="Finland" dataDxfId="321" dataCellStyle="Comma"/>
    <tableColumn id="48" xr3:uid="{498F8AD7-F592-4FB0-B687-870BE72DC467}" name="Fiji" dataDxfId="320" dataCellStyle="Comma"/>
    <tableColumn id="49" xr3:uid="{6CC373E3-F98D-4107-BFF1-44B21F8CEAF8}" name="France" dataDxfId="319" dataCellStyle="Comma"/>
    <tableColumn id="50" xr3:uid="{AB3A37CA-2181-4FD4-9607-9F932E1719F8}" name="Gabon" dataDxfId="318" dataCellStyle="Comma"/>
    <tableColumn id="51" xr3:uid="{BCC058D1-C953-49F1-8867-1FB4861C7C69}" name="United Kingdom" dataDxfId="317" dataCellStyle="Comma"/>
    <tableColumn id="52" xr3:uid="{56638C77-252D-4001-8E5F-47D89C34D545}" name="Guinea" dataDxfId="316" dataCellStyle="Comma"/>
    <tableColumn id="53" xr3:uid="{598CE4C0-08E3-4154-AE9A-0810D78A34D1}" name="Gambia" dataDxfId="315" dataCellStyle="Comma"/>
    <tableColumn id="54" xr3:uid="{B5218AD8-D2A8-4D6E-B1BC-68D46382993B}" name="Guinea-Bissau" dataDxfId="314" dataCellStyle="Comma"/>
    <tableColumn id="55" xr3:uid="{D35EFF3A-FE38-4003-8302-DFC9B722445B}" name="Equatorial Guinea" dataDxfId="313" dataCellStyle="Comma"/>
    <tableColumn id="56" xr3:uid="{D1E39F12-3E07-4B35-AECF-366810F92391}" name="Greece" dataDxfId="312" dataCellStyle="Comma"/>
    <tableColumn id="57" xr3:uid="{8FA0452A-30C7-40F5-9491-1E4BEBC52C7F}" name="Grenada" dataDxfId="311" dataCellStyle="Comma"/>
    <tableColumn id="58" xr3:uid="{576E4E0E-AA11-4EF8-8C68-9A4117424096}" name="Guatemala" dataDxfId="310" dataCellStyle="Comma"/>
    <tableColumn id="59" xr3:uid="{8923FC79-8068-4B03-97DC-AEE12A266DDC}" name="Hong Kong, China" dataDxfId="309" dataCellStyle="Comma"/>
    <tableColumn id="60" xr3:uid="{76997939-EC83-482B-AEDE-FA7E74E76FBD}" name="Honduras" dataDxfId="308" dataCellStyle="Comma"/>
    <tableColumn id="61" xr3:uid="{950ACE30-4EBE-4D61-A8FB-8914A69D3B02}" name="Croatia" dataDxfId="307" dataCellStyle="Comma"/>
    <tableColumn id="62" xr3:uid="{062B8181-9012-4513-9418-82CF726ED903}" name="Haiti" dataDxfId="306" dataCellStyle="Comma"/>
    <tableColumn id="63" xr3:uid="{1F3EB5AB-A8E8-4053-B5D2-38F784B96B0D}" name="Hungary" dataDxfId="305" dataCellStyle="Comma"/>
    <tableColumn id="64" xr3:uid="{437ABD0C-BF06-4841-807B-EC82367B4CBF}" name="Indonesia" dataDxfId="304" dataCellStyle="Comma"/>
    <tableColumn id="65" xr3:uid="{FBE62AC7-ED88-4E07-A1C7-802AF68183E2}" name="India" dataDxfId="303" dataCellStyle="Comma"/>
    <tableColumn id="66" xr3:uid="{5078F2CC-1A1C-43E5-9B2C-55950617FB97}" name="Ireland" dataDxfId="302" dataCellStyle="Comma"/>
    <tableColumn id="67" xr3:uid="{FE30A562-640C-4761-9802-A13CB22EADE3}" name="Iran, Islamic Republic of" dataDxfId="301" dataCellStyle="Comma"/>
    <tableColumn id="68" xr3:uid="{8DFDA914-D42F-4E54-8911-64356454D676}" name="Iraq" dataDxfId="300" dataCellStyle="Comma"/>
    <tableColumn id="69" xr3:uid="{B427A3A9-17E6-45C7-85CB-5A88118B3403}" name="Iceland" dataDxfId="299" dataCellStyle="Comma"/>
    <tableColumn id="70" xr3:uid="{59C6F80E-DF7F-4EBE-9B9C-EB126756E7D7}" name="Israel" dataDxfId="298" dataCellStyle="Comma"/>
    <tableColumn id="71" xr3:uid="{BB836239-7254-413C-A305-65927E279332}" name="Italy" dataDxfId="297" dataCellStyle="Comma"/>
    <tableColumn id="72" xr3:uid="{C6BDA138-B613-4EB2-A304-C64BE3FDC044}" name="Jamaica" dataDxfId="296" dataCellStyle="Comma"/>
    <tableColumn id="73" xr3:uid="{53E2CF73-33E0-4C09-87FE-C2156F3C55F1}" name="Jordan" dataDxfId="295" dataCellStyle="Comma"/>
    <tableColumn id="74" xr3:uid="{5438A713-C9CC-4010-A791-BB74EF799B19}" name="Japan" dataDxfId="294" dataCellStyle="Comma"/>
    <tableColumn id="75" xr3:uid="{95FE1B95-CDBF-4F3E-8147-06D9CA76CC81}" name="Kazakhstan" dataDxfId="293" dataCellStyle="Comma"/>
    <tableColumn id="76" xr3:uid="{4F8BB05C-E8AC-4E33-9AC9-28D8A5527577}" name="Kenya" dataDxfId="292" dataCellStyle="Comma"/>
    <tableColumn id="77" xr3:uid="{23238818-1F5A-4367-85CA-C03909D54041}" name="Cambodia" dataDxfId="291" dataCellStyle="Comma"/>
    <tableColumn id="78" xr3:uid="{4FC2902E-20B3-4293-848E-255925BAA0F0}" name="Kiribati" dataDxfId="290" dataCellStyle="Comma"/>
    <tableColumn id="79" xr3:uid="{EE3E44EB-965C-4FDE-8674-6DDCB9DE499F}" name="Saint Kitts and Nevis" dataDxfId="289" dataCellStyle="Comma"/>
    <tableColumn id="80" xr3:uid="{AF66D8F9-4EE6-4415-B670-D4082722C03F}" name="South Korea" dataDxfId="288" dataCellStyle="Comma"/>
    <tableColumn id="81" xr3:uid="{BAA2D90A-9244-4F3E-98E5-4437885BE299}" name="Kuwait" dataDxfId="287" dataCellStyle="Comma"/>
    <tableColumn id="82" xr3:uid="{0A0F67AA-012A-43CD-A07F-3871994153C7}" name="Lao People’s Democratic Rep." dataDxfId="286" dataCellStyle="Comma"/>
    <tableColumn id="83" xr3:uid="{04560FB5-0300-4BD8-B87E-B30FE1EC6290}" name="Lebanon" dataDxfId="285" dataCellStyle="Comma"/>
    <tableColumn id="84" xr3:uid="{5A833DA8-9815-4162-B9BB-0C6581B86EEE}" name="Saint Lucia" dataDxfId="284" dataCellStyle="Comma"/>
    <tableColumn id="85" xr3:uid="{A877AEC2-0F3E-436A-86D6-92088BD45F68}" name="Sri Lanka" dataDxfId="283" dataCellStyle="Comma"/>
    <tableColumn id="86" xr3:uid="{9012E2C2-59D6-41E4-B5FD-6E3A472CDEB2}" name="Lesotho" dataDxfId="282" dataCellStyle="Comma"/>
    <tableColumn id="87" xr3:uid="{6B8F4D97-E3EB-40B6-AE1C-1C2E1F9AD9DA}" name="Lithuania" dataDxfId="281" dataCellStyle="Comma"/>
    <tableColumn id="88" xr3:uid="{3E39636B-E7DF-445E-A0B8-A81351210C4C}" name="Luxembourg" dataDxfId="280" dataCellStyle="Comma"/>
    <tableColumn id="89" xr3:uid="{16A983E3-66B1-4DF7-A0D1-88B348A9BC64}" name="Latvia" dataDxfId="279" dataCellStyle="Comma"/>
    <tableColumn id="90" xr3:uid="{9BFBAE0B-586B-4DFA-A000-4549BE0C7E56}" name="Morocco" dataDxfId="278" dataCellStyle="Comma"/>
    <tableColumn id="91" xr3:uid="{0C017EEF-32D4-4CFC-A9D8-EC31A7FDF0DC}" name="Moldova, Republic of" dataDxfId="277" dataCellStyle="Comma"/>
    <tableColumn id="92" xr3:uid="{FD1A2174-D2E7-49F3-A49F-720ED6CCE7DD}" name="Maldives" dataDxfId="276" dataCellStyle="Comma"/>
    <tableColumn id="93" xr3:uid="{1A6C292E-CDBE-43D3-91AE-5F5CBA028E80}" name="Mexico" dataDxfId="275" dataCellStyle="Comma"/>
    <tableColumn id="94" xr3:uid="{3644DD8B-9FFE-4F2B-87BD-6665D51BD6AE}" name="Macedonia, the former Yugoslav Republic of" dataDxfId="274" dataCellStyle="Comma"/>
    <tableColumn id="95" xr3:uid="{D06B4A7A-5314-4EB0-8968-C2F11ABB25DE}" name="Mali" dataDxfId="273" dataCellStyle="Comma"/>
    <tableColumn id="96" xr3:uid="{69E4E343-1AB7-4290-A48F-76535BB77438}" name="Malta" dataDxfId="272" dataCellStyle="Comma"/>
    <tableColumn id="97" xr3:uid="{3D9D7396-061A-414A-B3D8-82EC4C52B056}" name="Myanmar" dataDxfId="271" dataCellStyle="Comma"/>
    <tableColumn id="98" xr3:uid="{E567624C-F764-4388-BFC6-949E21EF7993}" name="Mongolia" dataDxfId="270" dataCellStyle="Comma"/>
    <tableColumn id="99" xr3:uid="{E0EBE3E8-B282-4BD5-91A9-6C5E52B3010C}" name="Mauritius" dataDxfId="269" dataCellStyle="Comma"/>
    <tableColumn id="100" xr3:uid="{B01C94F1-5DAF-485D-BD08-524648E9DF40}" name="Malawi" dataDxfId="268" dataCellStyle="Comma"/>
    <tableColumn id="101" xr3:uid="{2040EDFE-B30F-4A83-AB5B-AE8E73C213C9}" name="Malaysia" dataDxfId="267" dataCellStyle="Comma"/>
    <tableColumn id="102" xr3:uid="{9485CC5F-9F93-4321-A71B-5B2A884BCABF}" name="Namibia" dataDxfId="266" dataCellStyle="Comma"/>
    <tableColumn id="103" xr3:uid="{386C67A6-7D87-4AC0-A568-19F4CBEE6A72}" name="Niger" dataDxfId="265" dataCellStyle="Comma"/>
    <tableColumn id="104" xr3:uid="{49A26A9E-6E36-4FAE-8DAC-0B1651318048}" name="Nigeria" dataDxfId="264" dataCellStyle="Comma"/>
    <tableColumn id="105" xr3:uid="{012260F9-F381-4A3F-AF2A-CFE8907D393C}" name="Nicaragua" dataDxfId="263" dataCellStyle="Comma"/>
    <tableColumn id="106" xr3:uid="{CEF2D8EF-11D5-47E8-BA42-8A5E80A68BD0}" name="Netherlands" dataDxfId="262" dataCellStyle="Comma"/>
    <tableColumn id="107" xr3:uid="{766C7B0C-8847-4ACA-9728-9E4EEAEBAF38}" name="Norway" dataDxfId="261" dataCellStyle="Comma"/>
    <tableColumn id="108" xr3:uid="{22740A0E-4244-4CAB-BD60-266DA93108A8}" name="Nepal" dataDxfId="260" dataCellStyle="Comma"/>
    <tableColumn id="109" xr3:uid="{EF488329-81A1-476C-A216-D235A587E245}" name="Nauru" dataDxfId="259" dataCellStyle="Comma"/>
    <tableColumn id="110" xr3:uid="{6C2C669D-4CBD-4FD5-A81E-CA7952F6DC4F}" name="New Zealand" dataDxfId="258" dataCellStyle="Comma"/>
    <tableColumn id="111" xr3:uid="{B01483F7-BED2-4ED0-9A1F-487F0607AA0D}" name="Oman" dataDxfId="257" dataCellStyle="Comma"/>
    <tableColumn id="112" xr3:uid="{3AB6C54E-9D40-4A90-9275-7E3B618D80FC}" name="Pakistan" dataDxfId="256" dataCellStyle="Comma"/>
    <tableColumn id="113" xr3:uid="{5EFBBFAF-B0E8-4C22-81B0-BAEEBC671EA2}" name="Peru" dataDxfId="255" dataCellStyle="Comma"/>
    <tableColumn id="114" xr3:uid="{0D88F194-3E1A-4704-90DA-35C5B376091C}" name="Philippines" dataDxfId="254" dataCellStyle="Comma"/>
    <tableColumn id="115" xr3:uid="{C02ECE20-B3F7-4DEE-9D7F-97D88ADCC6CA}" name="Papua New Guinea" dataDxfId="253" dataCellStyle="Comma"/>
    <tableColumn id="116" xr3:uid="{17188CBE-C010-4E2D-9845-A014136B3C77}" name="Poland" dataDxfId="252" dataCellStyle="Comma"/>
    <tableColumn id="117" xr3:uid="{563CE722-4332-4927-A3AE-0B547C3071D8}" name="Portugal" dataDxfId="251" dataCellStyle="Comma"/>
    <tableColumn id="118" xr3:uid="{60931D1C-F210-480A-8574-6A38AA60A9C2}" name="Paraguay" dataDxfId="250" dataCellStyle="Comma"/>
    <tableColumn id="119" xr3:uid="{95237613-81D9-489A-BD5D-00B8B6791291}" name="Qatar" dataDxfId="249" dataCellStyle="Comma"/>
    <tableColumn id="120" xr3:uid="{EB929A6C-27F5-4F37-91E8-6B4E6F9C4191}" name="Romania" dataDxfId="248" dataCellStyle="Comma"/>
    <tableColumn id="121" xr3:uid="{3E8AF3A8-6576-4DD1-94C3-C4E72248C6CA}" name="Rest of World" dataDxfId="247" dataCellStyle="Comma"/>
    <tableColumn id="122" xr3:uid="{BD081899-6648-4815-B379-2EE42775F2DA}" name="Russian Federation" dataDxfId="246" dataCellStyle="Comma"/>
    <tableColumn id="123" xr3:uid="{460A7615-33F9-44F7-9519-4C24E346D28B}" name="Rwanda" dataDxfId="245" dataCellStyle="Comma"/>
    <tableColumn id="124" xr3:uid="{463772A0-E82E-4601-9B5A-100208C49DA5}" name="Saudi Arabia" dataDxfId="244" dataCellStyle="Comma"/>
    <tableColumn id="125" xr3:uid="{296D579E-11CC-44DE-AE6E-1BAD943F0112}" name="Senegal" dataDxfId="243" dataCellStyle="Comma"/>
    <tableColumn id="126" xr3:uid="{D2132990-B3ED-418E-B3F7-C303242AB36D}" name="Singapore" dataDxfId="242" dataCellStyle="Comma"/>
    <tableColumn id="127" xr3:uid="{2DF69DFF-9686-432A-9337-1133B0ECB5A2}" name="Solomon Islands" dataDxfId="241" dataCellStyle="Comma"/>
    <tableColumn id="128" xr3:uid="{73D477B4-A55A-4B04-9CCB-65F763D51C98}" name="Sierra Leone" dataDxfId="240" dataCellStyle="Comma"/>
    <tableColumn id="129" xr3:uid="{DDC547F0-218C-4ABA-B51D-4C7310F10028}" name="El Salvador" dataDxfId="239" dataCellStyle="Comma"/>
    <tableColumn id="130" xr3:uid="{21D258F7-C235-42E2-A0C0-CDAEF98882E6}" name="Slovak Republic" dataDxfId="238" dataCellStyle="Comma"/>
    <tableColumn id="131" xr3:uid="{616D1A89-0A6F-4E0E-8189-B8B736144C49}" name="Slovenia" dataDxfId="237" dataCellStyle="Comma"/>
    <tableColumn id="132" xr3:uid="{62E805E1-68E3-4304-8921-B22E0C1FE4A2}" name="Sweden" dataDxfId="236" dataCellStyle="Comma"/>
    <tableColumn id="133" xr3:uid="{A4AF22FA-8486-4654-BF93-B2D79BD699B6}" name="Swaziland" dataDxfId="235" dataCellStyle="Comma"/>
    <tableColumn id="134" xr3:uid="{14B3FB5F-F546-4F3D-BDE6-01E3E611395C}" name="Seychelles" dataDxfId="234" dataCellStyle="Comma"/>
    <tableColumn id="135" xr3:uid="{52941A5B-6ACE-4231-A670-5AC7019DA716}" name="Chad" dataDxfId="233" dataCellStyle="Comma"/>
    <tableColumn id="136" xr3:uid="{55651F51-8D9F-4358-9FB2-64D41F148544}" name="Togo" dataDxfId="232" dataCellStyle="Comma"/>
    <tableColumn id="137" xr3:uid="{1064EF35-0411-43B2-A0C6-FA0E29C4F973}" name="Thailand" dataDxfId="231" dataCellStyle="Comma"/>
    <tableColumn id="138" xr3:uid="{A85ECC48-8744-4F95-8FFF-C2EEF4000B11}" name="Timor-Leste" dataDxfId="230" dataCellStyle="Comma"/>
    <tableColumn id="139" xr3:uid="{78DFA659-DB53-4898-9376-B052B7895B77}" name="Trinidad and Tobago" dataDxfId="229" dataCellStyle="Comma"/>
    <tableColumn id="140" xr3:uid="{1510B93F-DC50-49D2-801F-301B63F16026}" name="Tunisia" dataDxfId="228" dataCellStyle="Comma"/>
    <tableColumn id="141" xr3:uid="{88AFE307-CEB5-43AB-A2CE-FCF42215EC30}" name="Turkey" dataDxfId="227" dataCellStyle="Comma"/>
    <tableColumn id="142" xr3:uid="{9025294A-EECC-4534-98C3-D2722A80D9E3}" name="Chinese Taipei" dataDxfId="226" dataCellStyle="Comma"/>
    <tableColumn id="143" xr3:uid="{BFA855CB-B282-49E1-B182-6D0ACC74897D}" name="Tanzania_United Republic of" dataDxfId="225" dataCellStyle="Comma"/>
    <tableColumn id="144" xr3:uid="{F9A2379B-C2DC-4786-B114-66B67B1E0B75}" name="Uganda" dataDxfId="224" dataCellStyle="Comma"/>
    <tableColumn id="145" xr3:uid="{C5AA9D05-6CF7-409A-AEB0-9EB244F5A52C}" name="Ukraine" dataDxfId="223" dataCellStyle="Comma"/>
    <tableColumn id="146" xr3:uid="{D6AD08A3-660E-4B7C-BF3D-0B578539C2E0}" name="Uruguay" dataDxfId="222" dataCellStyle="Comma"/>
    <tableColumn id="147" xr3:uid="{6F03DF00-0D1C-4424-AD9F-A8AE20574833}" name="United States" dataDxfId="221" dataCellStyle="Comma"/>
    <tableColumn id="148" xr3:uid="{9FF7C11F-CB19-4B55-985F-A56CF6C093A3}" name="Saint Vincent and the Grenadines" dataDxfId="220" dataCellStyle="Comma"/>
    <tableColumn id="149" xr3:uid="{44D38741-9FFF-4C93-B678-65DA77B4040A}" name="Viet Nam" dataDxfId="219" dataCellStyle="Comma"/>
    <tableColumn id="150" xr3:uid="{6B7B5B99-CE90-4195-8510-90B6FF15448B}" name="Vanuatu" dataDxfId="218" dataCellStyle="Comma"/>
    <tableColumn id="151" xr3:uid="{A9C7329D-6143-4DBA-A5AF-0985FCFDEC12}" name="Samoa" dataDxfId="217" dataCellStyle="Comma"/>
    <tableColumn id="152" xr3:uid="{FFD2FEC7-DB09-40F4-934E-5ECEF0DDC5AB}" name="South Africa" dataDxfId="216" dataCellStyle="Comma"/>
    <tableColumn id="153" xr3:uid="{F00A1E76-1E61-48E8-8B83-CE2E1B88AE68}" name="Median Value" dataDxfId="215" dataCellStyle="Comma">
      <calculatedColumnFormula>MEDIAN(tbl_Upstream_Assets_EF[[#This Row],[Afghanistan]:[South Africa]])</calculatedColumnFormula>
    </tableColumn>
    <tableColumn id="154" xr3:uid="{3321C77A-E8B1-4DFD-B6B7-6FEBC069F097}" name="Year" dataDxfId="214"/>
    <tableColumn id="155" xr3:uid="{B0F507FC-2970-4228-B8F0-AAAB1158A443}" name="Currency" dataDxfId="213"/>
    <tableColumn id="156" xr3:uid="{E11C791F-D1FB-4DA0-ADB3-9DBBA6FC833C}" name="Link" dataDxfId="212" dataCellStyle="Hyperlink"/>
    <tableColumn id="157" xr3:uid="{C5D21E49-0145-4EA2-B137-974363617980}" name="EF Provider" dataDxfId="211"/>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233AB41C-399A-42F5-B11E-D1838AF28D4B}" name="tbl_Upstream_Transport_EF" displayName="tbl_Upstream_Transport_EF" ref="B182:FB186" totalsRowShown="0" headerRowDxfId="210" dataDxfId="208" headerRowBorderDxfId="209" tableBorderDxfId="207" totalsRowBorderDxfId="206">
  <autoFilter ref="B182:FB186" xr:uid="{233AB41C-399A-42F5-B11E-D1838AF28D4B}"/>
  <tableColumns count="157">
    <tableColumn id="1" xr3:uid="{12B44725-30D7-4A95-9A83-DFA497350ADA}" name="EF Category" dataDxfId="205"/>
    <tableColumn id="2" xr3:uid="{BF093101-2E0C-4BBA-BB15-CE60F34A0E82}" name="CEDA Code" dataDxfId="204"/>
    <tableColumn id="3" xr3:uid="{5FE3A963-006A-4267-9302-67B33EE073A4}" name="CEDA Description" dataDxfId="203"/>
    <tableColumn id="4" xr3:uid="{E2B1F5F8-99B3-4A5A-BEB2-707D8E2A1382}" name="Afghanistan" dataDxfId="202" dataCellStyle="Comma"/>
    <tableColumn id="5" xr3:uid="{588E52F6-B0C4-4441-9272-345F8938F4ED}" name="Angola" dataDxfId="201" dataCellStyle="Comma"/>
    <tableColumn id="6" xr3:uid="{511D58BB-B363-42A9-A89E-BA4D4322DDA7}" name="Albania" dataDxfId="200" dataCellStyle="Comma"/>
    <tableColumn id="7" xr3:uid="{51891A6B-02B9-41C0-9C9E-C82227797D24}" name="United Arab Emirates" dataDxfId="199" dataCellStyle="Comma"/>
    <tableColumn id="8" xr3:uid="{1CC7993A-C5D7-4449-B63E-5A9DB4EC42C9}" name="Argentina" dataDxfId="198" dataCellStyle="Comma"/>
    <tableColumn id="9" xr3:uid="{BE1FE334-5497-40B7-AB59-2DDD6963A0E8}" name="Antigua and Barbuda" dataDxfId="197" dataCellStyle="Comma"/>
    <tableColumn id="10" xr3:uid="{83A099D9-8992-4876-8E17-D71EC0FF591F}" name="Australia" dataDxfId="196" dataCellStyle="Comma"/>
    <tableColumn id="11" xr3:uid="{B6E5481C-D277-4E03-94EB-F0B04144E329}" name="Austria" dataDxfId="195" dataCellStyle="Comma"/>
    <tableColumn id="12" xr3:uid="{8DFEC83A-C244-4B98-99C0-08BB48B4F64F}" name="Burundi" dataDxfId="194" dataCellStyle="Comma"/>
    <tableColumn id="13" xr3:uid="{9DDFA80C-0E63-448C-9653-763151741F47}" name="Belgium" dataDxfId="193" dataCellStyle="Comma"/>
    <tableColumn id="14" xr3:uid="{9F87F0DE-20F6-44AF-BE3B-BFAA8C5CE8F6}" name="Benin" dataDxfId="192" dataCellStyle="Comma"/>
    <tableColumn id="15" xr3:uid="{ECD14EEF-60B7-419A-8B0D-B3872A12EAC1}" name="Burkina Faso" dataDxfId="191" dataCellStyle="Comma"/>
    <tableColumn id="16" xr3:uid="{6112DC00-6214-4393-8853-9B243FDD5F03}" name="Bangladesh" dataDxfId="190" dataCellStyle="Comma"/>
    <tableColumn id="17" xr3:uid="{F69296CF-4809-4826-BF99-D7D7DA8940FE}" name="Bulgaria" dataDxfId="189" dataCellStyle="Comma"/>
    <tableColumn id="18" xr3:uid="{ACFFB061-B7A8-43FC-9A05-55F96F8AF785}" name="Bahrain" dataDxfId="188" dataCellStyle="Comma"/>
    <tableColumn id="19" xr3:uid="{EBAF63C3-7406-46F8-981B-FE3F07B202E2}" name="Bahamas" dataDxfId="187" dataCellStyle="Comma"/>
    <tableColumn id="20" xr3:uid="{4F138030-36A1-4E52-97AF-01940CCDA675}" name="Belize" dataDxfId="186" dataCellStyle="Comma"/>
    <tableColumn id="21" xr3:uid="{F0A9249F-530A-4D0E-9471-4D10B2113CD7}" name="Bolivia" dataDxfId="185" dataCellStyle="Comma"/>
    <tableColumn id="22" xr3:uid="{BC4A51D5-77CA-4AA1-81FC-9BAEB23BFBB6}" name="Brazil" dataDxfId="184" dataCellStyle="Comma"/>
    <tableColumn id="23" xr3:uid="{E4D68BD6-545E-4F13-9257-2DF526BF5541}" name="Barbados" dataDxfId="183" dataCellStyle="Comma"/>
    <tableColumn id="24" xr3:uid="{8FA64456-EF0E-4A04-930C-C0D5B942E045}" name="Bhutan" dataDxfId="182" dataCellStyle="Comma"/>
    <tableColumn id="25" xr3:uid="{7D99808C-6E10-4460-8687-7918AA676428}" name="Central African Republic" dataDxfId="181" dataCellStyle="Comma"/>
    <tableColumn id="26" xr3:uid="{4AE83D81-B439-4D14-B234-DCC09FC199F1}" name="Canada" dataDxfId="180" dataCellStyle="Comma"/>
    <tableColumn id="27" xr3:uid="{FAB054E7-C96C-437B-849E-F66795CA5881}" name="Switzerland" dataDxfId="179" dataCellStyle="Comma"/>
    <tableColumn id="28" xr3:uid="{05182541-B345-4436-BBA8-A1FCC7C4A73D}" name="Chile" dataDxfId="178" dataCellStyle="Comma"/>
    <tableColumn id="29" xr3:uid="{154D1C91-B1E8-41A4-A1FF-E80485475CBF}" name="China" dataDxfId="177" dataCellStyle="Comma"/>
    <tableColumn id="30" xr3:uid="{269800C1-B3C3-450B-977C-5CA50A6CC14B}" name="Cote d'Ivoire" dataDxfId="176" dataCellStyle="Comma"/>
    <tableColumn id="31" xr3:uid="{BEAA397F-F422-44B2-B7A3-7FC9F890B86A}" name="Cameroon" dataDxfId="175" dataCellStyle="Comma"/>
    <tableColumn id="32" xr3:uid="{40FAAA87-2217-416B-9B3B-67247E265C44}" name="Congo" dataDxfId="174" dataCellStyle="Comma"/>
    <tableColumn id="33" xr3:uid="{D22CF13A-57EF-4060-90CC-D504E7C86A41}" name="Colombia" dataDxfId="173" dataCellStyle="Comma"/>
    <tableColumn id="34" xr3:uid="{113B71F3-4C57-4B25-94AE-9BA60232E5F2}" name="Costa Rica" dataDxfId="172" dataCellStyle="Comma"/>
    <tableColumn id="35" xr3:uid="{E800ABD0-C86C-433E-988B-509EE6DCCEA7}" name="Cyprus" dataDxfId="171" dataCellStyle="Comma"/>
    <tableColumn id="36" xr3:uid="{717ABCD9-BF4F-4EA9-AEA2-70F9F44389F4}" name="Czech Republic" dataDxfId="170" dataCellStyle="Comma"/>
    <tableColumn id="37" xr3:uid="{6777DAB6-63E7-40E7-8C85-C6A6A255CD63}" name="Germany" dataDxfId="169" dataCellStyle="Comma"/>
    <tableColumn id="38" xr3:uid="{2FFF6B07-69A4-45D6-9EDF-DDFA552C1CA5}" name="Dominica" dataDxfId="168" dataCellStyle="Comma"/>
    <tableColumn id="39" xr3:uid="{4D147D21-C4DC-43FE-BA6C-DDDC418D7315}" name="Denmark" dataDxfId="167" dataCellStyle="Comma"/>
    <tableColumn id="40" xr3:uid="{D2ABBAA0-60E9-4176-8809-A20677F77E9B}" name="Dominican Republic" dataDxfId="166" dataCellStyle="Comma"/>
    <tableColumn id="41" xr3:uid="{61F80B95-77E9-4177-8EA1-D002CBC2A1D1}" name="Algeria" dataDxfId="165" dataCellStyle="Comma"/>
    <tableColumn id="42" xr3:uid="{A2D8E58F-4590-4141-BE3C-3884F8007CA0}" name="Ecuador" dataDxfId="164" dataCellStyle="Comma"/>
    <tableColumn id="43" xr3:uid="{4F37965F-2F74-4DC3-8271-D952040FE30E}" name="Egypt" dataDxfId="163" dataCellStyle="Comma"/>
    <tableColumn id="44" xr3:uid="{ABBEF664-0165-4889-A9F1-BFC786E7FA6C}" name="Spain" dataDxfId="162" dataCellStyle="Comma"/>
    <tableColumn id="45" xr3:uid="{15A7F4BB-C93D-4AC5-9D87-1C63DEFA29A5}" name="Estonia" dataDxfId="161" dataCellStyle="Comma"/>
    <tableColumn id="46" xr3:uid="{E3D8182F-1852-49DF-8312-FB0C69C7603C}" name="Ethiopia" dataDxfId="160" dataCellStyle="Comma"/>
    <tableColumn id="47" xr3:uid="{5753D079-55A3-43CB-AD09-B9E1F1DB3C61}" name="Finland" dataDxfId="159" dataCellStyle="Comma"/>
    <tableColumn id="48" xr3:uid="{346AA65C-7A19-4F5F-8326-10B7561AE2BD}" name="Fiji" dataDxfId="158" dataCellStyle="Comma"/>
    <tableColumn id="49" xr3:uid="{C362FD93-4EA8-45A0-8DBA-96818A5DCBAE}" name="France" dataDxfId="157" dataCellStyle="Comma"/>
    <tableColumn id="50" xr3:uid="{9ED48977-AC4C-4D14-900C-B68DAE12C349}" name="Gabon" dataDxfId="156" dataCellStyle="Comma"/>
    <tableColumn id="51" xr3:uid="{F9CDA638-AAC0-4632-A661-9900834724C7}" name="United Kingdom" dataDxfId="155" dataCellStyle="Comma"/>
    <tableColumn id="52" xr3:uid="{FED16E5F-269C-4571-A696-00C64005DBAF}" name="Guinea" dataDxfId="154" dataCellStyle="Comma"/>
    <tableColumn id="53" xr3:uid="{762FAAF2-B4C6-4189-9C42-D63085232F6C}" name="Gambia" dataDxfId="153" dataCellStyle="Comma"/>
    <tableColumn id="54" xr3:uid="{B02A438D-DACF-4146-B36C-84C26CF82C61}" name="Guinea-Bissau" dataDxfId="152" dataCellStyle="Comma"/>
    <tableColumn id="55" xr3:uid="{30304709-9257-4166-B1B6-BB54C8F5B32C}" name="Equatorial Guinea" dataDxfId="151" dataCellStyle="Comma"/>
    <tableColumn id="56" xr3:uid="{E1A9B007-F703-4363-8AE2-6C0C92A76DF3}" name="Greece" dataDxfId="150" dataCellStyle="Comma"/>
    <tableColumn id="57" xr3:uid="{E5C72592-5B3B-4939-BC3B-D69D713E2EDB}" name="Grenada" dataDxfId="149" dataCellStyle="Comma"/>
    <tableColumn id="58" xr3:uid="{4A29B518-CAD9-42A6-A49A-881F48B5297A}" name="Guatemala" dataDxfId="148" dataCellStyle="Comma"/>
    <tableColumn id="59" xr3:uid="{7819CFD1-EE3E-4CE5-BD5D-5E55CD2A4DB4}" name="Hong Kong, China" dataDxfId="147" dataCellStyle="Comma"/>
    <tableColumn id="60" xr3:uid="{D4D208FF-EBD9-4291-B9E7-0631FD9E54C9}" name="Honduras" dataDxfId="146" dataCellStyle="Comma"/>
    <tableColumn id="61" xr3:uid="{B381EDE8-3FED-4E3E-8839-287F885FE567}" name="Croatia" dataDxfId="145" dataCellStyle="Comma"/>
    <tableColumn id="62" xr3:uid="{FF5EA334-3869-4C49-9366-223410B4A9E4}" name="Haiti" dataDxfId="144" dataCellStyle="Comma"/>
    <tableColumn id="63" xr3:uid="{76ABC75B-2969-458C-AFAC-17938F0E651A}" name="Hungary" dataDxfId="143" dataCellStyle="Comma"/>
    <tableColumn id="64" xr3:uid="{E1AA9FDC-1815-405A-BEC6-B8D72459A30A}" name="Indonesia" dataDxfId="142" dataCellStyle="Comma"/>
    <tableColumn id="65" xr3:uid="{78AED1C5-F3B5-4734-87C5-8E71F9F07D82}" name="India" dataDxfId="141" dataCellStyle="Comma"/>
    <tableColumn id="66" xr3:uid="{2A23D2F6-7498-4D46-96FF-C01AA9A6BF09}" name="Ireland" dataDxfId="140" dataCellStyle="Comma"/>
    <tableColumn id="67" xr3:uid="{7E41A26E-850C-49BA-AF50-226E12FE9A19}" name="Iran, Islamic Republic of" dataDxfId="139" dataCellStyle="Comma"/>
    <tableColumn id="68" xr3:uid="{825DCBAF-BE09-43BC-9EB9-9A3F0F81C9CE}" name="Iraq" dataDxfId="138" dataCellStyle="Comma"/>
    <tableColumn id="69" xr3:uid="{F81C5437-2176-40FE-AAEF-A354974A7CFB}" name="Iceland" dataDxfId="137" dataCellStyle="Comma"/>
    <tableColumn id="70" xr3:uid="{52325FBB-B9EF-42CA-B8F3-D11F0FA8AA45}" name="Israel" dataDxfId="136" dataCellStyle="Comma"/>
    <tableColumn id="71" xr3:uid="{4CA6F173-EE23-476C-904B-84A59108ADF4}" name="Italy" dataDxfId="135" dataCellStyle="Comma"/>
    <tableColumn id="72" xr3:uid="{5E406D5D-7D2A-4E52-8AE0-031422518502}" name="Jamaica" dataDxfId="134" dataCellStyle="Comma"/>
    <tableColumn id="73" xr3:uid="{FE055906-7040-48A4-B992-0A7F3343B41C}" name="Jordan" dataDxfId="133" dataCellStyle="Comma"/>
    <tableColumn id="74" xr3:uid="{45054ADE-20F1-42E0-A3C8-192DD9D37B74}" name="Japan" dataDxfId="132" dataCellStyle="Comma"/>
    <tableColumn id="75" xr3:uid="{8B438E9C-C21C-4F5D-8509-246C3CF34B34}" name="Kazakhstan" dataDxfId="131" dataCellStyle="Comma"/>
    <tableColumn id="76" xr3:uid="{DC828972-ED07-4D2A-A8F1-77DD0A3A2B1C}" name="Kenya" dataDxfId="130" dataCellStyle="Comma"/>
    <tableColumn id="77" xr3:uid="{414CED3B-0226-4144-8C6A-E060C76F9830}" name="Cambodia" dataDxfId="129" dataCellStyle="Comma"/>
    <tableColumn id="78" xr3:uid="{3B59C43F-297E-4CC6-8A7C-EAE14F89EB2E}" name="Kiribati" dataDxfId="128" dataCellStyle="Comma"/>
    <tableColumn id="79" xr3:uid="{592B8DBA-8EF8-429C-AF6C-0173F8DE1BFE}" name="Saint Kitts and Nevis" dataDxfId="127" dataCellStyle="Comma"/>
    <tableColumn id="80" xr3:uid="{2BDC205C-A86C-469F-BA93-3107DC0558AB}" name="South Korea" dataDxfId="126" dataCellStyle="Comma"/>
    <tableColumn id="81" xr3:uid="{F21E1C4F-2A16-490A-8C9A-37BC3721A11F}" name="Kuwait" dataDxfId="125" dataCellStyle="Comma"/>
    <tableColumn id="82" xr3:uid="{F9643B64-7D33-4527-91C1-59DF3308767D}" name="Lao People’s Democratic Rep." dataDxfId="124" dataCellStyle="Comma"/>
    <tableColumn id="83" xr3:uid="{1A58CC7F-09AB-4EB5-B93D-70E51EF3342C}" name="Lebanon" dataDxfId="123" dataCellStyle="Comma"/>
    <tableColumn id="84" xr3:uid="{BC968B7A-ABD3-4564-A5A9-A26A47FF9F5B}" name="Saint Lucia" dataDxfId="122" dataCellStyle="Comma"/>
    <tableColumn id="85" xr3:uid="{742E9813-F900-4BB0-8CFA-393BBF5A7679}" name="Sri Lanka" dataDxfId="121" dataCellStyle="Comma"/>
    <tableColumn id="86" xr3:uid="{FD3878BD-F80D-41CE-A11F-154AC3D2F321}" name="Lesotho" dataDxfId="120" dataCellStyle="Comma"/>
    <tableColumn id="87" xr3:uid="{2F634B80-AC8D-4CA5-B8AD-354045EB1F69}" name="Lithuania" dataDxfId="119" dataCellStyle="Comma"/>
    <tableColumn id="88" xr3:uid="{CE517403-7365-46C3-9C9E-003EEC37EBE7}" name="Luxembourg" dataDxfId="118" dataCellStyle="Comma"/>
    <tableColumn id="89" xr3:uid="{139293BA-C79B-4D07-B594-2CEDA65D103A}" name="Latvia" dataDxfId="117" dataCellStyle="Comma"/>
    <tableColumn id="90" xr3:uid="{D270330E-6020-4C53-960C-DB392C7E420E}" name="Morocco" dataDxfId="116" dataCellStyle="Comma"/>
    <tableColumn id="91" xr3:uid="{401AFE86-2D8E-455A-A2BA-9A2BEE5ED274}" name="Moldova, Republic of" dataDxfId="115" dataCellStyle="Comma"/>
    <tableColumn id="92" xr3:uid="{E32267C2-75A9-4A44-A205-4AC60793466B}" name="Maldives" dataDxfId="114" dataCellStyle="Comma"/>
    <tableColumn id="93" xr3:uid="{6C070196-B45F-4B0D-A260-212056687A7E}" name="Mexico" dataDxfId="113" dataCellStyle="Comma"/>
    <tableColumn id="94" xr3:uid="{26297991-73B4-4B2A-8976-63E2FE453A00}" name="Macedonia, the former Yugoslav Republic of" dataDxfId="112" dataCellStyle="Comma"/>
    <tableColumn id="95" xr3:uid="{E26B68C3-A2DB-4A61-85E4-1744BB200C12}" name="Mali" dataDxfId="111" dataCellStyle="Comma"/>
    <tableColumn id="96" xr3:uid="{D6897415-E35F-42A9-90A6-B350FD94260C}" name="Malta" dataDxfId="110" dataCellStyle="Comma"/>
    <tableColumn id="97" xr3:uid="{B48AE461-FF76-4438-A257-82B48A39550C}" name="Myanmar" dataDxfId="109" dataCellStyle="Comma"/>
    <tableColumn id="98" xr3:uid="{DE803576-939E-46EF-ABCB-F8CED4B7A523}" name="Mongolia" dataDxfId="108" dataCellStyle="Comma"/>
    <tableColumn id="99" xr3:uid="{EF26218C-6C7C-4116-97E7-3E5897FBB50C}" name="Mauritius" dataDxfId="107" dataCellStyle="Comma"/>
    <tableColumn id="100" xr3:uid="{792D7E2E-4DA1-4B90-AB96-03EE5BC2185F}" name="Malawi" dataDxfId="106" dataCellStyle="Comma"/>
    <tableColumn id="101" xr3:uid="{D27C57C1-D874-4137-9099-A3E2C15CEB7F}" name="Malaysia" dataDxfId="105" dataCellStyle="Comma"/>
    <tableColumn id="102" xr3:uid="{7C71E860-F23C-4EB8-BDE5-59898BC2C28A}" name="Namibia" dataDxfId="104" dataCellStyle="Comma"/>
    <tableColumn id="103" xr3:uid="{E6269F38-0BCC-4756-B987-D91C56D5D849}" name="Niger" dataDxfId="103" dataCellStyle="Comma"/>
    <tableColumn id="104" xr3:uid="{765E0267-41B1-40AB-B732-F08AD4764880}" name="Nigeria" dataDxfId="102" dataCellStyle="Comma"/>
    <tableColumn id="105" xr3:uid="{715FF5C5-89BC-44C2-93B7-9B2C4E3E17B7}" name="Nicaragua" dataDxfId="101" dataCellStyle="Comma"/>
    <tableColumn id="106" xr3:uid="{47D7514D-752E-4CE1-8983-3A10E2677987}" name="Netherlands" dataDxfId="100" dataCellStyle="Comma"/>
    <tableColumn id="107" xr3:uid="{08D4AFF8-044A-417A-9680-DA9D20BC3FB1}" name="Norway" dataDxfId="99" dataCellStyle="Comma"/>
    <tableColumn id="108" xr3:uid="{F15ABC4C-FB76-4FCD-A9EE-801C33C94864}" name="Nepal" dataDxfId="98" dataCellStyle="Comma"/>
    <tableColumn id="109" xr3:uid="{21F59913-99E0-483F-B6C7-481C948873D0}" name="Nauru" dataDxfId="97" dataCellStyle="Comma"/>
    <tableColumn id="110" xr3:uid="{F4FC249B-200D-4E70-BAE5-279A344137CC}" name="New Zealand" dataDxfId="96" dataCellStyle="Comma"/>
    <tableColumn id="111" xr3:uid="{60A715B8-F96A-4053-8D0E-6B7E6D22D976}" name="Oman" dataDxfId="95" dataCellStyle="Comma"/>
    <tableColumn id="112" xr3:uid="{B380AEE5-9F93-4A1F-83D9-D66AB447A7D5}" name="Pakistan" dataDxfId="94" dataCellStyle="Comma"/>
    <tableColumn id="113" xr3:uid="{DD9EFD29-3E94-407C-A8FB-39F7D3C6C3D5}" name="Peru" dataDxfId="93" dataCellStyle="Comma"/>
    <tableColumn id="114" xr3:uid="{C74BC65A-EFB0-4929-8599-374F7A52A739}" name="Philippines" dataDxfId="92" dataCellStyle="Comma"/>
    <tableColumn id="115" xr3:uid="{6E515626-A393-432C-A9AF-0C57DD7AC761}" name="Papua New Guinea" dataDxfId="91" dataCellStyle="Comma"/>
    <tableColumn id="116" xr3:uid="{E78AA62A-05E2-45ED-AAA9-FD6BDEFC76C2}" name="Poland" dataDxfId="90" dataCellStyle="Comma"/>
    <tableColumn id="117" xr3:uid="{F4A25625-3040-43D5-8820-8010BAD0667B}" name="Portugal" dataDxfId="89" dataCellStyle="Comma"/>
    <tableColumn id="118" xr3:uid="{2E211DD6-816A-4732-95BA-12A50F0A0882}" name="Paraguay" dataDxfId="88" dataCellStyle="Comma"/>
    <tableColumn id="119" xr3:uid="{EB000372-66F7-4B13-A2F3-CBAD43A63A4F}" name="Qatar" dataDxfId="87" dataCellStyle="Comma"/>
    <tableColumn id="120" xr3:uid="{D91C820D-C81D-46E3-885F-DB530824EC89}" name="Romania" dataDxfId="86" dataCellStyle="Comma"/>
    <tableColumn id="121" xr3:uid="{82FFF289-6FD8-4BE2-B9C0-9CD201DC3E2D}" name="Rest of World" dataDxfId="85" dataCellStyle="Comma"/>
    <tableColumn id="122" xr3:uid="{F4B4ECB5-EBEE-4A9A-93AE-3243BFCE0FFC}" name="Russian Federation" dataDxfId="84" dataCellStyle="Comma"/>
    <tableColumn id="123" xr3:uid="{E920D0AB-FE73-4B74-AD23-6BA882F3C872}" name="Rwanda" dataDxfId="83" dataCellStyle="Comma"/>
    <tableColumn id="124" xr3:uid="{2DBC6517-869C-401A-BC92-E53F820E3747}" name="Saudi Arabia" dataDxfId="82" dataCellStyle="Comma"/>
    <tableColumn id="125" xr3:uid="{DCC94179-3039-4577-9FB3-97CBDD5B82B8}" name="Senegal" dataDxfId="81" dataCellStyle="Comma"/>
    <tableColumn id="126" xr3:uid="{9C8052AA-BC69-4C14-A14D-566B0B23D2A0}" name="Singapore" dataDxfId="80" dataCellStyle="Comma"/>
    <tableColumn id="127" xr3:uid="{A4A10258-3CB6-4410-BE7F-67557F46A537}" name="Solomon Islands" dataDxfId="79" dataCellStyle="Comma"/>
    <tableColumn id="128" xr3:uid="{1A6140F8-7911-4EFA-866C-FBBF52578630}" name="Sierra Leone" dataDxfId="78" dataCellStyle="Comma"/>
    <tableColumn id="129" xr3:uid="{4F55883C-74C2-435F-AA39-F6BA1821B11F}" name="El Salvador" dataDxfId="77" dataCellStyle="Comma"/>
    <tableColumn id="130" xr3:uid="{16B96B66-F778-4590-898E-1C5DF45867BF}" name="Slovak Republic" dataDxfId="76" dataCellStyle="Comma"/>
    <tableColumn id="131" xr3:uid="{DA3EC31D-90C2-4471-9D82-4B1F60E59D66}" name="Slovenia" dataDxfId="75" dataCellStyle="Comma"/>
    <tableColumn id="132" xr3:uid="{964B440B-2A9F-4970-81E8-C97CC5BD69A3}" name="Sweden" dataDxfId="74" dataCellStyle="Comma"/>
    <tableColumn id="133" xr3:uid="{5F89E429-7342-41FC-B29E-66AE75610A4A}" name="Swaziland" dataDxfId="73" dataCellStyle="Comma"/>
    <tableColumn id="134" xr3:uid="{98864A28-90BA-4265-833A-1A11E8B0A1E9}" name="Seychelles" dataDxfId="72" dataCellStyle="Comma"/>
    <tableColumn id="135" xr3:uid="{89723A30-B1BA-4D38-A6F3-1A5DE009F8F5}" name="Chad" dataDxfId="71" dataCellStyle="Comma"/>
    <tableColumn id="136" xr3:uid="{2B8527EC-6369-4304-985E-90257A5B598E}" name="Togo" dataDxfId="70" dataCellStyle="Comma"/>
    <tableColumn id="137" xr3:uid="{6422DEE6-148E-4DBA-BED0-7993059E4C54}" name="Thailand" dataDxfId="69" dataCellStyle="Comma"/>
    <tableColumn id="138" xr3:uid="{D8416F3C-2C07-484A-A7E6-263BF494918C}" name="Timor-Leste" dataDxfId="68" dataCellStyle="Comma"/>
    <tableColumn id="139" xr3:uid="{DAB32CEF-E43E-4B01-881F-FE8F4B0C2BE6}" name="Trinidad and Tobago" dataDxfId="67" dataCellStyle="Comma"/>
    <tableColumn id="140" xr3:uid="{ACDB447C-30E3-4F9C-9745-4E81240EA1F8}" name="Tunisia" dataDxfId="66" dataCellStyle="Comma"/>
    <tableColumn id="141" xr3:uid="{64C0C75E-55F0-4259-B2B1-C79A66BBCC37}" name="Turkey" dataDxfId="65" dataCellStyle="Comma"/>
    <tableColumn id="142" xr3:uid="{B3E8948F-8923-452D-89C1-880A40B44015}" name="Chinese Taipei" dataDxfId="64" dataCellStyle="Comma"/>
    <tableColumn id="143" xr3:uid="{771590D7-B7BF-4F07-9E03-012481F8BECF}" name="Tanzania_United Republic of" dataDxfId="63" dataCellStyle="Comma"/>
    <tableColumn id="144" xr3:uid="{30571419-21D8-4A18-A28E-4B9D51EA6584}" name="Uganda" dataDxfId="62" dataCellStyle="Comma"/>
    <tableColumn id="145" xr3:uid="{2F606007-D4C7-474C-A6A3-D8A358C564E2}" name="Ukraine" dataDxfId="61" dataCellStyle="Comma"/>
    <tableColumn id="146" xr3:uid="{92D01D52-636D-4B21-BF08-369911C0DE34}" name="Uruguay" dataDxfId="60" dataCellStyle="Comma"/>
    <tableColumn id="147" xr3:uid="{7E83F1B1-5EBA-4831-B204-ACEC1DE5C7EF}" name="United States" dataDxfId="59" dataCellStyle="Comma"/>
    <tableColumn id="148" xr3:uid="{4D722B7B-3613-4A68-82E2-608FEE12ABEE}" name="Saint Vincent and the Grenadines" dataDxfId="58" dataCellStyle="Comma"/>
    <tableColumn id="149" xr3:uid="{65F3F342-A6F4-4D2D-92CA-E2602CAD2508}" name="Viet Nam" dataDxfId="57" dataCellStyle="Comma"/>
    <tableColumn id="150" xr3:uid="{0D088B4A-A8C8-4B7B-90EB-19FD2F61CA5A}" name="Vanuatu" dataDxfId="56" dataCellStyle="Comma"/>
    <tableColumn id="151" xr3:uid="{22BB9004-D577-4A86-B2B8-584ECF354FE3}" name="Samoa" dataDxfId="55" dataCellStyle="Comma"/>
    <tableColumn id="152" xr3:uid="{C0E690F1-86E3-4580-8A1B-F495C38FC706}" name="South Africa" dataDxfId="54" dataCellStyle="Comma"/>
    <tableColumn id="153" xr3:uid="{082FF26D-6338-4B96-92EC-49D369B6A8F4}" name="Median Value" dataDxfId="53" dataCellStyle="Comma"/>
    <tableColumn id="154" xr3:uid="{10B3FD15-E6F9-4FC1-9572-A8D7637B0666}" name="Year" dataDxfId="52"/>
    <tableColumn id="155" xr3:uid="{4838F64F-55AE-452E-A93E-C5FFCEE188A5}" name="Currency" dataDxfId="51"/>
    <tableColumn id="156" xr3:uid="{34B9DC1E-7494-483A-863C-BA1EEA567C0F}" name="Link" dataDxfId="50"/>
    <tableColumn id="157" xr3:uid="{3BBDDD8C-10C6-4943-9B54-C2E5CB7024A6}" name="EF Provider" dataDxfId="49"/>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96C1A319-641C-4C7D-8F3D-8632DA1B980E}" name="tbl_Teleworking_EFs" displayName="tbl_Teleworking_EFs" ref="B191:G192" totalsRowShown="0" headerRowDxfId="48" dataDxfId="46" headerRowBorderDxfId="47" tableBorderDxfId="45" totalsRowBorderDxfId="44">
  <autoFilter ref="B191:G192" xr:uid="{96C1A319-641C-4C7D-8F3D-8632DA1B980E}"/>
  <tableColumns count="6">
    <tableColumn id="1" xr3:uid="{55492627-0686-4748-96BA-BB2EFC2C8951}" name="Activity" dataDxfId="43"/>
    <tableColumn id="2" xr3:uid="{58E37940-B78C-4D29-AFA1-0988B81E593E}" name="Unit" dataDxfId="42"/>
    <tableColumn id="3" xr3:uid="{5ECC8B63-5FDD-4417-A476-710831B267BF}" name="kg CO2e" dataDxfId="41" dataCellStyle="Comma"/>
    <tableColumn id="4" xr3:uid="{CD60DC3C-8963-49ED-B975-6B42DB9B6880}" name="Emission Factor Source" dataDxfId="40"/>
    <tableColumn id="5" xr3:uid="{CD60A112-EA27-441C-B699-4D67A606287B}" name="Emission Factor Year" dataDxfId="39"/>
    <tableColumn id="6" xr3:uid="{6ED35D20-9FE3-4C58-A2DB-195C67825D8E}" name="Emission Factor Link" dataDxfId="38"/>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6.xml.rels><?xml version="1.0" encoding="UTF-8" standalone="yes"?>
<Relationships xmlns="http://schemas.openxmlformats.org/package/2006/relationships"><Relationship Id="rId3" Type="http://schemas.openxmlformats.org/officeDocument/2006/relationships/drawing" Target="../drawings/drawing1.xml"/><Relationship Id="rId4" Type="http://schemas.openxmlformats.org/officeDocument/2006/relationships/table" Target="../tables/table2.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 Id="rId5" Type="http://schemas.openxmlformats.org/officeDocument/2006/relationships/table" Target="../tables/table8.xml"/><Relationship Id="rId4"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printerSettings" Target="../printerSettings/printerSettings1.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table" Target="../tables/table22.xml"/><Relationship Id="rId5" Type="http://schemas.openxmlformats.org/officeDocument/2006/relationships/table" Target="../tables/table26.xml"/><Relationship Id="rId4" Type="http://schemas.openxmlformats.org/officeDocument/2006/relationships/table" Target="../tables/table25.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table" Target="../tables/table27.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table" Target="../tables/table29.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table" Target="../tables/table32.xml"/></Relationships>
</file>

<file path=xl/worksheets/_rels/sheet25.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table" Target="../tables/table35.xml"/><Relationship Id="rId1" Type="http://schemas.openxmlformats.org/officeDocument/2006/relationships/table" Target="../tables/table34.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table" Target="../tables/table37.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table" Target="../tables/table39.xml"/></Relationships>
</file>

<file path=xl/worksheets/_rels/sheet30.xml.rels><?xml version="1.0" encoding="UTF-8" standalone="yes"?>
<Relationships xmlns="http://schemas.openxmlformats.org/package/2006/relationships"><Relationship Id="rId8" Type="http://schemas.openxmlformats.org/officeDocument/2006/relationships/table" Target="../tables/table43.xml"/><Relationship Id="rId3" Type="http://schemas.openxmlformats.org/officeDocument/2006/relationships/hyperlink" Target="https://www.gov.uk/government/publications/greenhouse-gas-reporting-conversion-factors-2025" TargetMode="External"/><Relationship Id="rId7" Type="http://schemas.openxmlformats.org/officeDocument/2006/relationships/table" Target="../tables/table42.xml"/><Relationship Id="rId2" Type="http://schemas.openxmlformats.org/officeDocument/2006/relationships/hyperlink" Target="https://www.gov.uk/government/publications/greenhouse-gas-reporting-conversion-factors-2025" TargetMode="External"/><Relationship Id="rId1" Type="http://schemas.openxmlformats.org/officeDocument/2006/relationships/hyperlink" Target="https://www.gov.uk/government/publications/greenhouse-gas-reporting-conversion-factors-2025" TargetMode="External"/><Relationship Id="rId6" Type="http://schemas.openxmlformats.org/officeDocument/2006/relationships/table" Target="../tables/table41.xml"/><Relationship Id="rId5" Type="http://schemas.openxmlformats.org/officeDocument/2006/relationships/hyperlink" Target="https://www.gov.uk/government/publications/greenhouse-gas-reporting-conversion-factors-2025" TargetMode="External"/><Relationship Id="rId4" Type="http://schemas.openxmlformats.org/officeDocument/2006/relationships/hyperlink" Target="https://www.gov.uk/government/publications/greenhouse-gas-reporting-conversion-factors-2025"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gov.uk/government/publications/greenhouse-gas-reporting-conversion-factors-2025" TargetMode="External"/><Relationship Id="rId2" Type="http://schemas.openxmlformats.org/officeDocument/2006/relationships/hyperlink" Target="https://www.gov.uk/government/publications/greenhouse-gas-reporting-conversion-factors-2025" TargetMode="External"/><Relationship Id="rId1" Type="http://schemas.openxmlformats.org/officeDocument/2006/relationships/hyperlink" Target="https://www.gov.uk/government/publications/greenhouse-gas-reporting-conversion-factors-2025" TargetMode="External"/><Relationship Id="rId5" Type="http://schemas.openxmlformats.org/officeDocument/2006/relationships/table" Target="../tables/table45.xml"/><Relationship Id="rId4" Type="http://schemas.openxmlformats.org/officeDocument/2006/relationships/table" Target="../tables/table44.xml"/></Relationships>
</file>

<file path=xl/worksheets/_rels/sheet32.xml.rels><?xml version="1.0" encoding="UTF-8" standalone="yes"?>
<Relationships xmlns="http://schemas.openxmlformats.org/package/2006/relationships"><Relationship Id="rId13" Type="http://schemas.openxmlformats.org/officeDocument/2006/relationships/hyperlink" Target="https://www.gov.uk/government/publications/greenhouse-gas-reporting-conversion-factors-2025" TargetMode="External"/><Relationship Id="rId18" Type="http://schemas.openxmlformats.org/officeDocument/2006/relationships/hyperlink" Target="https://www.gov.uk/government/publications/greenhouse-gas-reporting-conversion-factors-2025" TargetMode="External"/><Relationship Id="rId26" Type="http://schemas.openxmlformats.org/officeDocument/2006/relationships/hyperlink" Target="https://www.gov.uk/government/publications/greenhouse-gas-reporting-conversion-factors-2025" TargetMode="External"/><Relationship Id="rId39" Type="http://schemas.openxmlformats.org/officeDocument/2006/relationships/hyperlink" Target="https://openceda.org/en-GB/solutions/ceda" TargetMode="External"/><Relationship Id="rId21" Type="http://schemas.openxmlformats.org/officeDocument/2006/relationships/hyperlink" Target="https://www.gov.uk/government/publications/greenhouse-gas-reporting-conversion-factors-2025" TargetMode="External"/><Relationship Id="rId34" Type="http://schemas.openxmlformats.org/officeDocument/2006/relationships/hyperlink" Target="https://openceda.org/en-GB/solutions/ceda" TargetMode="External"/><Relationship Id="rId42" Type="http://schemas.openxmlformats.org/officeDocument/2006/relationships/hyperlink" Target="https://openceda.org/en-GB/solutions/ceda" TargetMode="External"/><Relationship Id="rId47" Type="http://schemas.openxmlformats.org/officeDocument/2006/relationships/hyperlink" Target="https://openceda.org/en-GB/solutions/ceda" TargetMode="External"/><Relationship Id="rId50" Type="http://schemas.openxmlformats.org/officeDocument/2006/relationships/table" Target="../tables/table46.xml"/><Relationship Id="rId55" Type="http://schemas.openxmlformats.org/officeDocument/2006/relationships/table" Target="../tables/table51.xml"/><Relationship Id="rId7" Type="http://schemas.openxmlformats.org/officeDocument/2006/relationships/hyperlink" Target="https://openceda.org/en-GB/solutions/ceda" TargetMode="External"/><Relationship Id="rId2" Type="http://schemas.openxmlformats.org/officeDocument/2006/relationships/hyperlink" Target="https://openceda.org/en-GB/solutions/ceda" TargetMode="External"/><Relationship Id="rId16" Type="http://schemas.openxmlformats.org/officeDocument/2006/relationships/hyperlink" Target="https://www.gov.uk/government/publications/greenhouse-gas-reporting-conversion-factors-2025" TargetMode="External"/><Relationship Id="rId29" Type="http://schemas.openxmlformats.org/officeDocument/2006/relationships/hyperlink" Target="https://www.gov.uk/government/publications/greenhouse-gas-reporting-conversion-factors-2025" TargetMode="External"/><Relationship Id="rId11" Type="http://schemas.openxmlformats.org/officeDocument/2006/relationships/hyperlink" Target="https://www.gov.uk/government/publications/greenhouse-gas-reporting-conversion-factors-2025" TargetMode="External"/><Relationship Id="rId24" Type="http://schemas.openxmlformats.org/officeDocument/2006/relationships/hyperlink" Target="https://www.gov.uk/government/publications/greenhouse-gas-reporting-conversion-factors-2025" TargetMode="External"/><Relationship Id="rId32" Type="http://schemas.openxmlformats.org/officeDocument/2006/relationships/hyperlink" Target="https://openceda.org/en-GB/solutions/ceda" TargetMode="External"/><Relationship Id="rId37" Type="http://schemas.openxmlformats.org/officeDocument/2006/relationships/hyperlink" Target="https://www.gov.uk/government/publications/greenhouse-gas-reporting-conversion-factors-2025" TargetMode="External"/><Relationship Id="rId40" Type="http://schemas.openxmlformats.org/officeDocument/2006/relationships/hyperlink" Target="https://openceda.org/en-GB/solutions/ceda" TargetMode="External"/><Relationship Id="rId45" Type="http://schemas.openxmlformats.org/officeDocument/2006/relationships/hyperlink" Target="https://openceda.org/en-GB/solutions/ceda" TargetMode="External"/><Relationship Id="rId53" Type="http://schemas.openxmlformats.org/officeDocument/2006/relationships/table" Target="../tables/table49.xml"/><Relationship Id="rId58" Type="http://schemas.openxmlformats.org/officeDocument/2006/relationships/table" Target="../tables/table54.xml"/><Relationship Id="rId5" Type="http://schemas.openxmlformats.org/officeDocument/2006/relationships/hyperlink" Target="https://openceda.org/en-GB/solutions/ceda" TargetMode="External"/><Relationship Id="rId19" Type="http://schemas.openxmlformats.org/officeDocument/2006/relationships/hyperlink" Target="https://www.gov.uk/government/publications/greenhouse-gas-reporting-conversion-factors-2025" TargetMode="External"/><Relationship Id="rId4" Type="http://schemas.openxmlformats.org/officeDocument/2006/relationships/hyperlink" Target="https://openceda.org/en-GB/solutions/ceda" TargetMode="External"/><Relationship Id="rId9" Type="http://schemas.openxmlformats.org/officeDocument/2006/relationships/hyperlink" Target="https://www.gov.uk/government/publications/greenhouse-gas-reporting-conversion-factors-2025" TargetMode="External"/><Relationship Id="rId14" Type="http://schemas.openxmlformats.org/officeDocument/2006/relationships/hyperlink" Target="https://www.gov.uk/government/publications/greenhouse-gas-reporting-conversion-factors-2025" TargetMode="External"/><Relationship Id="rId22" Type="http://schemas.openxmlformats.org/officeDocument/2006/relationships/hyperlink" Target="https://www.gov.uk/government/publications/greenhouse-gas-reporting-conversion-factors-2025" TargetMode="External"/><Relationship Id="rId27" Type="http://schemas.openxmlformats.org/officeDocument/2006/relationships/hyperlink" Target="https://www.gov.uk/government/publications/greenhouse-gas-reporting-conversion-factors-2025" TargetMode="External"/><Relationship Id="rId30" Type="http://schemas.openxmlformats.org/officeDocument/2006/relationships/hyperlink" Target="https://openceda.org/en-GB/solutions/ceda" TargetMode="External"/><Relationship Id="rId35" Type="http://schemas.openxmlformats.org/officeDocument/2006/relationships/hyperlink" Target="https://openceda.org/en-GB/solutions/ceda" TargetMode="External"/><Relationship Id="rId43" Type="http://schemas.openxmlformats.org/officeDocument/2006/relationships/hyperlink" Target="https://openceda.org/en-GB/solutions/ceda" TargetMode="External"/><Relationship Id="rId48" Type="http://schemas.openxmlformats.org/officeDocument/2006/relationships/hyperlink" Target="https://openceda.org/en-GB/solutions/ceda" TargetMode="External"/><Relationship Id="rId56" Type="http://schemas.openxmlformats.org/officeDocument/2006/relationships/table" Target="../tables/table52.xml"/><Relationship Id="rId8" Type="http://schemas.openxmlformats.org/officeDocument/2006/relationships/hyperlink" Target="https://openceda.org/en-GB/solutions/ceda" TargetMode="External"/><Relationship Id="rId51" Type="http://schemas.openxmlformats.org/officeDocument/2006/relationships/table" Target="../tables/table47.xml"/><Relationship Id="rId3" Type="http://schemas.openxmlformats.org/officeDocument/2006/relationships/hyperlink" Target="https://openceda.org/en-GB/solutions/ceda" TargetMode="External"/><Relationship Id="rId12" Type="http://schemas.openxmlformats.org/officeDocument/2006/relationships/hyperlink" Target="https://www.gov.uk/government/publications/greenhouse-gas-reporting-conversion-factors-2025" TargetMode="External"/><Relationship Id="rId17" Type="http://schemas.openxmlformats.org/officeDocument/2006/relationships/hyperlink" Target="https://www.gov.uk/government/publications/greenhouse-gas-reporting-conversion-factors-2025" TargetMode="External"/><Relationship Id="rId25" Type="http://schemas.openxmlformats.org/officeDocument/2006/relationships/hyperlink" Target="https://www.gov.uk/government/publications/greenhouse-gas-reporting-conversion-factors-2025" TargetMode="External"/><Relationship Id="rId33" Type="http://schemas.openxmlformats.org/officeDocument/2006/relationships/hyperlink" Target="https://openceda.org/en-GB/solutions/ceda" TargetMode="External"/><Relationship Id="rId38" Type="http://schemas.openxmlformats.org/officeDocument/2006/relationships/hyperlink" Target="https://openceda.org/en-GB/solutions/ceda" TargetMode="External"/><Relationship Id="rId46" Type="http://schemas.openxmlformats.org/officeDocument/2006/relationships/hyperlink" Target="https://openceda.org/en-GB/solutions/ceda" TargetMode="External"/><Relationship Id="rId59" Type="http://schemas.openxmlformats.org/officeDocument/2006/relationships/table" Target="../tables/table55.xml"/><Relationship Id="rId20" Type="http://schemas.openxmlformats.org/officeDocument/2006/relationships/hyperlink" Target="https://www.gov.uk/government/publications/greenhouse-gas-reporting-conversion-factors-2025" TargetMode="External"/><Relationship Id="rId41" Type="http://schemas.openxmlformats.org/officeDocument/2006/relationships/hyperlink" Target="https://openceda.org/en-GB/solutions/ceda" TargetMode="External"/><Relationship Id="rId54" Type="http://schemas.openxmlformats.org/officeDocument/2006/relationships/table" Target="../tables/table50.xml"/><Relationship Id="rId1" Type="http://schemas.openxmlformats.org/officeDocument/2006/relationships/hyperlink" Target="https://openceda.org/en-GB/solutions/ceda" TargetMode="External"/><Relationship Id="rId6" Type="http://schemas.openxmlformats.org/officeDocument/2006/relationships/hyperlink" Target="https://openceda.org/en-GB/solutions/ceda" TargetMode="External"/><Relationship Id="rId15" Type="http://schemas.openxmlformats.org/officeDocument/2006/relationships/hyperlink" Target="https://www.gov.uk/government/publications/greenhouse-gas-reporting-conversion-factors-2025" TargetMode="External"/><Relationship Id="rId23" Type="http://schemas.openxmlformats.org/officeDocument/2006/relationships/hyperlink" Target="https://www.gov.uk/government/publications/greenhouse-gas-reporting-conversion-factors-2025" TargetMode="External"/><Relationship Id="rId28" Type="http://schemas.openxmlformats.org/officeDocument/2006/relationships/hyperlink" Target="https://www.gov.uk/government/publications/greenhouse-gas-reporting-conversion-factors-2025" TargetMode="External"/><Relationship Id="rId36" Type="http://schemas.openxmlformats.org/officeDocument/2006/relationships/hyperlink" Target="https://www.gov.uk/government/publications/greenhouse-gas-reporting-conversion-factors-2025" TargetMode="External"/><Relationship Id="rId49" Type="http://schemas.openxmlformats.org/officeDocument/2006/relationships/hyperlink" Target="https://openceda.org/en-GB/solutions/ceda" TargetMode="External"/><Relationship Id="rId57" Type="http://schemas.openxmlformats.org/officeDocument/2006/relationships/table" Target="../tables/table53.xml"/><Relationship Id="rId10" Type="http://schemas.openxmlformats.org/officeDocument/2006/relationships/hyperlink" Target="https://www.gov.uk/government/publications/greenhouse-gas-reporting-conversion-factors-2025" TargetMode="External"/><Relationship Id="rId31" Type="http://schemas.openxmlformats.org/officeDocument/2006/relationships/hyperlink" Target="https://openceda.org/en-GB/solutions/ceda" TargetMode="External"/><Relationship Id="rId44" Type="http://schemas.openxmlformats.org/officeDocument/2006/relationships/hyperlink" Target="https://openceda.org/en-GB/solutions/ceda" TargetMode="External"/><Relationship Id="rId52" Type="http://schemas.openxmlformats.org/officeDocument/2006/relationships/table" Target="../tables/table4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3CCE7-1956-4B3E-9312-B1473FC0D457}">
  <sheetPr>
    <tabColor rgb="FF125359"/>
  </sheetPr>
  <dimension ref="A1"/>
  <sheetViews>
    <sheetView showGridLines="0" workbookViewId="0"/>
  </sheetViews>
  <sheetFormatPr defaultRowHeight="14.5" x14ac:dyDescent="0.35"/>
  <sheetData>
    <row r="1" spans="1:1" x14ac:dyDescent="0.35">
      <c r="A1" t="s">
        <v>878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7EEEE"/>
  </sheetPr>
  <dimension ref="B1:AD33"/>
  <sheetViews>
    <sheetView tabSelected="1" showGridLines="0" zoomScale="80" zoomScaleNormal="80" workbookViewId="0"/>
  </sheetViews>
  <sheetFormatPr defaultRowHeight="14.5" x14ac:dyDescent="0.35"/>
  <cols>
    <col min="1" max="1" width="2.6328125" style="4" customWidth="1"/>
    <col min="2" max="2" width="16.453125" style="4" bestFit="1" customWidth="1"/>
    <col min="3" max="14" width="10.6328125" style="4" customWidth="1"/>
    <col min="15" max="18" width="8.7265625" style="4"/>
    <col min="19" max="19" width="2.6328125" style="4" customWidth="1"/>
    <col min="20" max="20" width="15.6328125" style="4" customWidth="1"/>
    <col min="21" max="21" width="2.6328125" style="4" customWidth="1"/>
    <col min="22" max="29" width="8.7265625" style="4"/>
    <col min="30" max="30" width="2.6328125" style="4" customWidth="1"/>
    <col min="31" max="16384" width="8.7265625" style="4"/>
  </cols>
  <sheetData>
    <row r="1" spans="2:30" s="3" customFormat="1" x14ac:dyDescent="0.35">
      <c r="B1" s="147" t="str">
        <f>const_Company_Name &amp; " Corporate Carbon Footprint Calculation"</f>
        <v>[Ihr Unternehmen] Corporate Carbon Footprint Calculation</v>
      </c>
    </row>
    <row r="2" spans="2:30" s="3" customFormat="1" x14ac:dyDescent="0.35">
      <c r="B2" s="147" t="str">
        <f>"01/01/" &amp; const_Reporting_Year &amp; " - 31/12/" &amp; const_Reporting_Year</f>
        <v>01/01/2025 - 31/12/2025</v>
      </c>
    </row>
    <row r="4" x14ac:dyDescent="0.35">
      <c r="B4" s="5" t="s">
        <v>2598</v>
      </c>
      <c r="C4" s="210" t="inlineStr">
        <is>
          <t xml:space="preserve">[Ihr Unternehmen]</t>
        </is>
      </c>
      <c r="D4" s="192"/>
      <c r="E4" s="192"/>
      <c r="F4" s="193"/>
    </row>
    <row r="5" spans="2:30" ht="5" customHeight="1" x14ac:dyDescent="0.35"/>
    <row r="6" x14ac:dyDescent="0.35">
      <c r="B6" s="5" t="s">
        <v>2599</v>
      </c>
      <c r="C6" s="210">
        <v>2025</v>
      </c>
      <c r="D6" s="192"/>
      <c r="E6" s="192"/>
      <c r="F6" s="193"/>
    </row>
    <row r="8" spans="2:30" ht="38" customHeight="1" x14ac:dyDescent="0.35">
      <c r="B8" s="194" t="s">
        <v>2600</v>
      </c>
      <c r="C8" s="195"/>
      <c r="D8" s="195"/>
      <c r="E8" s="195"/>
      <c r="F8" s="195"/>
      <c r="G8" s="195"/>
      <c r="H8" s="195"/>
      <c r="I8" s="195"/>
      <c r="J8" s="195"/>
      <c r="K8" s="195"/>
      <c r="L8" s="195"/>
      <c r="M8" s="195"/>
      <c r="N8" s="195"/>
      <c r="O8" s="195"/>
      <c r="P8" s="195"/>
      <c r="Q8" s="196"/>
      <c r="S8" s="151"/>
      <c r="T8" s="152" t="s">
        <v>2601</v>
      </c>
      <c r="U8" s="153"/>
      <c r="V8" s="153"/>
      <c r="W8" s="153"/>
      <c r="X8" s="153"/>
      <c r="Y8" s="153"/>
      <c r="Z8" s="153"/>
      <c r="AA8" s="153"/>
      <c r="AB8" s="153"/>
      <c r="AC8" s="153"/>
      <c r="AD8" s="154"/>
    </row>
    <row r="9" spans="2:30" ht="38" customHeight="1" x14ac:dyDescent="0.35">
      <c r="B9" s="197"/>
      <c r="C9" s="198"/>
      <c r="D9" s="198"/>
      <c r="E9" s="198"/>
      <c r="F9" s="198"/>
      <c r="G9" s="198"/>
      <c r="H9" s="198"/>
      <c r="I9" s="198"/>
      <c r="J9" s="198"/>
      <c r="K9" s="198"/>
      <c r="L9" s="198"/>
      <c r="M9" s="198"/>
      <c r="N9" s="198"/>
      <c r="O9" s="198"/>
      <c r="P9" s="198"/>
      <c r="Q9" s="199"/>
      <c r="S9" s="155"/>
      <c r="AD9" s="156"/>
    </row>
    <row r="10" spans="2:30" ht="38" customHeight="1" x14ac:dyDescent="0.35">
      <c r="B10" s="197"/>
      <c r="C10" s="198"/>
      <c r="D10" s="198"/>
      <c r="E10" s="198"/>
      <c r="F10" s="198"/>
      <c r="G10" s="198"/>
      <c r="H10" s="198"/>
      <c r="I10" s="198"/>
      <c r="J10" s="198"/>
      <c r="K10" s="198"/>
      <c r="L10" s="198"/>
      <c r="M10" s="198"/>
      <c r="N10" s="198"/>
      <c r="O10" s="198"/>
      <c r="P10" s="198"/>
      <c r="Q10" s="199"/>
      <c r="S10" s="155"/>
      <c r="T10" s="150"/>
      <c r="V10" s="4" t="s">
        <v>2602</v>
      </c>
      <c r="AD10" s="156"/>
    </row>
    <row r="11" spans="2:30" ht="38" customHeight="1" x14ac:dyDescent="0.35">
      <c r="B11" s="197"/>
      <c r="C11" s="198"/>
      <c r="D11" s="198"/>
      <c r="E11" s="198"/>
      <c r="F11" s="198"/>
      <c r="G11" s="198"/>
      <c r="H11" s="198"/>
      <c r="I11" s="198"/>
      <c r="J11" s="198"/>
      <c r="K11" s="198"/>
      <c r="L11" s="198"/>
      <c r="M11" s="198"/>
      <c r="N11" s="198"/>
      <c r="O11" s="198"/>
      <c r="P11" s="198"/>
      <c r="Q11" s="199"/>
      <c r="S11" s="155"/>
      <c r="T11" s="157"/>
      <c r="V11" s="4" t="s">
        <v>2603</v>
      </c>
      <c r="AD11" s="156"/>
    </row>
    <row r="12" spans="2:30" ht="38" customHeight="1" x14ac:dyDescent="0.35">
      <c r="B12" s="197"/>
      <c r="C12" s="198"/>
      <c r="D12" s="198"/>
      <c r="E12" s="198"/>
      <c r="F12" s="198"/>
      <c r="G12" s="198"/>
      <c r="H12" s="198"/>
      <c r="I12" s="198"/>
      <c r="J12" s="198"/>
      <c r="K12" s="198"/>
      <c r="L12" s="198"/>
      <c r="M12" s="198"/>
      <c r="N12" s="198"/>
      <c r="O12" s="198"/>
      <c r="P12" s="198"/>
      <c r="Q12" s="199"/>
      <c r="S12" s="155"/>
      <c r="T12" s="158"/>
      <c r="V12" s="4" t="s">
        <v>2604</v>
      </c>
      <c r="AD12" s="156"/>
    </row>
    <row r="13" spans="2:30" ht="38" customHeight="1" x14ac:dyDescent="0.35">
      <c r="B13" s="200"/>
      <c r="C13" s="201"/>
      <c r="D13" s="201"/>
      <c r="E13" s="201"/>
      <c r="F13" s="201"/>
      <c r="G13" s="201"/>
      <c r="H13" s="201"/>
      <c r="I13" s="201"/>
      <c r="J13" s="201"/>
      <c r="K13" s="201"/>
      <c r="L13" s="201"/>
      <c r="M13" s="201"/>
      <c r="N13" s="201"/>
      <c r="O13" s="201"/>
      <c r="P13" s="201"/>
      <c r="Q13" s="202"/>
      <c r="S13" s="159"/>
      <c r="T13" s="7"/>
      <c r="U13" s="7"/>
      <c r="V13" s="7"/>
      <c r="W13" s="7"/>
      <c r="X13" s="7"/>
      <c r="Y13" s="7"/>
      <c r="Z13" s="7"/>
      <c r="AA13" s="7"/>
      <c r="AB13" s="7"/>
      <c r="AC13" s="7"/>
      <c r="AD13" s="160"/>
    </row>
    <row r="14" spans="2:30" ht="10" customHeight="1" x14ac:dyDescent="0.35">
      <c r="B14" s="146"/>
      <c r="C14" s="146"/>
      <c r="D14" s="146"/>
      <c r="E14" s="146"/>
      <c r="F14" s="146"/>
      <c r="G14" s="146"/>
      <c r="H14" s="146"/>
      <c r="I14" s="146"/>
      <c r="J14" s="146"/>
      <c r="K14" s="146"/>
      <c r="L14" s="146"/>
      <c r="M14" s="146"/>
      <c r="N14" s="146"/>
    </row>
    <row r="15" spans="2:30" ht="37" customHeight="1" x14ac:dyDescent="0.35">
      <c r="B15" s="182" t="s">
        <v>2605</v>
      </c>
      <c r="C15" s="183"/>
      <c r="D15" s="183"/>
      <c r="E15" s="183"/>
      <c r="F15" s="183"/>
      <c r="G15" s="183"/>
      <c r="H15" s="183"/>
      <c r="I15" s="183"/>
      <c r="J15" s="183"/>
      <c r="K15" s="183"/>
      <c r="L15" s="183"/>
      <c r="M15" s="183"/>
      <c r="N15" s="183"/>
      <c r="O15" s="183"/>
      <c r="P15" s="183"/>
      <c r="Q15" s="184"/>
    </row>
    <row r="16" spans="2:30" ht="37" customHeight="1" x14ac:dyDescent="0.35">
      <c r="B16" s="185"/>
      <c r="C16" s="186"/>
      <c r="D16" s="186"/>
      <c r="E16" s="186"/>
      <c r="F16" s="186"/>
      <c r="G16" s="186"/>
      <c r="H16" s="186"/>
      <c r="I16" s="186"/>
      <c r="J16" s="186"/>
      <c r="K16" s="186"/>
      <c r="L16" s="186"/>
      <c r="M16" s="186"/>
      <c r="N16" s="186"/>
      <c r="O16" s="186"/>
      <c r="P16" s="186"/>
      <c r="Q16" s="187"/>
    </row>
    <row r="17" spans="2:17" ht="37" customHeight="1" x14ac:dyDescent="0.35">
      <c r="B17" s="185"/>
      <c r="C17" s="186"/>
      <c r="D17" s="186"/>
      <c r="E17" s="186"/>
      <c r="F17" s="186"/>
      <c r="G17" s="186"/>
      <c r="H17" s="186"/>
      <c r="I17" s="186"/>
      <c r="J17" s="186"/>
      <c r="K17" s="186"/>
      <c r="L17" s="186"/>
      <c r="M17" s="186"/>
      <c r="N17" s="186"/>
      <c r="O17" s="186"/>
      <c r="P17" s="186"/>
      <c r="Q17" s="187"/>
    </row>
    <row r="18" spans="2:17" ht="37" customHeight="1" x14ac:dyDescent="0.35">
      <c r="B18" s="188"/>
      <c r="C18" s="189"/>
      <c r="D18" s="189"/>
      <c r="E18" s="189"/>
      <c r="F18" s="189"/>
      <c r="G18" s="189"/>
      <c r="H18" s="189"/>
      <c r="I18" s="189"/>
      <c r="J18" s="189"/>
      <c r="K18" s="189"/>
      <c r="L18" s="189"/>
      <c r="M18" s="189"/>
      <c r="N18" s="189"/>
      <c r="O18" s="189"/>
      <c r="P18" s="189"/>
      <c r="Q18" s="190"/>
    </row>
    <row r="19" spans="2:17" ht="10" customHeight="1" x14ac:dyDescent="0.35"/>
    <row r="20" spans="2:17" ht="33" customHeight="1" x14ac:dyDescent="0.35">
      <c r="B20" s="182" t="s">
        <v>2606</v>
      </c>
      <c r="C20" s="183"/>
      <c r="D20" s="183"/>
      <c r="E20" s="183"/>
      <c r="F20" s="183"/>
      <c r="G20" s="183"/>
      <c r="H20" s="183"/>
      <c r="I20" s="183"/>
      <c r="J20" s="183"/>
      <c r="K20" s="183"/>
      <c r="L20" s="183"/>
      <c r="M20" s="183"/>
      <c r="N20" s="183"/>
      <c r="O20" s="183"/>
      <c r="P20" s="183"/>
      <c r="Q20" s="184"/>
    </row>
    <row r="21" spans="2:17" ht="33" customHeight="1" x14ac:dyDescent="0.35">
      <c r="B21" s="185"/>
      <c r="C21" s="186"/>
      <c r="D21" s="186"/>
      <c r="E21" s="186"/>
      <c r="F21" s="186"/>
      <c r="G21" s="186"/>
      <c r="H21" s="186"/>
      <c r="I21" s="186"/>
      <c r="J21" s="186"/>
      <c r="K21" s="186"/>
      <c r="L21" s="186"/>
      <c r="M21" s="186"/>
      <c r="N21" s="186"/>
      <c r="O21" s="186"/>
      <c r="P21" s="186"/>
      <c r="Q21" s="187"/>
    </row>
    <row r="22" spans="2:17" ht="33" customHeight="1" x14ac:dyDescent="0.35">
      <c r="B22" s="185"/>
      <c r="C22" s="186"/>
      <c r="D22" s="186"/>
      <c r="E22" s="186"/>
      <c r="F22" s="186"/>
      <c r="G22" s="186"/>
      <c r="H22" s="186"/>
      <c r="I22" s="186"/>
      <c r="J22" s="186"/>
      <c r="K22" s="186"/>
      <c r="L22" s="186"/>
      <c r="M22" s="186"/>
      <c r="N22" s="186"/>
      <c r="O22" s="186"/>
      <c r="P22" s="186"/>
      <c r="Q22" s="187"/>
    </row>
    <row r="23" spans="2:17" ht="33" customHeight="1" x14ac:dyDescent="0.35">
      <c r="B23" s="188"/>
      <c r="C23" s="189"/>
      <c r="D23" s="189"/>
      <c r="E23" s="189"/>
      <c r="F23" s="189"/>
      <c r="G23" s="189"/>
      <c r="H23" s="189"/>
      <c r="I23" s="189"/>
      <c r="J23" s="189"/>
      <c r="K23" s="189"/>
      <c r="L23" s="189"/>
      <c r="M23" s="189"/>
      <c r="N23" s="189"/>
      <c r="O23" s="189"/>
      <c r="P23" s="189"/>
      <c r="Q23" s="190"/>
    </row>
    <row r="25" spans="2:17" ht="28" customHeight="1" x14ac:dyDescent="0.35">
      <c r="B25" s="182" t="s">
        <v>2607</v>
      </c>
      <c r="C25" s="183"/>
      <c r="D25" s="183"/>
      <c r="E25" s="183"/>
      <c r="F25" s="183"/>
      <c r="G25" s="183"/>
      <c r="H25" s="183"/>
      <c r="I25" s="183"/>
      <c r="J25" s="183"/>
      <c r="K25" s="183"/>
      <c r="L25" s="183"/>
      <c r="M25" s="183"/>
      <c r="N25" s="183"/>
      <c r="O25" s="183"/>
      <c r="P25" s="183"/>
      <c r="Q25" s="184"/>
    </row>
    <row r="26" spans="2:17" ht="28" customHeight="1" x14ac:dyDescent="0.35">
      <c r="B26" s="185"/>
      <c r="C26" s="186"/>
      <c r="D26" s="186"/>
      <c r="E26" s="186"/>
      <c r="F26" s="186"/>
      <c r="G26" s="186"/>
      <c r="H26" s="186"/>
      <c r="I26" s="186"/>
      <c r="J26" s="186"/>
      <c r="K26" s="186"/>
      <c r="L26" s="186"/>
      <c r="M26" s="186"/>
      <c r="N26" s="186"/>
      <c r="O26" s="186"/>
      <c r="P26" s="186"/>
      <c r="Q26" s="187"/>
    </row>
    <row r="27" spans="2:17" ht="28" customHeight="1" x14ac:dyDescent="0.35">
      <c r="B27" s="185"/>
      <c r="C27" s="186"/>
      <c r="D27" s="186"/>
      <c r="E27" s="186"/>
      <c r="F27" s="186"/>
      <c r="G27" s="186"/>
      <c r="H27" s="186"/>
      <c r="I27" s="186"/>
      <c r="J27" s="186"/>
      <c r="K27" s="186"/>
      <c r="L27" s="186"/>
      <c r="M27" s="186"/>
      <c r="N27" s="186"/>
      <c r="O27" s="186"/>
      <c r="P27" s="186"/>
      <c r="Q27" s="187"/>
    </row>
    <row r="28" spans="2:17" ht="28" customHeight="1" x14ac:dyDescent="0.35">
      <c r="B28" s="185"/>
      <c r="C28" s="186"/>
      <c r="D28" s="186"/>
      <c r="E28" s="186"/>
      <c r="F28" s="186"/>
      <c r="G28" s="186"/>
      <c r="H28" s="186"/>
      <c r="I28" s="186"/>
      <c r="J28" s="186"/>
      <c r="K28" s="186"/>
      <c r="L28" s="186"/>
      <c r="M28" s="186"/>
      <c r="N28" s="186"/>
      <c r="O28" s="186"/>
      <c r="P28" s="186"/>
      <c r="Q28" s="187"/>
    </row>
    <row r="29" spans="2:17" ht="28" customHeight="1" x14ac:dyDescent="0.35">
      <c r="B29" s="185"/>
      <c r="C29" s="186"/>
      <c r="D29" s="186"/>
      <c r="E29" s="186"/>
      <c r="F29" s="186"/>
      <c r="G29" s="186"/>
      <c r="H29" s="186"/>
      <c r="I29" s="186"/>
      <c r="J29" s="186"/>
      <c r="K29" s="186"/>
      <c r="L29" s="186"/>
      <c r="M29" s="186"/>
      <c r="N29" s="186"/>
      <c r="O29" s="186"/>
      <c r="P29" s="186"/>
      <c r="Q29" s="187"/>
    </row>
    <row r="30" spans="2:17" ht="28" customHeight="1" x14ac:dyDescent="0.35">
      <c r="B30" s="185"/>
      <c r="C30" s="186"/>
      <c r="D30" s="186"/>
      <c r="E30" s="186"/>
      <c r="F30" s="186"/>
      <c r="G30" s="186"/>
      <c r="H30" s="186"/>
      <c r="I30" s="186"/>
      <c r="J30" s="186"/>
      <c r="K30" s="186"/>
      <c r="L30" s="186"/>
      <c r="M30" s="186"/>
      <c r="N30" s="186"/>
      <c r="O30" s="186"/>
      <c r="P30" s="186"/>
      <c r="Q30" s="187"/>
    </row>
    <row r="31" spans="2:17" ht="28" customHeight="1" x14ac:dyDescent="0.35">
      <c r="B31" s="185"/>
      <c r="C31" s="186"/>
      <c r="D31" s="186"/>
      <c r="E31" s="186"/>
      <c r="F31" s="186"/>
      <c r="G31" s="186"/>
      <c r="H31" s="186"/>
      <c r="I31" s="186"/>
      <c r="J31" s="186"/>
      <c r="K31" s="186"/>
      <c r="L31" s="186"/>
      <c r="M31" s="186"/>
      <c r="N31" s="186"/>
      <c r="O31" s="186"/>
      <c r="P31" s="186"/>
      <c r="Q31" s="187"/>
    </row>
    <row r="32" spans="2:17" ht="28" customHeight="1" x14ac:dyDescent="0.35">
      <c r="B32" s="185"/>
      <c r="C32" s="186"/>
      <c r="D32" s="186"/>
      <c r="E32" s="186"/>
      <c r="F32" s="186"/>
      <c r="G32" s="186"/>
      <c r="H32" s="186"/>
      <c r="I32" s="186"/>
      <c r="J32" s="186"/>
      <c r="K32" s="186"/>
      <c r="L32" s="186"/>
      <c r="M32" s="186"/>
      <c r="N32" s="186"/>
      <c r="O32" s="186"/>
      <c r="P32" s="186"/>
      <c r="Q32" s="187"/>
    </row>
    <row r="33" spans="2:17" ht="28" customHeight="1" x14ac:dyDescent="0.35">
      <c r="B33" s="188"/>
      <c r="C33" s="189"/>
      <c r="D33" s="189"/>
      <c r="E33" s="189"/>
      <c r="F33" s="189"/>
      <c r="G33" s="189"/>
      <c r="H33" s="189"/>
      <c r="I33" s="189"/>
      <c r="J33" s="189"/>
      <c r="K33" s="189"/>
      <c r="L33" s="189"/>
      <c r="M33" s="189"/>
      <c r="N33" s="189"/>
      <c r="O33" s="189"/>
      <c r="P33" s="189"/>
      <c r="Q33" s="190"/>
    </row>
  </sheetData>
  <sheetProtection algorithmName="SHA-512" hashValue="waZAhIwA29EAKsOtE1YbLaV52XBGK1ZjAulYfnJOWiyjJmUbPREIg8s1BF6qbOZ1R7YMEPk2ezVHr0P3hBmR/A==" saltValue="YO1yCFQA1GWK043chyX30w==" spinCount="100000" sheet="1" objects="1" scenarios="1" formatColumns="0" formatRows="0"/>
  <mergeCells count="6">
    <mergeCell ref="B25:Q33"/>
    <mergeCell ref="C4:F4"/>
    <mergeCell ref="C6:F6"/>
    <mergeCell ref="B8:Q13"/>
    <mergeCell ref="B15:Q18"/>
    <mergeCell ref="B20:Q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97F5D-3C41-421B-866D-8A53BE2140B9}">
  <sheetPr>
    <tabColor rgb="FFE7EEEE"/>
  </sheetPr>
  <dimension ref="B1:D33"/>
  <sheetViews>
    <sheetView showGridLines="0" zoomScale="80" zoomScaleNormal="80" workbookViewId="0">
      <selection activeCell="B1" sqref="B1:B2"/>
    </sheetView>
  </sheetViews>
  <sheetFormatPr defaultRowHeight="14.5" x14ac:dyDescent="0.35"/>
  <cols>
    <col min="1" max="1" width="2.6328125" style="4" customWidth="1"/>
    <col min="2" max="2" width="50.6328125" style="4" customWidth="1"/>
    <col min="3" max="3" width="160.7265625" style="4" bestFit="1" customWidth="1"/>
    <col min="4" max="4" width="91.6328125" style="4" bestFit="1" customWidth="1"/>
    <col min="5" max="16384" width="8.7265625" style="4"/>
  </cols>
  <sheetData>
    <row r="1" spans="2:4" s="3" customFormat="1" x14ac:dyDescent="0.35">
      <c r="B1" s="147" t="str">
        <f>const_Company_Name &amp; " Corporate Carbon Footprint Calculation"</f>
        <v>[Ihr Unternehmen] Corporate Carbon Footprint Calculation</v>
      </c>
    </row>
    <row r="2" spans="2:4" s="3" customFormat="1" x14ac:dyDescent="0.35">
      <c r="B2" s="147" t="str">
        <f>"01/01/" &amp; const_Reporting_Year &amp; " - 31/12/" &amp; const_Reporting_Year</f>
        <v>01/01/2025 - 31/12/2025</v>
      </c>
    </row>
    <row r="4" spans="2:4" ht="35" customHeight="1" x14ac:dyDescent="0.35">
      <c r="B4" s="8" t="s">
        <v>20</v>
      </c>
      <c r="C4" s="8" t="s">
        <v>18</v>
      </c>
      <c r="D4" s="8" t="s">
        <v>19</v>
      </c>
    </row>
    <row r="5" spans="2:4" ht="5" customHeight="1" x14ac:dyDescent="0.35">
      <c r="B5" s="6"/>
      <c r="C5" s="6"/>
      <c r="D5" s="6"/>
    </row>
    <row r="6" spans="2:4" ht="25" customHeight="1" x14ac:dyDescent="0.35">
      <c r="B6" s="203" t="s">
        <v>2</v>
      </c>
      <c r="C6" s="204"/>
      <c r="D6" s="204"/>
    </row>
    <row r="7" spans="2:4" ht="5" customHeight="1" x14ac:dyDescent="0.35">
      <c r="B7" s="6"/>
      <c r="C7" s="6"/>
      <c r="D7" s="6"/>
    </row>
    <row r="8" spans="2:4" ht="20" customHeight="1" x14ac:dyDescent="0.35">
      <c r="B8" s="9" t="s">
        <v>3</v>
      </c>
      <c r="C8" s="9" t="s">
        <v>1271</v>
      </c>
      <c r="D8" s="9" t="s">
        <v>1269</v>
      </c>
    </row>
    <row r="9" spans="2:4" ht="20" customHeight="1" x14ac:dyDescent="0.35">
      <c r="B9" s="9" t="s">
        <v>4</v>
      </c>
      <c r="C9" s="9" t="s">
        <v>1270</v>
      </c>
      <c r="D9" s="9" t="s">
        <v>1272</v>
      </c>
    </row>
    <row r="10" spans="2:4" ht="20" customHeight="1" x14ac:dyDescent="0.35">
      <c r="B10" s="9" t="s">
        <v>5</v>
      </c>
      <c r="C10" s="9" t="s">
        <v>1274</v>
      </c>
      <c r="D10" s="9" t="s">
        <v>1273</v>
      </c>
    </row>
    <row r="11" spans="2:4" ht="5" customHeight="1" x14ac:dyDescent="0.35">
      <c r="B11" s="6"/>
      <c r="C11" s="6"/>
      <c r="D11" s="6"/>
    </row>
    <row r="12" spans="2:4" ht="25" customHeight="1" x14ac:dyDescent="0.35">
      <c r="B12" s="203" t="s">
        <v>6</v>
      </c>
      <c r="C12" s="204"/>
      <c r="D12" s="204"/>
    </row>
    <row r="13" spans="2:4" ht="5" customHeight="1" x14ac:dyDescent="0.35">
      <c r="B13" s="6"/>
      <c r="C13" s="6"/>
      <c r="D13" s="6"/>
    </row>
    <row r="14" spans="2:4" ht="20" customHeight="1" x14ac:dyDescent="0.35">
      <c r="B14" s="9" t="s">
        <v>7</v>
      </c>
      <c r="C14" s="9" t="s">
        <v>1275</v>
      </c>
      <c r="D14" s="9" t="s">
        <v>1276</v>
      </c>
    </row>
    <row r="15" spans="2:4" ht="20" customHeight="1" x14ac:dyDescent="0.35">
      <c r="B15" s="9" t="s">
        <v>8</v>
      </c>
      <c r="C15" s="9" t="s">
        <v>1277</v>
      </c>
      <c r="D15" s="9"/>
    </row>
    <row r="16" spans="2:4" ht="5" customHeight="1" x14ac:dyDescent="0.35">
      <c r="B16" s="6"/>
      <c r="C16" s="6"/>
      <c r="D16" s="6"/>
    </row>
    <row r="17" ht="25" customHeight="1" x14ac:dyDescent="0.35">
      <c r="B17" s="203" t="s">
        <v>9</v>
      </c>
      <c r="C17" s="204"/>
      <c r="D17" s="204"/>
    </row>
    <row r="18" spans="2:4" ht="5" customHeight="1" x14ac:dyDescent="0.35">
      <c r="B18" s="7"/>
      <c r="C18" s="7"/>
      <c r="D18" s="7"/>
    </row>
    <row r="19" spans="2:4" ht="20" customHeight="1" x14ac:dyDescent="0.35">
      <c r="B19" s="9" t="s">
        <v>10</v>
      </c>
      <c r="C19" s="9" t="s">
        <v>1278</v>
      </c>
      <c r="D19" s="9" t="s">
        <v>1279</v>
      </c>
    </row>
    <row r="20" spans="2:4" ht="20" customHeight="1" x14ac:dyDescent="0.35">
      <c r="B20" s="9" t="s">
        <v>11</v>
      </c>
      <c r="C20" s="9" t="s">
        <v>1280</v>
      </c>
      <c r="D20" s="9" t="s">
        <v>1281</v>
      </c>
    </row>
    <row r="21" spans="2:4" ht="20" customHeight="1" x14ac:dyDescent="0.35">
      <c r="B21" s="9" t="s">
        <v>12</v>
      </c>
      <c r="C21" s="9" t="s">
        <v>1282</v>
      </c>
      <c r="D21" s="9" t="s">
        <v>1283</v>
      </c>
    </row>
    <row r="22" spans="2:4" ht="20" customHeight="1" x14ac:dyDescent="0.35">
      <c r="B22" s="9" t="s">
        <v>13</v>
      </c>
      <c r="C22" s="9" t="s">
        <v>1284</v>
      </c>
      <c r="D22" s="9" t="s">
        <v>1285</v>
      </c>
    </row>
    <row r="23" spans="2:4" ht="20" customHeight="1" x14ac:dyDescent="0.35">
      <c r="B23" s="9" t="s">
        <v>14</v>
      </c>
      <c r="C23" s="9" t="s">
        <v>1286</v>
      </c>
      <c r="D23" s="9" t="s">
        <v>1287</v>
      </c>
    </row>
    <row r="24" spans="2:4" ht="20" customHeight="1" x14ac:dyDescent="0.35">
      <c r="B24" s="9" t="s">
        <v>15</v>
      </c>
      <c r="C24" s="9" t="s">
        <v>1288</v>
      </c>
      <c r="D24" s="9" t="s">
        <v>1289</v>
      </c>
    </row>
    <row r="25" spans="2:4" ht="20" customHeight="1" x14ac:dyDescent="0.35">
      <c r="B25" s="9" t="s">
        <v>16</v>
      </c>
      <c r="C25" s="9" t="s">
        <v>1290</v>
      </c>
      <c r="D25" s="9" t="s">
        <v>1291</v>
      </c>
    </row>
    <row r="26" ht="20" customHeight="1" x14ac:dyDescent="0.35">
      <c r="B26" s="9" t="s">
        <v>17</v>
      </c>
      <c r="C26" s="9" t="s">
        <v>1292</v>
      </c>
      <c r="D26" s="9" t="s">
        <v>1293</v>
      </c>
    </row>
    <row r="28">
      <c r="B28" s="203" t="inlineStr">
        <is>
          <t xml:space="preserve">Extensions v0.32</t>
        </is>
      </c>
    </row>
    <row r="30" ht="30" customHeight="1">
      <c r="B30" s="9" t="inlineStr">
        <is>
          <t xml:space="preserve">1.03. Process Emissions</t>
        </is>
      </c>
      <c r="C30" s="9" t="inlineStr">
        <is>
          <t xml:space="preserve">Direct GHG emissions from chemical or physical processes other than combustion (new in v0.32, direct entry in t CO2e)</t>
        </is>
      </c>
      <c r="D30" s="9" t="inlineStr">
        <is>
          <t xml:space="preserve">Calcination (cement, lime, ceramics, glass), chemical processes</t>
        </is>
      </c>
    </row>
    <row r="31" ht="30" customHeight="1">
      <c r="B31" s="9" t="inlineStr">
        <is>
          <t xml:space="preserve">3.11. Use of Sold Products</t>
        </is>
      </c>
      <c r="C31" s="9" t="inlineStr">
        <is>
          <t xml:space="preserve">Direct use-phase emissions of sold energy-using products over their lifetime (new in v0.32, simplified)</t>
        </is>
      </c>
      <c r="D31" s="9" t="inlineStr">
        <is>
          <t xml:space="preserve">Machines, vehicles, appliances that consume fuel or electricity</t>
        </is>
      </c>
    </row>
    <row r="32" ht="30" customHeight="1">
      <c r="B32" s="9" t="inlineStr">
        <is>
          <t xml:space="preserve">3.12. End-of-Life Treatment of Sold Products</t>
        </is>
      </c>
      <c r="C32" s="9" t="inlineStr">
        <is>
          <t xml:space="preserve">Emissions from disposal and treatment of sold products at the end of their life (new in v0.32, simplified)</t>
        </is>
      </c>
      <c r="D32" s="9" t="inlineStr">
        <is>
          <t xml:space="preserve">Recycling, incineration, landfill of sold products</t>
        </is>
      </c>
    </row>
    <row r="33" ht="30" customHeight="1">
      <c r="B33" s="9" t="inlineStr">
        <is>
          <t xml:space="preserve">Scope 3 Screening</t>
        </is>
      </c>
      <c r="C33" s="9" t="inlineStr">
        <is>
          <t xml:space="preserve">Materiality check of all 15 Scope 3 categories incl. CDP sector view (new in v0.32)</t>
        </is>
      </c>
      <c r="D33" s="9" t="inlineStr">
        <is>
          <t xml:space="preserve">Basis for prioritising data collection</t>
        </is>
      </c>
    </row>
  </sheetData>
  <mergeCells count="3">
    <mergeCell ref="B6:D6"/>
    <mergeCell ref="B12:D12"/>
    <mergeCell ref="B17:D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BE2F1-910F-4ABB-BEB3-AB049E39E4E0}">
  <sheetPr>
    <tabColor rgb="FF125359"/>
  </sheetPr>
  <dimension ref="A1"/>
  <sheetViews>
    <sheetView showGridLines="0" workbookViewId="0"/>
  </sheetViews>
  <sheetFormatPr defaultRowHeight="14.5" x14ac:dyDescent="0.3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47119-F619-4C7E-AC76-E3B3666A615F}">
  <sheetPr>
    <tabColor rgb="FFE7EEEE"/>
  </sheetPr>
  <dimension ref="A1:H50"/>
  <sheetViews>
    <sheetView showGridLines="0" zoomScale="70" zoomScaleNormal="70" workbookViewId="0">
      <selection activeCell="C9" sqref="C9"/>
    </sheetView>
  </sheetViews>
  <sheetFormatPr defaultRowHeight="14.5" x14ac:dyDescent="0.35"/>
  <cols>
    <col min="1" max="1" width="2.6328125" style="4" customWidth="1"/>
    <col min="2" max="7" width="40.6328125" style="4" customWidth="1"/>
    <col min="8" max="8" width="30.6328125" style="4" customWidth="1"/>
    <col min="9" max="16384" width="8.7265625" style="4"/>
  </cols>
  <sheetData>
    <row r="1" spans="1:7" s="3" customFormat="1" x14ac:dyDescent="0.35">
      <c r="A1" s="3" t="s">
        <v>878</v>
      </c>
      <c r="B1" s="147" t="str">
        <f>const_Company_Name &amp; " Corporate Carbon Footprint Calculation"</f>
        <v>[Ihr Unternehmen] Corporate Carbon Footprint Calculation</v>
      </c>
    </row>
    <row r="2" spans="1:7" s="3" customFormat="1" x14ac:dyDescent="0.35">
      <c r="B2" s="147" t="str">
        <f>"01/01/" &amp; const_Reporting_Year &amp; " - 31/12/" &amp; const_Reporting_Year</f>
        <v>01/01/2025 - 31/12/2025</v>
      </c>
    </row>
    <row r="3" spans="1:7" x14ac:dyDescent="0.35">
      <c r="A3" s="4" t="s">
        <v>856</v>
      </c>
    </row>
    <row r="4" spans="1:7" ht="30" customHeight="1" x14ac:dyDescent="0.35">
      <c r="B4" s="8" t="s">
        <v>20</v>
      </c>
      <c r="C4" s="8" t="s">
        <v>2608</v>
      </c>
      <c r="D4" s="8" t="s">
        <v>2609</v>
      </c>
      <c r="E4" s="8" t="s">
        <v>2610</v>
      </c>
      <c r="F4" s="8" t="s">
        <v>2611</v>
      </c>
      <c r="G4" s="8" t="s">
        <v>2612</v>
      </c>
    </row>
    <row r="6" ht="25" customHeight="1">
      <c r="B6" s="203" t="inlineStr">
        <is>
          <t xml:space="preserve">Scope 1</t>
        </is>
      </c>
      <c r="C6" s="204"/>
      <c r="D6" s="204"/>
      <c r="E6" s="204"/>
      <c r="F6" s="204"/>
      <c r="G6" s="205"/>
    </row>
    <row r="8" ht="20" customHeight="1">
      <c r="B8" s="5" t="inlineStr">
        <is>
          <t xml:space="preserve">1.01. Stationary Combustion</t>
        </is>
      </c>
      <c r="C8" s="66">
        <f>SUM(tbl_1.01._Calculation[Emissions 1.01. (kg CO2e)])</f>
        <v>0</v>
      </c>
      <c r="D8" s="66">
        <f>SUM(tbl_1.01._Calculation[Emissions CO2 1.01. (kg CO2e)])</f>
        <v>0</v>
      </c>
      <c r="E8" s="66">
        <f>SUM(tbl_1.01._Calculation[Emissions CH4 1.01. (kg CO2e)])</f>
        <v>0</v>
      </c>
      <c r="F8" s="66">
        <f>SUM(tbl_1.01._Calculation[Emissions N2O 1.01. (kg CO2e)])</f>
        <v>0</v>
      </c>
      <c r="G8" s="66">
        <v>0</v>
      </c>
    </row>
    <row r="9" ht="20" customHeight="1">
      <c r="B9" s="5" t="s">
        <v>2613</v>
      </c>
      <c r="C9" s="66">
        <f>SUM(tbl_Mobile_Combustion_km[Emissions 1.01. (kg CO2e)], Table5[Emissions 1.01. (kg CO2e)], tbl_HGV_Calculation[Emissions 1.01. (kg CO2e)])</f>
        <v>0</v>
      </c>
      <c r="D9" s="66">
        <f>SUM(tbl_Mobile_Combustion_km[Emissions CO2 1.01. (kg CO2e)], Table5[Emissions CO2 1.01. (kg CO2e)], tbl_HGV_Calculation[Emissions CO2 1.01. (kg CO2e)])</f>
        <v>0</v>
      </c>
      <c r="E9" s="66">
        <f>SUM(tbl_Mobile_Combustion_km[Emissions CH4 1.01. (kg CO2e)], Table5[Emissions CH4 1.01. (kg CO2e)], tbl_HGV_Calculation[Emissions CH4 1.01. (kg CO2e)])</f>
        <v>0</v>
      </c>
      <c r="F9" s="66">
        <f>SUM(tbl_Mobile_Combustion_km[Emissions N20 1.01. (kg CO2e)], Table5[Emissions N2O 1.01. (kg CO2e)], tbl_HGV_Calculation[Emissions N20 1.01. (kg CO2e)])</f>
        <v>0</v>
      </c>
      <c r="G9" s="66">
        <v>0</v>
      </c>
    </row>
    <row r="10" ht="20" customHeight="1">
      <c r="B10" s="5" t="s">
        <v>2614</v>
      </c>
      <c r="C10" s="66">
        <f>'Scope 1'!$C$82*1000</f>
        <v>0</v>
      </c>
      <c r="D10" s="66">
        <v>0</v>
      </c>
      <c r="E10" s="66">
        <v>0</v>
      </c>
      <c r="F10" s="66">
        <v>0</v>
      </c>
      <c r="G10" s="66">
        <f>C10</f>
        <v>0</v>
      </c>
    </row>
    <row r="11" ht="20" customHeight="1">
      <c r="B11" s="5" t="s">
        <v>2615</v>
      </c>
      <c r="C11" s="66">
        <f>SUM(Table8[Emissions 1.04. (kg CO2e)])</f>
        <v>0</v>
      </c>
      <c r="D11" s="66">
        <v>0</v>
      </c>
      <c r="E11" s="66">
        <v>0</v>
      </c>
      <c r="F11" s="66">
        <v>0</v>
      </c>
      <c r="G11" s="66">
        <f>C11</f>
        <v>0</v>
      </c>
    </row>
    <row r="12" ht="5" customHeight="1">
      <c r="B12" s="6"/>
      <c r="C12" s="6"/>
      <c r="D12" s="6"/>
      <c r="E12" s="6"/>
      <c r="F12" s="6"/>
      <c r="G12" s="6"/>
    </row>
    <row r="13" ht="25" customHeight="1">
      <c r="B13" s="203" t="inlineStr">
        <is>
          <t xml:space="preserve">Scope 2</t>
        </is>
      </c>
      <c r="C13" s="204"/>
      <c r="D13" s="204"/>
      <c r="E13" s="204"/>
      <c r="F13" s="204"/>
      <c r="G13" s="205"/>
    </row>
    <row r="15" ht="20" customHeight="1">
      <c r="B15" s="5" t="s">
        <v>2616</v>
      </c>
      <c r="C15" s="66">
        <f>SUM(tbl_Electricity_Calculation[kg CO2e LB])</f>
        <v>0</v>
      </c>
      <c r="D15" s="66">
        <f>SUM(tbl_Electricity_Calculation[CO2 kg CO2e LB])</f>
        <v>0</v>
      </c>
      <c r="E15" s="66">
        <f>SUM(tbl_Electricity_Calculation[CH4 kg CO2e LB])</f>
        <v>0</v>
      </c>
      <c r="F15" s="66">
        <f>SUM(tbl_Electricity_Calculation[N2O kg CO2e LB])</f>
        <v>0</v>
      </c>
      <c r="G15" s="66">
        <f>SUM(tbl_Electricity_Calculation[Unspecified kg CO2e LB])</f>
        <v>0</v>
      </c>
    </row>
    <row r="16" ht="20" customHeight="1">
      <c r="B16" s="5" t="s">
        <v>2617</v>
      </c>
      <c r="C16" s="66">
        <f>SUM(tbl_Calculation_District_Heating[kg CO2e LB])</f>
        <v>0</v>
      </c>
      <c r="D16" s="66">
        <f>SUM(tbl_Calculation_District_Heating[CO2 kg CO2e LB])</f>
        <v>0</v>
      </c>
      <c r="E16" s="66">
        <f>SUM(tbl_Calculation_District_Heating[CH4 kg CO2e LB`])</f>
        <v>0</v>
      </c>
      <c r="F16" s="66">
        <f>SUM(tbl_Calculation_District_Heating[N2O kg CO2e LB])</f>
        <v>0</v>
      </c>
      <c r="G16" s="66">
        <f>SUM(tbl_Calculation_District_Heating[Unspecified kg CO2e LB])</f>
        <v>0</v>
      </c>
    </row>
    <row r="17" ht="5" customHeight="1">
      <c r="B17" s="6"/>
      <c r="C17" s="6"/>
      <c r="D17" s="6"/>
      <c r="E17" s="6"/>
      <c r="F17" s="6"/>
      <c r="G17" s="6"/>
    </row>
    <row r="18" ht="25" customHeight="1">
      <c r="B18" s="203" t="inlineStr">
        <is>
          <t xml:space="preserve">Scope 3</t>
        </is>
      </c>
      <c r="C18" s="204"/>
      <c r="D18" s="204"/>
      <c r="E18" s="204"/>
      <c r="F18" s="204"/>
      <c r="G18" s="205"/>
    </row>
    <row r="20" ht="20" customHeight="1">
      <c r="B20" s="5" t="s">
        <v>2618</v>
      </c>
      <c r="C20" s="66">
        <f>SUM(tbl_3.1_and_3.2_Calc[Emissions (kg CO2e)]) - C21</f>
        <v>0</v>
      </c>
      <c r="D20" s="66">
        <v>0</v>
      </c>
      <c r="E20" s="66">
        <v>0</v>
      </c>
      <c r="F20" s="66">
        <v>0</v>
      </c>
      <c r="G20" s="66">
        <f>C20</f>
        <v>0</v>
      </c>
    </row>
    <row r="21" ht="20" customHeight="1">
      <c r="B21" s="5" t="s">
        <v>2619</v>
      </c>
      <c r="C21" s="66">
        <f>SUMIFS(tbl_3.1_and_3.2_Calc[Emissions (kg CO2e)], tbl_3.1_and_3.2_Calc[Category], "Capital Equipment")</f>
        <v>0</v>
      </c>
      <c r="D21" s="66">
        <v>0</v>
      </c>
      <c r="E21" s="66">
        <v>0</v>
      </c>
      <c r="F21" s="66">
        <v>0</v>
      </c>
      <c r="G21" s="66">
        <f>C21</f>
        <v>0</v>
      </c>
    </row>
    <row r="22" ht="20" customHeight="1">
      <c r="B22" s="5" t="s">
        <v>2620</v>
      </c>
      <c r="C22" s="66">
        <f>SUM(C23:C26)</f>
        <v>0</v>
      </c>
      <c r="D22" s="66">
        <f>SUM(D23:D26)</f>
        <v>0</v>
      </c>
      <c r="E22" s="66">
        <f>SUM(E23:E26)</f>
        <v>0</v>
      </c>
      <c r="F22" s="66">
        <f>SUM(F23:F26)</f>
        <v>0</v>
      </c>
      <c r="G22" s="66">
        <f>SUM(G23:G26)</f>
        <v>0</v>
      </c>
    </row>
    <row r="23" ht="20" customHeight="1">
      <c r="B23" s="5" t="inlineStr">
        <is>
          <t xml:space="preserve">1.01. Stationary Combustion</t>
        </is>
      </c>
      <c r="C23" s="66">
        <f>SUM(tbl_1.01._Calculation[Emissions 3.03. (kg CO2e)])</f>
        <v>0</v>
      </c>
      <c r="D23" s="66">
        <v>0</v>
      </c>
      <c r="E23" s="66">
        <v>0</v>
      </c>
      <c r="F23" s="66">
        <v>0</v>
      </c>
      <c r="G23" s="66">
        <f>C23</f>
        <v>0</v>
      </c>
    </row>
    <row r="24" ht="20" customHeight="1">
      <c r="B24" s="5" t="s">
        <v>2613</v>
      </c>
      <c r="C24" s="66">
        <f>SUM(tbl_Mobile_Combustion_km[Emissions 3.03. (kg CO2e)], Table5[Emissions 3.03. (kg CO2e)], tbl_HGV_Calculation[Emissions 3.03. (kg CO2e)])</f>
        <v>0</v>
      </c>
      <c r="D24" s="66">
        <v>0</v>
      </c>
      <c r="E24" s="66">
        <v>0</v>
      </c>
      <c r="F24" s="66">
        <v>0</v>
      </c>
      <c r="G24" s="66">
        <f>C24</f>
        <v>0</v>
      </c>
    </row>
    <row r="25" ht="20" customHeight="1">
      <c r="B25" s="5" t="s">
        <v>2621</v>
      </c>
      <c r="C25" s="66">
        <f>SUM(tbl_Electricity_Calculation[kg CO2e 3.03.])</f>
        <v>0</v>
      </c>
      <c r="D25" s="66">
        <f>SUM(tbl_Electricity_Calculation[CO2 kg CO2e 3.03.])</f>
        <v>0</v>
      </c>
      <c r="E25" s="66">
        <f>SUM(tbl_Electricity_Calculation[CH4 kg CO2e 3.03.])</f>
        <v>0</v>
      </c>
      <c r="F25" s="66">
        <f>SUM(tbl_Electricity_Calculation[N2O kg CO2e 3.03.])</f>
        <v>0</v>
      </c>
      <c r="G25" s="66">
        <f>SUM(tbl_Electricity_Calculation[Unspecified kg CO2e 3.03.])</f>
        <v>0</v>
      </c>
    </row>
    <row r="26" ht="20" customHeight="1">
      <c r="B26" s="5" t="s">
        <v>2622</v>
      </c>
      <c r="C26" s="66">
        <f>SUM(tbl_Calculation_District_Heating[kg CO2e 3.03.])</f>
        <v>0</v>
      </c>
      <c r="D26" s="66">
        <f>SUM(tbl_Calculation_District_Heating[CO2 kg CO2e 3.03.])</f>
        <v>0</v>
      </c>
      <c r="E26" s="66">
        <f>SUM(tbl_Calculation_District_Heating[CH4 kg CO2e 3.03.])</f>
        <v>0</v>
      </c>
      <c r="F26" s="66">
        <f>SUM(tbl_Calculation_District_Heating[N2O kg CO2e 3.03.])</f>
        <v>0</v>
      </c>
      <c r="G26" s="66">
        <f>SUM(tbl_Calculation_District_Heating[Unspecified kg CO2e 3.03.])</f>
        <v>0</v>
      </c>
    </row>
    <row r="27" ht="20" customHeight="1">
      <c r="B27" s="5" t="s">
        <v>2623</v>
      </c>
      <c r="C27" s="66">
        <f>SUM(tbl_Upstream_Transport_Calc[Emissions (kg CO2e)])</f>
        <v>0</v>
      </c>
      <c r="D27" s="66">
        <v>0</v>
      </c>
      <c r="E27" s="66">
        <v>0</v>
      </c>
      <c r="F27" s="66">
        <v>0</v>
      </c>
      <c r="G27" s="66">
        <f>C27</f>
        <v>0</v>
      </c>
    </row>
    <row r="28" ht="20" customHeight="1">
      <c r="B28" s="5" t="s">
        <v>2624</v>
      </c>
      <c r="C28" s="66">
        <f>SUM(C29:C30)</f>
        <v>0</v>
      </c>
      <c r="D28" s="66">
        <f>SUM(D29:D30)</f>
        <v>0</v>
      </c>
      <c r="E28" s="66">
        <f>SUM(E29:E30)</f>
        <v>0</v>
      </c>
      <c r="F28" s="66">
        <f>SUM(F29:F30)</f>
        <v>0</v>
      </c>
      <c r="G28" s="66">
        <f>SUM(G29:G30)</f>
        <v>0</v>
      </c>
    </row>
    <row r="29" ht="20" customHeight="1">
      <c r="B29" s="5" t="s">
        <v>2625</v>
      </c>
      <c r="C29" s="66">
        <f>SUM(tbl_Waste_Calculation[Emissions (kg CO2e)])</f>
        <v>0</v>
      </c>
      <c r="D29" s="66">
        <v>0</v>
      </c>
      <c r="E29" s="66">
        <v>0</v>
      </c>
      <c r="F29" s="66">
        <v>0</v>
      </c>
      <c r="G29" s="66">
        <f>C29</f>
        <v>0</v>
      </c>
    </row>
    <row r="30" ht="20" customHeight="1">
      <c r="B30" s="5" t="s">
        <v>2626</v>
      </c>
      <c r="C30" s="66">
        <f>SUM(tbl_Water_Calculation[[Emissions Water Supply 
(kg CO2e)]:[Emissions Water Treatment 
(kg CO2e)]])</f>
        <v>0</v>
      </c>
      <c r="D30" s="66">
        <v>0</v>
      </c>
      <c r="E30" s="66">
        <v>0</v>
      </c>
      <c r="F30" s="66">
        <v>0</v>
      </c>
      <c r="G30" s="66">
        <f>C30</f>
        <v>0</v>
      </c>
    </row>
    <row r="31" ht="20" customHeight="1">
      <c r="B31" s="5" t="s">
        <v>2627</v>
      </c>
      <c r="C31" s="66">
        <f>SUM(tbl_Business_Travel_Activity_Calc[Emissions 3.06. (kg CO2e)], tbl_Hotel_Calc[Emissions 3.06. (kg CO2e)], tbl_Business_Travel_Spend_Calc[Emissions (kg CO2e)])</f>
        <v>0</v>
      </c>
      <c r="D31" s="66">
        <f>SUM(tbl_Business_Travel_Activity_Calc[Emissions CO2 3.06. (kg CO2e)])</f>
        <v>0</v>
      </c>
      <c r="E31" s="66">
        <f>SUM(tbl_Business_Travel_Activity_Calc[Emissions CH4 3.06. (kg CO2e)])</f>
        <v>0</v>
      </c>
      <c r="F31" s="66">
        <f>SUM(tbl_Business_Travel_Activity_Calc[Emissions N2O 3.06. (kg CO2e)])</f>
        <v>0</v>
      </c>
      <c r="G31" s="66">
        <f>SUM(tbl_Hotel_Calc[Emissions 3.06. (kg CO2e)], tbl_Business_Travel_Spend_Calc[Emissions (kg CO2e)])</f>
        <v>0</v>
      </c>
    </row>
    <row r="32" ht="20" customHeight="1">
      <c r="B32" s="5" t="s">
        <v>2628</v>
      </c>
      <c r="C32" s="66">
        <f>SUM(C33:C34)</f>
        <v>0</v>
      </c>
      <c r="D32" s="66">
        <f>SUM(D33:D34)</f>
        <v>0</v>
      </c>
      <c r="E32" s="66">
        <f>SUM(E33:E34)</f>
        <v>0</v>
      </c>
      <c r="F32" s="66">
        <f>SUM(F33:F34)</f>
        <v>0</v>
      </c>
      <c r="G32" s="66">
        <f>SUM(G33:G34)</f>
        <v>0</v>
      </c>
    </row>
    <row r="33" ht="20" customHeight="1">
      <c r="B33" s="5" t="s">
        <v>2629</v>
      </c>
      <c r="C33" s="66">
        <f>SUM(tbl_Commuting_Calc[Total Emissions (kg CO2e)])</f>
        <v>0</v>
      </c>
      <c r="D33" s="66">
        <f>SUM(tbl_Commuting_Calc[Total Emissions CO2 (kg CO2e])</f>
        <v>0</v>
      </c>
      <c r="E33" s="66">
        <f>SUM(tbl_Commuting_Calc[Total Emissions CH4 (kg CO2e)])</f>
        <v>0</v>
      </c>
      <c r="F33" s="66">
        <f>SUM(tbl_Commuting_Calc[Total Emissions N2O (kg CO2e)])</f>
        <v>0</v>
      </c>
      <c r="G33" s="66">
        <f>C33-SUM(D33:F33)</f>
        <v>0</v>
      </c>
    </row>
    <row r="34" ht="20" customHeight="1">
      <c r="B34" s="5" t="s">
        <v>2630</v>
      </c>
      <c r="C34" s="66">
        <f>SUM(tbl_Teleworking_Calc[Emissions (kg CO2e)])</f>
        <v>0</v>
      </c>
      <c r="D34" s="66">
        <v>0</v>
      </c>
      <c r="E34" s="66">
        <v>0</v>
      </c>
      <c r="F34" s="66">
        <v>0</v>
      </c>
      <c r="G34" s="66">
        <f>C34</f>
        <v>0</v>
      </c>
    </row>
    <row r="35" ht="20" customHeight="1">
      <c r="B35" s="5" t="s">
        <v>2631</v>
      </c>
      <c r="C35" s="66">
        <f>SUM(tbl_Upstream_Leased_Assets_Calc[Emissions (kg CO2e)])</f>
        <v>0</v>
      </c>
      <c r="D35" s="66">
        <v>0</v>
      </c>
      <c r="E35" s="66">
        <v>0</v>
      </c>
      <c r="F35" s="66">
        <v>0</v>
      </c>
      <c r="G35" s="66">
        <f>C35</f>
        <v>0</v>
      </c>
    </row>
    <row r="36" ht="20" customHeight="1">
      <c r="B36" s="5" t="s">
        <v>2632</v>
      </c>
      <c r="C36" s="66">
        <f>'Scope 3 Other (external)'!$H$13</f>
        <v>0</v>
      </c>
      <c r="D36" s="66">
        <v>0</v>
      </c>
      <c r="E36" s="66">
        <v>0</v>
      </c>
      <c r="F36" s="66">
        <v>0</v>
      </c>
      <c r="G36" s="66">
        <f>C36</f>
        <v>0</v>
      </c>
    </row>
    <row r="37" ht="20" customHeight="1">
      <c r="B37" s="5" t="s">
        <v>2633</v>
      </c>
      <c r="C37" s="66">
        <f>'Scope 3 Other (external)'!$H$14</f>
        <v>0</v>
      </c>
      <c r="D37" s="66">
        <v>0</v>
      </c>
      <c r="E37" s="66">
        <v>0</v>
      </c>
      <c r="F37" s="66">
        <v>0</v>
      </c>
      <c r="G37" s="66">
        <f>C37</f>
        <v>0</v>
      </c>
    </row>
    <row r="38" ht="20" customHeight="1">
      <c r="B38" s="5" t="s">
        <v>2634</v>
      </c>
      <c r="C38" s="66">
        <f>'Scope 3.11 &amp; 3.12'!$C$8</f>
        <v>0</v>
      </c>
      <c r="D38" s="66">
        <v>0</v>
      </c>
      <c r="E38" s="66">
        <v>0</v>
      </c>
      <c r="F38" s="66">
        <v>0</v>
      </c>
      <c r="G38" s="66">
        <f>C38</f>
        <v>0</v>
      </c>
    </row>
    <row r="39" ht="20" customHeight="1">
      <c r="B39" s="5" t="s">
        <v>2635</v>
      </c>
      <c r="C39" s="66">
        <f>'Scope 3.11 &amp; 3.12'!$C$30</f>
        <v>0</v>
      </c>
      <c r="D39" s="66">
        <v>0</v>
      </c>
      <c r="E39" s="66">
        <v>0</v>
      </c>
      <c r="F39" s="66">
        <v>0</v>
      </c>
      <c r="G39" s="66">
        <f>C39</f>
        <v>0</v>
      </c>
    </row>
    <row r="40" ht="20" customHeight="1">
      <c r="B40" s="5" t="s">
        <v>2636</v>
      </c>
      <c r="C40" s="66">
        <f>'Scope 3 Other (external)'!$H$15</f>
        <v>0</v>
      </c>
      <c r="D40" s="66">
        <v>0</v>
      </c>
      <c r="E40" s="66">
        <v>0</v>
      </c>
      <c r="F40" s="66">
        <v>0</v>
      </c>
      <c r="G40" s="66">
        <f>C40</f>
        <v>0</v>
      </c>
    </row>
    <row r="41" ht="20" customHeight="1">
      <c r="B41" s="5" t="s">
        <v>2637</v>
      </c>
      <c r="C41" s="66">
        <f>'Scope 3 Other (external)'!$H$16</f>
        <v>0</v>
      </c>
      <c r="D41" s="66">
        <v>0</v>
      </c>
      <c r="E41" s="66">
        <v>0</v>
      </c>
      <c r="F41" s="66">
        <v>0</v>
      </c>
      <c r="G41" s="66">
        <f>C41</f>
        <v>0</v>
      </c>
    </row>
    <row r="42" ht="20" customHeight="1">
      <c r="B42" s="5" t="s">
        <v>2638</v>
      </c>
      <c r="C42" s="66">
        <f>'Scope 3 Other (external)'!$H$17</f>
        <v>0</v>
      </c>
      <c r="D42" s="66">
        <v>0</v>
      </c>
      <c r="E42" s="66">
        <v>0</v>
      </c>
      <c r="F42" s="66">
        <v>0</v>
      </c>
      <c r="G42" s="66">
        <f>C42</f>
        <v>0</v>
      </c>
    </row>
    <row r="43" ht="5" customHeight="1">
      <c r="B43" s="118"/>
      <c r="C43" s="118"/>
      <c r="D43" s="118"/>
      <c r="E43" s="118"/>
      <c r="F43" s="118"/>
      <c r="G43" s="118"/>
    </row>
    <row r="44" ht="25" customHeight="1">
      <c r="B44" s="74" t="s">
        <v>2639</v>
      </c>
      <c r="C44" s="119">
        <f>SUM(C8:C11,C15:C16,C20:C22,C27:C28,C31:C32,C35:C42)</f>
        <v>0</v>
      </c>
      <c r="D44" s="119">
        <f>SUM(D8:D11,D15:D16,D20:D22,D27:D28,D31:D32,D35:D42)</f>
        <v>0</v>
      </c>
      <c r="E44" s="119">
        <f>SUM(E8:E11,E15:E16,E20:E22,E27:E28,E31:E32,E35:E42)</f>
        <v>0</v>
      </c>
      <c r="F44" s="119">
        <f>SUM(F8:F11,F15:F16,F20:F22,F27:F28,F31:F32,F35:F42)</f>
        <v>0</v>
      </c>
      <c r="G44" s="119">
        <f>SUM(G8:G11,G15:G16,G20:G22,G27:G28,G31:G32,G35:G42)</f>
        <v>0</v>
      </c>
    </row>
    <row r="45" ht="25" customHeight="1">
      <c r="B45" s="74" t="s">
        <v>2640</v>
      </c>
      <c r="C45" s="119">
        <f>C44-C15+C47</f>
        <v>0</v>
      </c>
      <c r="D45" s="119"/>
      <c r="E45" s="119"/>
      <c r="F45" s="119"/>
      <c r="G45" s="119"/>
    </row>
    <row r="46" ht="5" customHeight="1">
      <c r="B46" s="6"/>
      <c r="C46" s="6"/>
      <c r="D46" s="6"/>
      <c r="E46" s="6"/>
      <c r="F46" s="6"/>
      <c r="G46" s="6"/>
    </row>
    <row r="47" ht="20" customHeight="1">
      <c r="B47" s="5" t="s">
        <v>2641</v>
      </c>
      <c r="C47" s="66">
        <f>SUM('Scope 2 Calculation'!$W$9:$W$18)</f>
        <v>0</v>
      </c>
      <c r="D47" s="66"/>
      <c r="E47" s="66"/>
      <c r="F47" s="66"/>
      <c r="G47" s="66"/>
    </row>
    <row r="49">
      <c r="B49" s="11" t="s">
        <v>2642</v>
      </c>
    </row>
    <row r="50">
      <c r="B50" s="11" t="s">
        <v>2643</v>
      </c>
    </row>
  </sheetData>
  <sheetProtection algorithmName="SHA-512" hashValue="avqksJgVEU4zEKaL07Wur80FO1zVlko850dgJgLr8nW/W62mUZ4v/lp3HbbktOWFHh/gprT8jeCrT3SP2IZNWg==" saltValue="vvjuzaWZr6aKriHFpQmyEA==" spinCount="100000" sheet="1" objects="1" scenarios="1" formatColumns="0" formatRows="0"/>
  <mergeCells count="3">
    <mergeCell ref="B6:G6"/>
    <mergeCell ref="B13:G13"/>
    <mergeCell ref="B18:G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C4E57-EEE9-4564-8B4E-466882AB7BD8}">
  <sheetPr>
    <tabColor rgb="FFE7EEEE"/>
  </sheetPr>
  <dimension ref="A1:CX72"/>
  <sheetViews>
    <sheetView showGridLines="0" topLeftCell="A7" zoomScale="60" zoomScaleNormal="60" workbookViewId="0">
      <selection activeCell="G20" sqref="G20"/>
    </sheetView>
  </sheetViews>
  <sheetFormatPr defaultRowHeight="14.5" x14ac:dyDescent="0.35"/>
  <cols>
    <col min="1" max="1" width="2.6328125" style="2" customWidth="1"/>
    <col min="2" max="2" width="42.7265625" style="2" bestFit="1" customWidth="1"/>
    <col min="3" max="12" width="20.6328125" style="2" customWidth="1"/>
    <col min="13" max="13" width="7.7265625" style="175" bestFit="1" customWidth="1"/>
    <col min="14" max="20" width="8.1796875" style="2" bestFit="1" customWidth="1"/>
    <col min="21" max="21" width="9.08984375" style="2" bestFit="1" customWidth="1"/>
    <col min="22" max="22" width="9.54296875" style="2" bestFit="1" customWidth="1"/>
    <col min="23" max="23" width="8.7265625" style="2"/>
    <col min="24" max="24" width="9.08984375" style="2" bestFit="1" customWidth="1"/>
    <col min="25" max="26" width="9.54296875" style="2" bestFit="1" customWidth="1"/>
    <col min="27" max="31" width="10.90625" style="2" bestFit="1" customWidth="1"/>
    <col min="32" max="32" width="10.453125" style="2" bestFit="1" customWidth="1"/>
    <col min="33" max="38" width="10.90625" style="2" bestFit="1" customWidth="1"/>
    <col min="39" max="39" width="12.54296875" style="2" bestFit="1" customWidth="1"/>
    <col min="40" max="40" width="11.81640625" style="2" bestFit="1" customWidth="1"/>
    <col min="41" max="41" width="12.26953125" style="2" bestFit="1" customWidth="1"/>
    <col min="42" max="44" width="12.54296875" style="2" bestFit="1" customWidth="1"/>
    <col min="45" max="59" width="12.90625" style="2" bestFit="1" customWidth="1"/>
    <col min="60" max="60" width="12.54296875" style="2" bestFit="1" customWidth="1"/>
    <col min="61" max="62" width="13.90625" style="2" bestFit="1" customWidth="1"/>
    <col min="63" max="68" width="14.26953125" style="2" bestFit="1" customWidth="1"/>
    <col min="69" max="69" width="13.90625" style="2" bestFit="1" customWidth="1"/>
    <col min="70" max="70" width="13.6328125" style="2" bestFit="1" customWidth="1"/>
    <col min="71" max="74" width="14.26953125" style="2" bestFit="1" customWidth="1"/>
    <col min="75" max="75" width="14.54296875" style="2" bestFit="1" customWidth="1"/>
    <col min="76" max="76" width="15.26953125" style="2" bestFit="1" customWidth="1"/>
    <col min="77" max="84" width="15.90625" style="2" bestFit="1" customWidth="1"/>
    <col min="85" max="85" width="15.26953125" style="2" bestFit="1" customWidth="1"/>
    <col min="86" max="86" width="15.90625" style="2" bestFit="1" customWidth="1"/>
    <col min="87" max="87" width="17.26953125" style="2" bestFit="1" customWidth="1"/>
    <col min="88" max="89" width="17.7265625" style="2" bestFit="1" customWidth="1"/>
    <col min="90" max="90" width="18" style="2" bestFit="1" customWidth="1"/>
    <col min="91" max="91" width="17.26953125" style="2" bestFit="1" customWidth="1"/>
    <col min="92" max="93" width="18" style="2" bestFit="1" customWidth="1"/>
    <col min="94" max="95" width="17.7265625" style="2" bestFit="1" customWidth="1"/>
    <col min="96" max="98" width="18" style="2" bestFit="1" customWidth="1"/>
    <col min="99" max="99" width="19.08984375" style="2" bestFit="1" customWidth="1"/>
    <col min="100" max="100" width="17.81640625" style="2" bestFit="1" customWidth="1"/>
    <col min="101" max="101" width="21" style="2" bestFit="1" customWidth="1"/>
    <col min="102" max="102" width="16.08984375" style="2" bestFit="1" customWidth="1"/>
    <col min="103" max="16384" width="8.7265625" style="2"/>
  </cols>
  <sheetData>
    <row r="1" spans="1:32" s="1" customFormat="1" x14ac:dyDescent="0.35">
      <c r="A1" s="1" t="s">
        <v>878</v>
      </c>
      <c r="H1" s="164"/>
    </row>
    <row r="2" spans="1:32" s="1" customFormat="1" x14ac:dyDescent="0.35">
      <c r="H2" s="164"/>
    </row>
    <row r="3" spans="1:32" x14ac:dyDescent="0.35">
      <c r="H3" s="165"/>
      <c r="M3" s="2"/>
    </row>
    <row r="4" spans="1:32" ht="19.5" x14ac:dyDescent="0.35">
      <c r="B4" s="166" t="s">
        <v>2644</v>
      </c>
      <c r="C4" s="67"/>
      <c r="H4" s="165"/>
      <c r="I4" s="166" t="s">
        <v>2644</v>
      </c>
      <c r="J4" s="67"/>
      <c r="K4" s="67"/>
      <c r="L4" s="67"/>
      <c r="M4" s="67"/>
      <c r="N4" s="67"/>
      <c r="O4" s="67"/>
      <c r="P4" s="67"/>
      <c r="Q4" s="67"/>
      <c r="R4" s="67"/>
      <c r="S4" s="67"/>
      <c r="T4" s="67"/>
      <c r="U4" s="67"/>
      <c r="V4" s="67"/>
      <c r="W4" s="67"/>
      <c r="X4" s="67"/>
      <c r="Y4" s="67"/>
      <c r="Z4" s="67"/>
      <c r="AA4" s="67"/>
      <c r="AB4" s="67"/>
      <c r="AC4" s="67"/>
      <c r="AD4" s="67"/>
      <c r="AE4" s="67"/>
      <c r="AF4" s="67"/>
    </row>
    <row r="5" spans="1:32" x14ac:dyDescent="0.35">
      <c r="H5" s="165"/>
      <c r="M5" s="2"/>
    </row>
    <row r="6" ht="30" customHeight="1" x14ac:dyDescent="0.35">
      <c r="B6" s="169" t="s">
        <v>2645</v>
      </c>
      <c r="C6" s="167" t="s">
        <v>2646</v>
      </c>
      <c r="D6" s="167" t="s">
        <v>2647</v>
      </c>
      <c r="H6" s="165"/>
      <c r="M6" s="2"/>
    </row>
    <row r="7" x14ac:dyDescent="0.35">
      <c r="B7" s="167" t="inlineStr">
        <is>
          <t xml:space="preserve">1.01. Stationary Combustion</t>
        </is>
      </c>
      <c r="C7" s="170">
        <f>'Results Summary'!C8/1000</f>
        <v>0</v>
      </c>
      <c r="D7" s="206">
        <f>IF($C$24=0,0,C7/$C$24)</f>
        <v>0</v>
      </c>
      <c r="H7" s="165"/>
      <c r="M7" s="2"/>
    </row>
    <row r="8" x14ac:dyDescent="0.35">
      <c r="B8" s="167" t="s">
        <v>2613</v>
      </c>
      <c r="C8" s="170">
        <f>'Results Summary'!C9/1000</f>
        <v>0</v>
      </c>
      <c r="D8" s="206">
        <f>IF($C$24=0,0,C8/$C$24)</f>
        <v>0</v>
      </c>
      <c r="H8" s="165"/>
      <c r="M8" s="2"/>
    </row>
    <row r="9" x14ac:dyDescent="0.35">
      <c r="B9" s="167" t="s">
        <v>2614</v>
      </c>
      <c r="C9" s="170">
        <f>'Results Summary'!C10/1000</f>
        <v>0</v>
      </c>
      <c r="D9" s="206">
        <f>IF($C$24=0,0,C9/$C$24)</f>
        <v>0</v>
      </c>
      <c r="H9" s="165"/>
      <c r="M9" s="2"/>
    </row>
    <row r="10" x14ac:dyDescent="0.35">
      <c r="B10" s="167" t="s">
        <v>2615</v>
      </c>
      <c r="C10" s="170">
        <f>'Results Summary'!C11/1000</f>
        <v>0</v>
      </c>
      <c r="D10" s="206">
        <f>IF($C$24=0,0,C10/$C$24)</f>
        <v>0</v>
      </c>
      <c r="H10" s="165"/>
      <c r="M10" s="2"/>
    </row>
    <row r="11" x14ac:dyDescent="0.35">
      <c r="B11" s="167" t="s">
        <v>2648</v>
      </c>
      <c r="C11" s="170">
        <f>'Results Summary'!C15/1000</f>
        <v>0</v>
      </c>
      <c r="D11" s="206">
        <f>IF($C$24=0,0,C11/$C$24)</f>
        <v>0</v>
      </c>
      <c r="H11" s="165"/>
      <c r="M11" s="2"/>
    </row>
    <row r="12" x14ac:dyDescent="0.35">
      <c r="B12" s="167" t="s">
        <v>2622</v>
      </c>
      <c r="C12" s="170">
        <f>'Results Summary'!C16/1000</f>
        <v>0</v>
      </c>
      <c r="D12" s="206">
        <f>IF($C$24=0,0,C12/$C$24)</f>
        <v>0</v>
      </c>
      <c r="H12" s="165"/>
      <c r="M12" s="2"/>
    </row>
    <row r="13" x14ac:dyDescent="0.35">
      <c r="B13" s="167" t="s">
        <v>2618</v>
      </c>
      <c r="C13" s="170">
        <f>'Results Summary'!C20/1000</f>
        <v>0</v>
      </c>
      <c r="D13" s="206">
        <f>IF($C$24=0,0,C13/$C$24)</f>
        <v>0</v>
      </c>
      <c r="H13" s="165"/>
      <c r="M13" s="2"/>
    </row>
    <row r="14" x14ac:dyDescent="0.35">
      <c r="B14" s="167" t="s">
        <v>2619</v>
      </c>
      <c r="C14" s="170">
        <f>'Results Summary'!C21/1000</f>
        <v>0</v>
      </c>
      <c r="D14" s="206">
        <f>IF($C$24=0,0,C14/$C$24)</f>
        <v>0</v>
      </c>
      <c r="H14" s="165"/>
      <c r="M14" s="2"/>
    </row>
    <row r="15" x14ac:dyDescent="0.35">
      <c r="B15" s="167" t="s">
        <v>2620</v>
      </c>
      <c r="C15" s="170">
        <f>'Results Summary'!C22/1000</f>
        <v>0</v>
      </c>
      <c r="D15" s="206">
        <f>IF($C$24=0,0,C15/$C$24)</f>
        <v>0</v>
      </c>
      <c r="H15" s="165"/>
      <c r="M15" s="2"/>
    </row>
    <row r="16" x14ac:dyDescent="0.35">
      <c r="B16" s="167" t="s">
        <v>2649</v>
      </c>
      <c r="C16" s="170">
        <f>'Results Summary'!C27/1000</f>
        <v>0</v>
      </c>
      <c r="D16" s="206">
        <f>IF($C$24=0,0,C16/$C$24)</f>
        <v>0</v>
      </c>
      <c r="H16" s="165"/>
      <c r="M16" s="2"/>
    </row>
    <row r="17" x14ac:dyDescent="0.35">
      <c r="B17" s="167" t="s">
        <v>2650</v>
      </c>
      <c r="C17" s="170">
        <f>'Results Summary'!C28/1000</f>
        <v>0</v>
      </c>
      <c r="D17" s="206">
        <f>IF($C$24=0,0,C17/$C$24)</f>
        <v>0</v>
      </c>
      <c r="H17" s="165"/>
      <c r="M17" s="2"/>
    </row>
    <row r="18" x14ac:dyDescent="0.35">
      <c r="B18" s="167" t="s">
        <v>2627</v>
      </c>
      <c r="C18" s="170">
        <f>'Results Summary'!C31/1000</f>
        <v>0</v>
      </c>
      <c r="D18" s="206">
        <f>IF($C$24=0,0,C18/$C$24)</f>
        <v>0</v>
      </c>
      <c r="H18" s="165"/>
      <c r="M18" s="2"/>
    </row>
    <row r="19" x14ac:dyDescent="0.35">
      <c r="B19" s="167" t="s">
        <v>2628</v>
      </c>
      <c r="C19" s="170">
        <f>'Results Summary'!C32/1000</f>
        <v>0</v>
      </c>
      <c r="D19" s="206">
        <f>IF($C$24=0,0,C19/$C$24)</f>
        <v>0</v>
      </c>
      <c r="H19" s="165"/>
      <c r="M19" s="2"/>
    </row>
    <row r="20" x14ac:dyDescent="0.35">
      <c r="B20" s="167" t="s">
        <v>2631</v>
      </c>
      <c r="C20" s="170">
        <f>'Results Summary'!C35/1000</f>
        <v>0</v>
      </c>
      <c r="D20" s="206">
        <f>IF($C$24=0,0,C20/$C$24)</f>
        <v>0</v>
      </c>
      <c r="H20" s="165"/>
      <c r="M20" s="2"/>
    </row>
    <row r="21" x14ac:dyDescent="0.35">
      <c r="B21" s="167" t="s">
        <v>2634</v>
      </c>
      <c r="C21" s="170">
        <f>'Results Summary'!C38/1000</f>
        <v>0</v>
      </c>
      <c r="D21" s="206">
        <f>IF($C$24=0,0,C21/$C$24)</f>
        <v>0</v>
      </c>
      <c r="H21" s="165"/>
      <c r="M21" s="2"/>
    </row>
    <row r="22" x14ac:dyDescent="0.35">
      <c r="B22" s="167" t="s">
        <v>2635</v>
      </c>
      <c r="C22" s="170">
        <f>'Results Summary'!C39/1000</f>
        <v>0</v>
      </c>
      <c r="D22" s="206">
        <f>IF($C$24=0,0,C22/$C$24)</f>
        <v>0</v>
      </c>
      <c r="H22" s="165"/>
      <c r="M22" s="2"/>
    </row>
    <row r="23" x14ac:dyDescent="0.35">
      <c r="B23" s="167" t="s">
        <v>2651</v>
      </c>
      <c r="C23" s="170">
        <f>SUM('Results Summary'!C36:C37,'Results Summary'!C40:C42)/1000</f>
        <v>0</v>
      </c>
      <c r="D23" s="206">
        <f>IF($C$24=0,0,C23/$C$24)</f>
        <v>0</v>
      </c>
      <c r="H23" s="165"/>
      <c r="M23" s="2"/>
    </row>
    <row r="24" s="42" customFormat="1" ht="15" thickBot="1" x14ac:dyDescent="0.4">
      <c r="B24" s="167" t="s">
        <v>2639</v>
      </c>
      <c r="C24" s="170">
        <f>'Results Summary'!C44/1000</f>
        <v>0</v>
      </c>
      <c r="D24" s="206">
        <f>IF(C24=0,0,1)</f>
        <v>0</v>
      </c>
      <c r="H24" s="168"/>
    </row>
    <row r="25" ht="15" thickTop="1" x14ac:dyDescent="0.35">
      <c r="B25" s="167" t="s">
        <v>2640</v>
      </c>
      <c r="C25" s="170">
        <f>'Results Summary'!C45/1000</f>
        <v>0</v>
      </c>
      <c r="H25" s="165"/>
      <c r="M25" s="2"/>
    </row>
    <row r="26" spans="2:32" ht="19.5" x14ac:dyDescent="0.35">
      <c r="B26" s="166" t="s">
        <v>2652</v>
      </c>
      <c r="C26" s="67"/>
      <c r="D26" s="67"/>
      <c r="E26" s="67"/>
      <c r="F26" s="67"/>
      <c r="H26" s="165"/>
      <c r="I26" s="166" t="s">
        <v>2652</v>
      </c>
      <c r="J26" s="67"/>
      <c r="K26" s="67"/>
      <c r="L26" s="67"/>
      <c r="M26" s="67"/>
      <c r="N26" s="67"/>
      <c r="O26" s="67"/>
      <c r="P26" s="67"/>
      <c r="Q26" s="67"/>
      <c r="R26" s="67"/>
      <c r="S26" s="67"/>
      <c r="T26" s="67"/>
      <c r="U26" s="67"/>
      <c r="V26" s="67"/>
      <c r="W26" s="67"/>
      <c r="X26" s="67"/>
      <c r="Y26" s="67"/>
      <c r="Z26" s="67"/>
      <c r="AA26" s="67"/>
      <c r="AB26" s="67"/>
      <c r="AC26" s="67"/>
      <c r="AD26" s="67"/>
      <c r="AE26" s="67"/>
      <c r="AF26" s="67"/>
    </row>
    <row r="27" spans="2:32" x14ac:dyDescent="0.35">
      <c r="H27" s="165"/>
      <c r="M27" s="2"/>
    </row>
    <row r="28" ht="45" customHeight="1" x14ac:dyDescent="0.35">
      <c r="B28" s="171" t="inlineStr">
        <is>
          <t xml:space="preserve">Scope</t>
        </is>
      </c>
      <c r="C28" s="167" t="inlineStr">
        <is>
          <t xml:space="preserve">CO2 (t CO2e)</t>
        </is>
      </c>
      <c r="D28" s="167" t="inlineStr">
        <is>
          <t xml:space="preserve">CH4 (t CO2e)</t>
        </is>
      </c>
      <c r="E28" s="167" t="inlineStr">
        <is>
          <t xml:space="preserve">N2O (t CO2e)</t>
        </is>
      </c>
      <c r="F28" s="167" t="s">
        <v>2653</v>
      </c>
      <c r="G28" s="167" t="s">
        <v>2654</v>
      </c>
      <c r="H28" s="165"/>
      <c r="M28" s="2"/>
    </row>
    <row r="29" x14ac:dyDescent="0.35">
      <c r="B29" s="2" t="inlineStr">
        <is>
          <t xml:space="preserve">Scope 1</t>
        </is>
      </c>
      <c r="C29" s="170">
        <f>SUM('Results Summary'!D8:D11)/1000</f>
        <v>0</v>
      </c>
      <c r="D29" s="170">
        <f>SUM('Results Summary'!E8:E11)/1000</f>
        <v>0</v>
      </c>
      <c r="E29" s="170">
        <f>SUM('Results Summary'!F8:F11)/1000</f>
        <v>0</v>
      </c>
      <c r="F29" s="170">
        <f>SUM('Results Summary'!G8:G11)/1000</f>
        <v>0</v>
      </c>
      <c r="G29" s="170">
        <f>SUM('Results Summary'!C8:C11)/1000</f>
        <v>0</v>
      </c>
      <c r="H29" s="165"/>
      <c r="M29" s="2"/>
    </row>
    <row r="30" x14ac:dyDescent="0.35">
      <c r="B30" s="2" t="s">
        <v>2655</v>
      </c>
      <c r="C30" s="170">
        <f>SUM('Results Summary'!D15:D16)/1000</f>
        <v>0</v>
      </c>
      <c r="D30" s="170">
        <f>SUM('Results Summary'!E15:E16)/1000</f>
        <v>0</v>
      </c>
      <c r="E30" s="170">
        <f>SUM('Results Summary'!F15:F16)/1000</f>
        <v>0</v>
      </c>
      <c r="F30" s="170">
        <f>SUM('Results Summary'!G15:G16)/1000</f>
        <v>0</v>
      </c>
      <c r="G30" s="170">
        <f>SUM('Results Summary'!C15:C16)/1000</f>
        <v>0</v>
      </c>
      <c r="H30" s="165"/>
      <c r="M30" s="2"/>
    </row>
    <row r="31" x14ac:dyDescent="0.35">
      <c r="B31" s="2" t="inlineStr">
        <is>
          <t xml:space="preserve">Scope 3</t>
        </is>
      </c>
      <c r="C31" s="170">
        <f>SUM('Results Summary'!D20:D22,'Results Summary'!D27:D28,'Results Summary'!D31:D32,'Results Summary'!D35:D42)/1000</f>
        <v>0</v>
      </c>
      <c r="D31" s="170">
        <f>SUM('Results Summary'!E20:E22,'Results Summary'!E27:E28,'Results Summary'!E31:E32,'Results Summary'!E35:E42)/1000</f>
        <v>0</v>
      </c>
      <c r="E31" s="170">
        <f>SUM('Results Summary'!F20:F22,'Results Summary'!F27:F28,'Results Summary'!F31:F32,'Results Summary'!F35:F42)/1000</f>
        <v>0</v>
      </c>
      <c r="F31" s="170">
        <f>SUM('Results Summary'!G20:G22,'Results Summary'!G27:G28,'Results Summary'!G31:G32,'Results Summary'!G35:G42)/1000</f>
        <v>0</v>
      </c>
      <c r="G31" s="170">
        <f>SUM('Results Summary'!C20:C22,'Results Summary'!C27:C28,'Results Summary'!C31:C32,'Results Summary'!C35:C42)/1000</f>
        <v>0</v>
      </c>
      <c r="H31" s="165"/>
      <c r="M31" s="2"/>
    </row>
    <row r="32" x14ac:dyDescent="0.35">
      <c r="B32" s="167" t="s">
        <v>2639</v>
      </c>
      <c r="C32" s="170">
        <f>SUM(C29:C31)</f>
        <v>0</v>
      </c>
      <c r="D32" s="170">
        <f>SUM(D29:D31)</f>
        <v>0</v>
      </c>
      <c r="E32" s="170">
        <f>SUM(E29:E31)</f>
        <v>0</v>
      </c>
      <c r="F32" s="170">
        <f>SUM(F29:F31)</f>
        <v>0</v>
      </c>
      <c r="G32" s="170">
        <f>SUM(G29:G31)</f>
        <v>0</v>
      </c>
      <c r="H32" s="165"/>
      <c r="M32" s="2"/>
    </row>
    <row r="33" spans="2:102" x14ac:dyDescent="0.35">
      <c r="H33" s="165"/>
      <c r="M33" s="2"/>
    </row>
    <row r="34" spans="2:102" x14ac:dyDescent="0.35">
      <c r="H34" s="165"/>
      <c r="M34" s="2"/>
    </row>
    <row r="35" spans="2:102" x14ac:dyDescent="0.35">
      <c r="H35" s="165"/>
      <c r="M35" s="2"/>
    </row>
    <row r="36" spans="2:102" x14ac:dyDescent="0.35">
      <c r="H36" s="165"/>
      <c r="M36" s="2"/>
    </row>
    <row r="37" spans="2:102" x14ac:dyDescent="0.35">
      <c r="H37" s="165"/>
      <c r="M37" s="2"/>
    </row>
    <row r="38" spans="2:102" x14ac:dyDescent="0.35">
      <c r="H38" s="165"/>
      <c r="M38" s="2"/>
    </row>
    <row r="39" spans="2:102" x14ac:dyDescent="0.35">
      <c r="H39" s="165"/>
      <c r="M39" s="2"/>
    </row>
    <row r="40" spans="2:102" x14ac:dyDescent="0.35">
      <c r="H40" s="165"/>
      <c r="M40" s="2"/>
    </row>
    <row r="41" spans="2:102" x14ac:dyDescent="0.35">
      <c r="H41" s="165"/>
      <c r="M41" s="2"/>
    </row>
    <row r="42" spans="2:102" x14ac:dyDescent="0.35">
      <c r="H42" s="165"/>
      <c r="M42" s="2"/>
    </row>
    <row r="43" spans="2:102" s="42" customFormat="1" ht="15" thickBot="1" x14ac:dyDescent="0.4">
      <c r="H43" s="168"/>
    </row>
    <row r="44" spans="2:102" ht="15" thickTop="1" x14ac:dyDescent="0.35">
      <c r="H44" s="172"/>
      <c r="M44" s="174"/>
    </row>
    <row r="45" spans="2:102" ht="19.5" x14ac:dyDescent="0.35">
      <c r="B45" s="166" t="s">
        <v>2656</v>
      </c>
      <c r="C45" s="161"/>
      <c r="D45" s="67"/>
      <c r="E45" s="67"/>
      <c r="F45" s="67"/>
      <c r="G45" s="67"/>
      <c r="H45" s="67"/>
      <c r="I45" s="67"/>
      <c r="J45" s="67"/>
      <c r="K45" s="67"/>
      <c r="L45" s="67"/>
    </row>
    <row r="47" spans="2:102" ht="25" customHeight="1" x14ac:dyDescent="0.35">
      <c r="B47" s="20" t="s">
        <v>20</v>
      </c>
      <c r="C47" s="19" t="s">
        <v>244</v>
      </c>
      <c r="D47" s="20" t="s">
        <v>873</v>
      </c>
      <c r="E47" s="20" t="s">
        <v>2495</v>
      </c>
      <c r="F47" s="20" t="s">
        <v>90</v>
      </c>
      <c r="G47" s="20" t="s">
        <v>72</v>
      </c>
      <c r="H47" s="20" t="s">
        <v>39</v>
      </c>
      <c r="I47" s="20" t="s">
        <v>37</v>
      </c>
      <c r="J47" s="20" t="s">
        <v>1124</v>
      </c>
      <c r="K47" s="20" t="s">
        <v>1320</v>
      </c>
      <c r="L47" s="20" t="s">
        <v>45</v>
      </c>
      <c r="M47" s="176"/>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row>
    <row r="48" ht="30" customHeight="1" x14ac:dyDescent="0.35">
      <c r="B48" s="111" t="inlineStr">
        <is>
          <t xml:space="preserve">Scope 1</t>
        </is>
      </c>
      <c r="C48" s="177" t="inlineStr">
        <is>
          <t xml:space="preserve">1.01. Stationary Combustion</t>
        </is>
      </c>
      <c r="D48" s="17">
        <v>0</v>
      </c>
      <c r="E48" s="17">
        <v>0</v>
      </c>
      <c r="F48" s="17">
        <f>SUMIFS(tbl_1.01._Input[Consumption],tbl_1.01._Input[Unit of Consumption],"kg")</f>
        <v>0</v>
      </c>
      <c r="G48" s="17">
        <v>0</v>
      </c>
      <c r="H48" s="17">
        <f>SUMIFS(tbl_1.01._Input[Consumption],tbl_1.01._Input[Unit of Consumption],"kWh")</f>
        <v>0</v>
      </c>
      <c r="I48" s="17">
        <f>SUMIFS(tbl_1.01._Input[Consumption],tbl_1.01._Input[Unit of Consumption],"l")</f>
        <v>0</v>
      </c>
      <c r="J48" s="17">
        <f>SUMIFS(tbl_1.01._Input[Consumption],tbl_1.01._Input[Unit of Consumption],"cubic meters")</f>
        <v>0</v>
      </c>
      <c r="K48" s="17">
        <v>0</v>
      </c>
      <c r="L48" s="17">
        <f>SUMIFS(tbl_1.01._Input[Consumption],tbl_1.01._Input[Unit of Consumption],"tonnes")</f>
        <v>0</v>
      </c>
      <c r="M48" s="176"/>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row>
    <row r="49" ht="30" customHeight="1" x14ac:dyDescent="0.35">
      <c r="B49" s="111" t="inlineStr">
        <is>
          <t xml:space="preserve">Scope 1</t>
        </is>
      </c>
      <c r="C49" s="177" t="s">
        <v>2613</v>
      </c>
      <c r="D49" s="17">
        <v>0</v>
      </c>
      <c r="E49" s="17">
        <v>0</v>
      </c>
      <c r="F49" s="17">
        <v>0</v>
      </c>
      <c r="G49" s="17">
        <f>SUM(tbl_1.02._km_Input[Consumption])+SUM(tbl_1.02._HGV_Inputs[Consumption])</f>
        <v>0</v>
      </c>
      <c r="H49" s="17">
        <v>0</v>
      </c>
      <c r="I49" s="17">
        <f>SUMIFS(tbl_1.02._Input[Consumption],tbl_1.02._Input[Unit],"l")</f>
        <v>0</v>
      </c>
      <c r="J49" s="17">
        <v>0</v>
      </c>
      <c r="K49" s="17">
        <v>0</v>
      </c>
      <c r="L49" s="17">
        <v>0</v>
      </c>
      <c r="M49" s="176"/>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row>
    <row r="50" ht="30" customHeight="1" x14ac:dyDescent="0.35">
      <c r="B50" s="111" t="inlineStr">
        <is>
          <t xml:space="preserve">Scope 1</t>
        </is>
      </c>
      <c r="C50" s="177" t="s">
        <v>2615</v>
      </c>
      <c r="D50" s="17">
        <v>0</v>
      </c>
      <c r="E50" s="17">
        <v>0</v>
      </c>
      <c r="F50" s="17">
        <f>SUM(tbl_1.04._Inputs[Consumption])</f>
        <v>0</v>
      </c>
      <c r="G50" s="17">
        <v>0</v>
      </c>
      <c r="H50" s="17">
        <v>0</v>
      </c>
      <c r="I50" s="17">
        <v>0</v>
      </c>
      <c r="J50" s="17">
        <v>0</v>
      </c>
      <c r="K50" s="17">
        <v>0</v>
      </c>
      <c r="L50" s="17">
        <v>0</v>
      </c>
      <c r="M50" s="176"/>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row>
    <row r="51" ht="30" customHeight="1" x14ac:dyDescent="0.35">
      <c r="B51" s="111" t="inlineStr">
        <is>
          <t xml:space="preserve">Scope 2</t>
        </is>
      </c>
      <c r="C51" s="177" t="s">
        <v>2621</v>
      </c>
      <c r="D51" s="17">
        <v>0</v>
      </c>
      <c r="E51" s="17">
        <v>0</v>
      </c>
      <c r="F51" s="17">
        <v>0</v>
      </c>
      <c r="G51" s="17">
        <v>0</v>
      </c>
      <c r="H51" s="17">
        <f>SUM(tbl_Electricity_Input[Consumption (kWh)])</f>
        <v>0</v>
      </c>
      <c r="I51" s="17">
        <v>0</v>
      </c>
      <c r="J51" s="17">
        <v>0</v>
      </c>
      <c r="K51" s="17">
        <v>0</v>
      </c>
      <c r="L51" s="17">
        <v>0</v>
      </c>
      <c r="M51" s="176"/>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row>
    <row r="52" ht="30" customHeight="1" x14ac:dyDescent="0.35">
      <c r="B52" s="111" t="inlineStr">
        <is>
          <t xml:space="preserve">Scope 2</t>
        </is>
      </c>
      <c r="C52" s="177" t="s">
        <v>2622</v>
      </c>
      <c r="D52" s="17">
        <v>0</v>
      </c>
      <c r="E52" s="17">
        <v>0</v>
      </c>
      <c r="F52" s="17">
        <v>0</v>
      </c>
      <c r="G52" s="17">
        <v>0</v>
      </c>
      <c r="H52" s="17">
        <f>SUM(tbl_District_heating_Input[Consumption (kWh)])</f>
        <v>0</v>
      </c>
      <c r="I52" s="17">
        <v>0</v>
      </c>
      <c r="J52" s="17">
        <v>0</v>
      </c>
      <c r="K52" s="17">
        <v>0</v>
      </c>
      <c r="L52" s="17">
        <v>0</v>
      </c>
      <c r="M52" s="176"/>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row>
    <row r="53" ht="30" customHeight="1" x14ac:dyDescent="0.35">
      <c r="B53" s="111" t="inlineStr">
        <is>
          <t xml:space="preserve">Scope 3</t>
        </is>
      </c>
      <c r="C53" s="177" t="s">
        <v>2618</v>
      </c>
      <c r="D53" s="17">
        <f>SUM(tbl_3.01._Input[Total Spend (EUR)])-SUMIFS(tbl_3.01._Input[Total Spend (EUR)],tbl_3.01._Input[Category],"Capital Equipment")</f>
        <v>0</v>
      </c>
      <c r="E53" s="17">
        <v>0</v>
      </c>
      <c r="F53" s="17">
        <v>0</v>
      </c>
      <c r="G53" s="17">
        <v>0</v>
      </c>
      <c r="H53" s="17">
        <v>0</v>
      </c>
      <c r="I53" s="17">
        <v>0</v>
      </c>
      <c r="J53" s="17">
        <v>0</v>
      </c>
      <c r="K53" s="17">
        <v>0</v>
      </c>
      <c r="L53" s="17">
        <v>0</v>
      </c>
      <c r="M53" s="176"/>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row>
    <row r="54" ht="30" customHeight="1" x14ac:dyDescent="0.35">
      <c r="B54" s="111" t="inlineStr">
        <is>
          <t xml:space="preserve">Scope 3</t>
        </is>
      </c>
      <c r="C54" s="177" t="s">
        <v>2619</v>
      </c>
      <c r="D54" s="17">
        <f>SUMIFS(tbl_3.01._Input[Total Spend (EUR)],tbl_3.01._Input[Category],"Capital Equipment")</f>
        <v>0</v>
      </c>
      <c r="E54" s="17">
        <v>0</v>
      </c>
      <c r="F54" s="17">
        <v>0</v>
      </c>
      <c r="G54" s="17">
        <v>0</v>
      </c>
      <c r="H54" s="17">
        <v>0</v>
      </c>
      <c r="I54" s="17">
        <v>0</v>
      </c>
      <c r="J54" s="17">
        <v>0</v>
      </c>
      <c r="K54" s="17">
        <v>0</v>
      </c>
      <c r="L54" s="17">
        <v>0</v>
      </c>
      <c r="M54" s="176"/>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row>
    <row r="55" ht="30" customHeight="1" x14ac:dyDescent="0.35">
      <c r="B55" s="111" t="inlineStr">
        <is>
          <t xml:space="preserve">Scope 3</t>
        </is>
      </c>
      <c r="C55" s="177" t="s">
        <v>2623</v>
      </c>
      <c r="D55" s="17">
        <f>SUM(tbl_Upstream_Transport_Input[Spend (EUR)])</f>
        <v>0</v>
      </c>
      <c r="E55" s="17">
        <v>0</v>
      </c>
      <c r="F55" s="17">
        <v>0</v>
      </c>
      <c r="G55" s="17">
        <v>0</v>
      </c>
      <c r="H55" s="17">
        <v>0</v>
      </c>
      <c r="I55" s="17">
        <v>0</v>
      </c>
      <c r="J55" s="17">
        <v>0</v>
      </c>
      <c r="K55" s="17">
        <v>0</v>
      </c>
      <c r="L55" s="17">
        <v>0</v>
      </c>
      <c r="M55" s="176"/>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row>
    <row r="56" ht="30" customHeight="1" x14ac:dyDescent="0.35">
      <c r="B56" s="111" t="inlineStr">
        <is>
          <t xml:space="preserve">Scope 3</t>
        </is>
      </c>
      <c r="C56" s="177" t="s">
        <v>2657</v>
      </c>
      <c r="D56" s="17">
        <v>0</v>
      </c>
      <c r="E56" s="17">
        <v>0</v>
      </c>
      <c r="F56" s="17">
        <v>0</v>
      </c>
      <c r="G56" s="17">
        <v>0</v>
      </c>
      <c r="H56" s="17">
        <v>0</v>
      </c>
      <c r="I56" s="17">
        <v>0</v>
      </c>
      <c r="J56" s="17">
        <v>0</v>
      </c>
      <c r="K56" s="17">
        <v>0</v>
      </c>
      <c r="L56" s="17">
        <f>SUM(tbl_Waste_Input[Conversion to tonnes])</f>
        <v>0</v>
      </c>
      <c r="M56" s="17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row>
    <row r="57" ht="30" customHeight="1" x14ac:dyDescent="0.35">
      <c r="B57" s="111" t="inlineStr">
        <is>
          <t xml:space="preserve">Scope 3</t>
        </is>
      </c>
      <c r="C57" s="177" t="s">
        <v>2658</v>
      </c>
      <c r="D57" s="17">
        <v>0</v>
      </c>
      <c r="E57" s="17">
        <v>0</v>
      </c>
      <c r="F57" s="17">
        <v>0</v>
      </c>
      <c r="G57" s="17">
        <v>0</v>
      </c>
      <c r="H57" s="17">
        <v>0</v>
      </c>
      <c r="I57" s="17">
        <f>SUMIFS(tbl_Water_Input[Consumption],tbl_Water_Input[Unit],"l")</f>
        <v>0</v>
      </c>
      <c r="J57" s="17">
        <f>SUMIFS(tbl_Water_Input[Consumption],tbl_Water_Input[Unit],"m3")</f>
        <v>0</v>
      </c>
      <c r="K57" s="17">
        <v>0</v>
      </c>
      <c r="L57" s="17">
        <v>0</v>
      </c>
      <c r="M57" s="176"/>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row>
    <row r="58" ht="30" customHeight="1" x14ac:dyDescent="0.35">
      <c r="B58" s="111" t="inlineStr">
        <is>
          <t xml:space="preserve">Scope 3</t>
        </is>
      </c>
      <c r="C58" s="177" t="s">
        <v>2627</v>
      </c>
      <c r="D58" s="17">
        <f>SUM(tbl_3.06._SB_Inputs[Spend (EUR)])</f>
        <v>0</v>
      </c>
      <c r="E58" s="17">
        <v>0</v>
      </c>
      <c r="F58" s="17">
        <v>0</v>
      </c>
      <c r="G58" s="17">
        <f>SUMIFS(tbl_3.06._AB_Input[Distance Travelled],tbl_3.06._AB_Input[Unit],"km")</f>
        <v>0</v>
      </c>
      <c r="H58" s="17">
        <v>0</v>
      </c>
      <c r="I58" s="17">
        <v>0</v>
      </c>
      <c r="J58" s="17">
        <v>0</v>
      </c>
      <c r="K58" s="17">
        <v>0</v>
      </c>
      <c r="L58" s="17">
        <v>0</v>
      </c>
      <c r="M58" s="176"/>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row>
    <row r="59" ht="30" customHeight="1" x14ac:dyDescent="0.35">
      <c r="B59" s="111" t="inlineStr">
        <is>
          <t xml:space="preserve">Scope 3</t>
        </is>
      </c>
      <c r="C59" s="177" t="s">
        <v>2659</v>
      </c>
      <c r="D59" s="17">
        <v>0</v>
      </c>
      <c r="E59" s="17">
        <v>0</v>
      </c>
      <c r="F59" s="17">
        <v>0</v>
      </c>
      <c r="G59" s="17">
        <v>0</v>
      </c>
      <c r="H59" s="17">
        <v>0</v>
      </c>
      <c r="I59" s="17">
        <v>0</v>
      </c>
      <c r="J59" s="17">
        <v>0</v>
      </c>
      <c r="K59" s="17">
        <f>SUM(tbl_Hotels_AB_Input[Nights Stayed])</f>
        <v>0</v>
      </c>
      <c r="L59" s="17">
        <v>0</v>
      </c>
      <c r="M59" s="176"/>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row>
    <row r="60" ht="30" customHeight="1" x14ac:dyDescent="0.35">
      <c r="B60" s="111" t="inlineStr">
        <is>
          <t xml:space="preserve">Scope 3</t>
        </is>
      </c>
      <c r="C60" s="177" t="s">
        <v>2660</v>
      </c>
      <c r="D60" s="17">
        <v>0</v>
      </c>
      <c r="E60" s="17">
        <v>0</v>
      </c>
      <c r="F60" s="17">
        <v>0</v>
      </c>
      <c r="G60" s="17">
        <f>SUM(tbl_Commuting_Calc[Total Distance Car (km)],tbl_Commuting_Calc[Total Distance Rail (km)],tbl_Commuting_Calc[Total Distance Bus (km)],tbl_Commuting_Calc[Total Distance Self-Propelled (km)])</f>
        <v>0</v>
      </c>
      <c r="H60" s="17">
        <v>0</v>
      </c>
      <c r="I60" s="17">
        <v>0</v>
      </c>
      <c r="J60" s="17">
        <v>0</v>
      </c>
      <c r="K60" s="17">
        <v>0</v>
      </c>
      <c r="L60" s="17">
        <v>0</v>
      </c>
      <c r="M60" s="176"/>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row>
    <row r="61" ht="30" customHeight="1" x14ac:dyDescent="0.35">
      <c r="B61" s="111" t="inlineStr">
        <is>
          <t xml:space="preserve">Scope 3</t>
        </is>
      </c>
      <c r="C61" s="177" t="s">
        <v>2661</v>
      </c>
      <c r="D61" s="17">
        <v>0</v>
      </c>
      <c r="E61" s="17">
        <f>SUM(tbl_Teleworking_Calc[Average Teleworking Hours per Year])</f>
        <v>0</v>
      </c>
      <c r="F61" s="17">
        <v>0</v>
      </c>
      <c r="G61" s="17">
        <v>0</v>
      </c>
      <c r="H61" s="17">
        <v>0</v>
      </c>
      <c r="I61" s="17">
        <v>0</v>
      </c>
      <c r="J61" s="17">
        <v>0</v>
      </c>
      <c r="K61" s="17">
        <v>0</v>
      </c>
      <c r="L61" s="17">
        <v>0</v>
      </c>
      <c r="M61" s="176"/>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row>
    <row r="62" ht="30" customHeight="1" x14ac:dyDescent="0.35">
      <c r="B62" s="111" t="inlineStr">
        <is>
          <t xml:space="preserve">Scope 3</t>
        </is>
      </c>
      <c r="C62" s="177" t="s">
        <v>2631</v>
      </c>
      <c r="D62" s="17">
        <f>SUM(tbl_Upstream_Leased_Assets_Input[Total Spend (EUR)])</f>
        <v>0</v>
      </c>
      <c r="E62" s="17">
        <v>0</v>
      </c>
      <c r="F62" s="17">
        <v>0</v>
      </c>
      <c r="G62" s="17">
        <v>0</v>
      </c>
      <c r="H62" s="17">
        <v>0</v>
      </c>
      <c r="I62" s="17">
        <v>0</v>
      </c>
      <c r="J62" s="17">
        <v>0</v>
      </c>
      <c r="K62" s="17">
        <v>0</v>
      </c>
      <c r="L62" s="17">
        <v>0</v>
      </c>
      <c r="M62" s="176"/>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row>
    <row r="63" ht="30" customHeight="1" x14ac:dyDescent="0.35">
      <c r="B63" s="178" t="s">
        <v>2662</v>
      </c>
      <c r="C63" s="178"/>
      <c r="D63" s="173">
        <f>SUM(D48:D62)</f>
        <v>0</v>
      </c>
      <c r="E63" s="173">
        <f>SUM(E48:E62)</f>
        <v>0</v>
      </c>
      <c r="F63" s="173">
        <f>SUM(F48:F62)</f>
        <v>0</v>
      </c>
      <c r="G63" s="173">
        <f>SUM(G48:G62)</f>
        <v>0</v>
      </c>
      <c r="H63" s="173">
        <f>SUM(H48:H62)</f>
        <v>0</v>
      </c>
      <c r="I63" s="173">
        <f>SUM(I48:I62)</f>
        <v>0</v>
      </c>
      <c r="J63" s="173">
        <f>SUM(J48:J62)</f>
        <v>0</v>
      </c>
      <c r="K63" s="173">
        <f>SUM(K48:K62)</f>
        <v>0</v>
      </c>
      <c r="L63" s="173">
        <f>SUM(L48:L62)</f>
        <v>0</v>
      </c>
      <c r="M63" s="176"/>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row>
    <row r="64" spans="2:102" ht="30" customHeight="1" x14ac:dyDescent="0.35">
      <c r="M64" s="176"/>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row>
    <row r="65" ht="30" customHeight="1" x14ac:dyDescent="0.35">
      <c r="B65" s="11" t="s">
        <v>2663</v>
      </c>
      <c r="M65" s="176"/>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row>
    <row r="66" spans="2:102" ht="30" customHeight="1" thickBot="1" x14ac:dyDescent="0.4">
      <c r="M66" s="17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row>
    <row r="67" ht="30" customHeight="1" thickTop="1" x14ac:dyDescent="0.35"/>
    <row r="68" spans="2:102" x14ac:dyDescent="0.35"/>
    <row r="69" spans="2:102" x14ac:dyDescent="0.35"/>
    <row r="70" spans="2:102" x14ac:dyDescent="0.35">
      <c r="B70"/>
      <c r="C70"/>
    </row>
    <row r="71" spans="2:102" x14ac:dyDescent="0.35">
      <c r="B71"/>
      <c r="C71"/>
    </row>
    <row r="72" spans="2:102" x14ac:dyDescent="0.35">
      <c r="B72"/>
      <c r="C72"/>
    </row>
  </sheetData>
  <sheetProtection algorithmName="SHA-512" hashValue="c0SOUr03kimn1s7ELC9FH1VOl4hPMCK24JJTglUvr59uSHfhw1tLlnnGCdASODJq9pNNjlhZ3NTY2437AZ2nFQ==" saltValue="QsLAYvUglXMB8GuK1Hk/og==" spinCount="100000" sheet="1" objects="1" scenarios="1" formatColumns="0" formatRows="0"/>
  <pageMargins left="0.7" right="0.7" top="0.75" bottom="0.75" header="0.3" footer="0.3"/>
  <drawing r:id="rId3"/>
  <tableParts count="1">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61595-F7E7-4D19-9852-5A4B16020C80}">
  <sheetPr>
    <tabColor rgb="FF125359"/>
  </sheetPr>
  <dimension ref="A1"/>
  <sheetViews>
    <sheetView showGridLines="0" workbookViewId="0"/>
  </sheetViews>
  <sheetFormatPr defaultRowHeight="14.5"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572DC-A9A9-444E-AE71-583AD7E94DD1}">
  <sheetPr>
    <tabColor rgb="FFE7EEEE"/>
  </sheetPr>
  <dimension ref="B1:G92"/>
  <sheetViews>
    <sheetView showGridLines="0" zoomScale="80" zoomScaleNormal="80" workbookViewId="0">
      <selection activeCell="G26" sqref="G26"/>
    </sheetView>
  </sheetViews>
  <sheetFormatPr defaultRowHeight="14.5" x14ac:dyDescent="0.35"/>
  <cols>
    <col min="1" max="1" width="2.6328125" style="4" customWidth="1"/>
    <col min="2" max="2" width="37.453125" style="4" bestFit="1" customWidth="1"/>
    <col min="3" max="7" width="30.6328125" style="4" customWidth="1"/>
    <col min="8" max="16384" width="8.7265625" style="4"/>
  </cols>
  <sheetData>
    <row r="1" spans="2:5" s="3" customFormat="1" x14ac:dyDescent="0.35">
      <c r="B1" s="147" t="s">
        <v>1015</v>
      </c>
    </row>
    <row r="2" spans="2:5" s="3" customFormat="1" x14ac:dyDescent="0.35">
      <c r="B2" s="147" t="str">
        <f>"01/01/" &amp; const_Reporting_Year &amp; " - 31/12/" &amp; const_Reporting_Year</f>
        <v>01/01/2025 - 31/12/2025</v>
      </c>
    </row>
    <row r="4" spans="2:5" x14ac:dyDescent="0.35">
      <c r="B4" s="7" t="s">
        <v>2664</v>
      </c>
      <c r="C4" s="7"/>
      <c r="D4" s="7"/>
      <c r="E4" s="7"/>
    </row>
    <row r="5" spans="2:5" ht="5" customHeight="1" x14ac:dyDescent="0.35"/>
    <row r="6" spans="2:5" x14ac:dyDescent="0.35">
      <c r="B6" s="11" t="s">
        <v>2665</v>
      </c>
      <c r="C6" s="45">
        <f>SUMIFS($C$14:$C$19, $D$14:$D$19, "kWh")</f>
        <v>0</v>
      </c>
      <c r="D6"/>
      <c r="E6"/>
    </row>
    <row r="7" spans="2:5" x14ac:dyDescent="0.35">
      <c r="B7" s="11" t="s">
        <v>2666</v>
      </c>
      <c r="C7" s="45">
        <f>SUMIFS($C$14:$C$19, $D$14:$D$19, "l")</f>
        <v>0</v>
      </c>
      <c r="D7"/>
      <c r="E7"/>
    </row>
    <row r="8" x14ac:dyDescent="0.35">
      <c r="B8" s="11" t="s">
        <v>2667</v>
      </c>
      <c r="C8" s="45">
        <f>SUMIFS($C$14:$C$19, $D$14:$D$19, "tonnes")</f>
        <v>0</v>
      </c>
      <c r="D8"/>
      <c r="E8"/>
    </row>
    <row r="9" spans="2:5" x14ac:dyDescent="0.35">
      <c r="B9" s="11" t="s">
        <v>2668</v>
      </c>
      <c r="C9" s="45">
        <f>SUMIFS($C$14:$C$19, $D$14:$D$19, "cubic meters")</f>
        <v>0</v>
      </c>
      <c r="D9"/>
      <c r="E9"/>
    </row>
    <row r="10" spans="2:5" x14ac:dyDescent="0.35">
      <c r="B10" s="11"/>
      <c r="C10" s="103"/>
      <c r="D10"/>
      <c r="E10"/>
    </row>
    <row r="11" ht="40" customHeight="1" x14ac:dyDescent="0.35">
      <c r="B11" s="148" t="s">
        <v>2669</v>
      </c>
      <c r="C11" s="149" t="s">
        <v>2670</v>
      </c>
      <c r="D11" s="148" t="s">
        <v>2671</v>
      </c>
      <c r="E11" s="148" t="s">
        <v>2672</v>
      </c>
      <c r="F11" s="148" t="s">
        <v>2673</v>
      </c>
    </row>
    <row r="12" spans="2:5" ht="5" customHeight="1" x14ac:dyDescent="0.35"/>
    <row r="13" ht="30" customHeight="1" x14ac:dyDescent="0.35">
      <c r="B13" s="19" t="s">
        <v>22</v>
      </c>
      <c r="C13" s="20" t="s">
        <v>23</v>
      </c>
      <c r="D13" s="20" t="s">
        <v>24</v>
      </c>
      <c r="E13" s="21" t="s">
        <v>31</v>
      </c>
      <c r="F13" s="21" t="s">
        <v>2674</v>
      </c>
    </row>
    <row r="14" ht="20" customHeight="1" x14ac:dyDescent="0.35">
      <c r="B14" s="211" t="s">
        <v>25</v>
      </c>
      <c r="C14" s="216"/>
      <c r="D14" s="219" t="s">
        <v>39</v>
      </c>
      <c r="E14" s="222" t="s">
        <v>32</v>
      </c>
      <c r="F14" s="218"/>
    </row>
    <row r="15" ht="20" customHeight="1" x14ac:dyDescent="0.35">
      <c r="B15" s="211" t="s">
        <v>26</v>
      </c>
      <c r="C15" s="216"/>
      <c r="D15" s="219" t="s">
        <v>37</v>
      </c>
      <c r="E15" s="222" t="s">
        <v>32</v>
      </c>
      <c r="F15" s="218"/>
    </row>
    <row r="16" ht="20" customHeight="1" x14ac:dyDescent="0.35">
      <c r="B16" s="211" t="s">
        <v>27</v>
      </c>
      <c r="C16" s="216"/>
      <c r="D16" s="219" t="s">
        <v>37</v>
      </c>
      <c r="E16" s="222" t="s">
        <v>32</v>
      </c>
      <c r="F16" s="218"/>
    </row>
    <row r="17" ht="20" customHeight="1" x14ac:dyDescent="0.35">
      <c r="B17" s="211" t="inlineStr">
        <is>
          <t xml:space="preserve">Diesel</t>
        </is>
      </c>
      <c r="C17" s="216"/>
      <c r="D17" s="219" t="s">
        <v>45</v>
      </c>
      <c r="E17" s="222" t="s">
        <v>32</v>
      </c>
      <c r="F17" s="218"/>
    </row>
    <row r="18" ht="20" customHeight="1" x14ac:dyDescent="0.35">
      <c r="B18" s="211" t="s">
        <v>30</v>
      </c>
      <c r="C18" s="216"/>
      <c r="D18" s="219"/>
      <c r="E18" s="222" t="s">
        <v>32</v>
      </c>
      <c r="F18" s="218"/>
    </row>
    <row r="19" ht="20" customHeight="1" x14ac:dyDescent="0.35">
      <c r="B19" s="212" t="s">
        <v>29</v>
      </c>
      <c r="C19" s="217"/>
      <c r="D19" s="220"/>
      <c r="E19" s="223" t="s">
        <v>32</v>
      </c>
      <c r="F19" s="218"/>
    </row>
    <row r="20" spans="2:5" s="12" customFormat="1" ht="15" thickBot="1" x14ac:dyDescent="0.4"/>
    <row r="21" spans="2:5" ht="15" thickTop="1" x14ac:dyDescent="0.35"/>
    <row r="22" spans="2:5" x14ac:dyDescent="0.35">
      <c r="B22" s="7" t="s">
        <v>2675</v>
      </c>
      <c r="C22" s="7"/>
      <c r="D22" s="7"/>
      <c r="E22" s="7"/>
    </row>
    <row r="23" spans="2:5" ht="10" customHeight="1" x14ac:dyDescent="0.35"/>
    <row r="24" spans="2:5" ht="55" customHeight="1" x14ac:dyDescent="0.35">
      <c r="B24" s="179" t="s">
        <v>2676</v>
      </c>
      <c r="C24" s="180"/>
      <c r="D24" s="180"/>
      <c r="E24" s="181"/>
    </row>
    <row r="25" spans="2:5" ht="10" customHeight="1" x14ac:dyDescent="0.35"/>
    <row r="26" spans="2:5" x14ac:dyDescent="0.35">
      <c r="B26" s="11" t="s">
        <v>2666</v>
      </c>
      <c r="C26" s="45">
        <f>SUM(C33:C35)</f>
        <v>0</v>
      </c>
    </row>
    <row r="27" spans="2:5" x14ac:dyDescent="0.35">
      <c r="B27" s="11" t="s">
        <v>2677</v>
      </c>
      <c r="C27" s="45">
        <f>SUM(C40:C46)</f>
        <v>0</v>
      </c>
    </row>
    <row r="28" spans="2:5" x14ac:dyDescent="0.35">
      <c r="B28" s="11" t="s">
        <v>2678</v>
      </c>
      <c r="C28" s="45">
        <f>SUM(C51:C58)</f>
        <v>0</v>
      </c>
    </row>
    <row r="29" spans="2:5" x14ac:dyDescent="0.35">
      <c r="B29" s="11"/>
      <c r="C29" s="103"/>
    </row>
    <row r="30" ht="40" customHeight="1" x14ac:dyDescent="0.35">
      <c r="B30" s="148" t="s">
        <v>2679</v>
      </c>
      <c r="C30" s="149" t="s">
        <v>2670</v>
      </c>
      <c r="D30" s="148" t="s">
        <v>2680</v>
      </c>
      <c r="E30" s="148" t="s">
        <v>2672</v>
      </c>
      <c r="F30" s="148" t="s">
        <v>2673</v>
      </c>
    </row>
    <row r="31" spans="2:5" ht="5" customHeight="1" x14ac:dyDescent="0.35"/>
    <row r="32" ht="30" customHeight="1" x14ac:dyDescent="0.35">
      <c r="B32" s="20" t="s">
        <v>22</v>
      </c>
      <c r="C32" s="20" t="s">
        <v>23</v>
      </c>
      <c r="D32" s="20" t="s">
        <v>40</v>
      </c>
      <c r="E32" s="21" t="s">
        <v>31</v>
      </c>
      <c r="F32" s="21" t="s">
        <v>2674</v>
      </c>
    </row>
    <row r="33" ht="20" customHeight="1" x14ac:dyDescent="0.35">
      <c r="B33" s="213" t="s">
        <v>66</v>
      </c>
      <c r="C33" s="216"/>
      <c r="D33" s="214" t="s">
        <v>37</v>
      </c>
      <c r="E33" s="222" t="s">
        <v>74</v>
      </c>
      <c r="F33" s="218"/>
    </row>
    <row r="34" ht="20" customHeight="1" x14ac:dyDescent="0.35">
      <c r="B34" s="213" t="s">
        <v>67</v>
      </c>
      <c r="C34" s="216"/>
      <c r="D34" s="214" t="s">
        <v>37</v>
      </c>
      <c r="E34" s="222" t="s">
        <v>74</v>
      </c>
      <c r="F34" s="218"/>
    </row>
    <row r="35" ht="20" customHeight="1" x14ac:dyDescent="0.35">
      <c r="B35" s="212" t="s">
        <v>27</v>
      </c>
      <c r="C35" s="217"/>
      <c r="D35" s="221" t="s">
        <v>37</v>
      </c>
      <c r="E35" s="223" t="s">
        <v>74</v>
      </c>
      <c r="F35" s="218"/>
    </row>
    <row r="37" ht="40" customHeight="1" x14ac:dyDescent="0.35">
      <c r="B37" s="148" t="s">
        <v>2679</v>
      </c>
      <c r="C37" s="149" t="s">
        <v>2681</v>
      </c>
      <c r="D37" s="148" t="s">
        <v>2682</v>
      </c>
      <c r="E37" s="148" t="s">
        <v>2672</v>
      </c>
      <c r="F37" s="148" t="s">
        <v>2673</v>
      </c>
    </row>
    <row r="38" spans="2:7" ht="5" customHeight="1" x14ac:dyDescent="0.35"/>
    <row r="39" ht="30" customHeight="1" x14ac:dyDescent="0.35">
      <c r="B39" s="19" t="s">
        <v>22</v>
      </c>
      <c r="C39" s="20" t="s">
        <v>23</v>
      </c>
      <c r="D39" s="20" t="s">
        <v>40</v>
      </c>
      <c r="E39" s="21" t="s">
        <v>31</v>
      </c>
      <c r="F39" s="21" t="s">
        <v>2674</v>
      </c>
    </row>
    <row r="40" ht="20" customHeight="1" x14ac:dyDescent="0.35">
      <c r="B40" s="214" t="s">
        <v>66</v>
      </c>
      <c r="C40" s="216"/>
      <c r="D40" s="214" t="s">
        <v>72</v>
      </c>
      <c r="E40" s="224" t="s">
        <v>74</v>
      </c>
      <c r="F40" s="218"/>
      <c r="G40"/>
    </row>
    <row r="41" ht="20" customHeight="1" x14ac:dyDescent="0.35">
      <c r="B41" s="214" t="s">
        <v>67</v>
      </c>
      <c r="C41" s="216"/>
      <c r="D41" s="214" t="s">
        <v>72</v>
      </c>
      <c r="E41" s="224" t="s">
        <v>74</v>
      </c>
      <c r="F41" s="218"/>
      <c r="G41"/>
    </row>
    <row r="42" ht="20" customHeight="1" x14ac:dyDescent="0.35">
      <c r="B42" s="214" t="s">
        <v>68</v>
      </c>
      <c r="C42" s="216"/>
      <c r="D42" s="214" t="s">
        <v>72</v>
      </c>
      <c r="E42" s="224" t="s">
        <v>74</v>
      </c>
      <c r="F42" s="218"/>
      <c r="G42"/>
    </row>
    <row r="43" ht="20" customHeight="1" x14ac:dyDescent="0.35">
      <c r="B43" s="214" t="s">
        <v>51</v>
      </c>
      <c r="C43" s="216"/>
      <c r="D43" s="214" t="s">
        <v>72</v>
      </c>
      <c r="E43" s="224" t="s">
        <v>74</v>
      </c>
      <c r="F43" s="218"/>
      <c r="G43"/>
    </row>
    <row r="44" ht="20" customHeight="1" x14ac:dyDescent="0.35">
      <c r="B44" s="214" t="s">
        <v>1172</v>
      </c>
      <c r="C44" s="216"/>
      <c r="D44" s="214" t="s">
        <v>72</v>
      </c>
      <c r="E44" s="224" t="s">
        <v>74</v>
      </c>
      <c r="F44" s="218"/>
      <c r="G44"/>
    </row>
    <row r="45" ht="20" customHeight="1" x14ac:dyDescent="0.35">
      <c r="B45" s="214" t="s">
        <v>69</v>
      </c>
      <c r="C45" s="216"/>
      <c r="D45" s="214" t="s">
        <v>72</v>
      </c>
      <c r="E45" s="224" t="s">
        <v>74</v>
      </c>
      <c r="F45" s="218"/>
      <c r="G45"/>
    </row>
    <row r="46" ht="20" customHeight="1" x14ac:dyDescent="0.35">
      <c r="B46" s="214" t="s">
        <v>70</v>
      </c>
      <c r="C46" s="216"/>
      <c r="D46" s="214" t="s">
        <v>72</v>
      </c>
      <c r="E46" s="224" t="s">
        <v>74</v>
      </c>
      <c r="F46" s="218"/>
      <c r="G46"/>
    </row>
    <row r="47" spans="2:7" ht="14.5" customHeight="1" x14ac:dyDescent="0.35">
      <c r="B47"/>
      <c r="C47"/>
      <c r="D47"/>
      <c r="E47"/>
      <c r="F47"/>
      <c r="G47"/>
    </row>
    <row r="48" ht="40" customHeight="1" x14ac:dyDescent="0.35">
      <c r="B48" s="148" t="s">
        <v>2683</v>
      </c>
      <c r="C48" s="149" t="s">
        <v>2681</v>
      </c>
      <c r="D48" s="148" t="s">
        <v>2684</v>
      </c>
      <c r="E48" s="148" t="s">
        <v>2672</v>
      </c>
      <c r="F48" s="148" t="s">
        <v>2673</v>
      </c>
      <c r="G48"/>
    </row>
    <row r="49" spans="2:7" ht="5" customHeight="1" x14ac:dyDescent="0.35">
      <c r="B49"/>
      <c r="C49"/>
      <c r="D49"/>
      <c r="E49"/>
      <c r="F49"/>
      <c r="G49"/>
    </row>
    <row r="50" ht="20" customHeight="1" x14ac:dyDescent="0.35">
      <c r="B50" s="19" t="s">
        <v>71</v>
      </c>
      <c r="C50" s="20" t="s">
        <v>23</v>
      </c>
      <c r="D50" s="20" t="s">
        <v>40</v>
      </c>
      <c r="E50" s="21" t="s">
        <v>31</v>
      </c>
      <c r="F50" s="21" t="s">
        <v>2674</v>
      </c>
      <c r="G50"/>
    </row>
    <row r="51" ht="20" customHeight="1" x14ac:dyDescent="0.35">
      <c r="B51" s="211" t="s">
        <v>230</v>
      </c>
      <c r="C51" s="216"/>
      <c r="D51" s="214" t="s">
        <v>72</v>
      </c>
      <c r="E51" s="224" t="s">
        <v>74</v>
      </c>
      <c r="F51" s="218"/>
      <c r="G51"/>
    </row>
    <row r="52" ht="20" customHeight="1" x14ac:dyDescent="0.35">
      <c r="B52" s="211" t="s">
        <v>232</v>
      </c>
      <c r="C52" s="216"/>
      <c r="D52" s="214" t="s">
        <v>72</v>
      </c>
      <c r="E52" s="224" t="s">
        <v>74</v>
      </c>
      <c r="F52" s="218"/>
      <c r="G52"/>
    </row>
    <row r="53" ht="20" customHeight="1" x14ac:dyDescent="0.35">
      <c r="B53" s="211" t="s">
        <v>233</v>
      </c>
      <c r="C53" s="216"/>
      <c r="D53" s="214" t="s">
        <v>72</v>
      </c>
      <c r="E53" s="224" t="s">
        <v>74</v>
      </c>
      <c r="F53" s="218"/>
    </row>
    <row r="54" ht="20" customHeight="1" x14ac:dyDescent="0.35">
      <c r="B54" s="211" t="s">
        <v>234</v>
      </c>
      <c r="C54" s="216"/>
      <c r="D54" s="214" t="s">
        <v>72</v>
      </c>
      <c r="E54" s="224" t="s">
        <v>74</v>
      </c>
      <c r="F54" s="218"/>
    </row>
    <row r="55" ht="20" customHeight="1" x14ac:dyDescent="0.35">
      <c r="B55" s="211" t="s">
        <v>1309</v>
      </c>
      <c r="C55" s="216"/>
      <c r="D55" s="214" t="s">
        <v>72</v>
      </c>
      <c r="E55" s="224" t="s">
        <v>74</v>
      </c>
      <c r="F55" s="218"/>
    </row>
    <row r="56" ht="20" customHeight="1" x14ac:dyDescent="0.35">
      <c r="B56" s="211" t="s">
        <v>235</v>
      </c>
      <c r="C56" s="216"/>
      <c r="D56" s="214" t="s">
        <v>72</v>
      </c>
      <c r="E56" s="224" t="s">
        <v>74</v>
      </c>
      <c r="F56" s="218"/>
    </row>
    <row r="57" ht="20" customHeight="1" x14ac:dyDescent="0.35">
      <c r="B57" s="211" t="s">
        <v>236</v>
      </c>
      <c r="C57" s="216"/>
      <c r="D57" s="214" t="s">
        <v>72</v>
      </c>
      <c r="E57" s="224" t="s">
        <v>74</v>
      </c>
      <c r="F57" s="218"/>
    </row>
    <row r="58" ht="20" customHeight="1" x14ac:dyDescent="0.35">
      <c r="B58" s="211" t="s">
        <v>237</v>
      </c>
      <c r="C58" s="216"/>
      <c r="D58" s="214" t="s">
        <v>72</v>
      </c>
      <c r="E58" s="224" t="s">
        <v>74</v>
      </c>
      <c r="F58" s="218"/>
    </row>
    <row r="59" spans="2:7" s="12" customFormat="1" ht="15" thickBot="1" x14ac:dyDescent="0.4"/>
    <row r="60" spans="2:7" ht="15" thickTop="1" x14ac:dyDescent="0.35"/>
    <row r="61" spans="2:7" x14ac:dyDescent="0.35">
      <c r="B61" s="7" t="s">
        <v>2685</v>
      </c>
      <c r="C61" s="7"/>
      <c r="D61" s="7"/>
      <c r="E61" s="7"/>
    </row>
    <row r="62" spans="2:7" ht="5" customHeight="1" x14ac:dyDescent="0.35"/>
    <row r="63" spans="2:7" x14ac:dyDescent="0.35">
      <c r="B63" s="11" t="s">
        <v>2686</v>
      </c>
      <c r="C63" s="126">
        <f>SUM(C68:C77)</f>
        <v>0</v>
      </c>
    </row>
    <row r="64" spans="2:7" x14ac:dyDescent="0.35">
      <c r="B64" s="11"/>
      <c r="C64" s="103"/>
    </row>
    <row r="65" ht="40" customHeight="1" x14ac:dyDescent="0.35">
      <c r="B65" s="148" t="s">
        <v>2687</v>
      </c>
      <c r="C65" s="149" t="s">
        <v>2688</v>
      </c>
      <c r="D65" s="148" t="s">
        <v>2689</v>
      </c>
      <c r="E65" s="148" t="s">
        <v>2672</v>
      </c>
      <c r="F65" s="148" t="s">
        <v>2673</v>
      </c>
    </row>
    <row r="66" spans="2:7" ht="5" customHeight="1" x14ac:dyDescent="0.35"/>
    <row r="67" ht="25" customHeight="1" x14ac:dyDescent="0.35">
      <c r="B67" s="20" t="s">
        <v>1321</v>
      </c>
      <c r="C67" s="20" t="s">
        <v>23</v>
      </c>
      <c r="D67" s="20" t="s">
        <v>40</v>
      </c>
      <c r="E67" s="21" t="s">
        <v>31</v>
      </c>
      <c r="F67" s="21" t="s">
        <v>2674</v>
      </c>
    </row>
    <row r="68" ht="20" customHeight="1" x14ac:dyDescent="0.35">
      <c r="B68" s="213" t="s">
        <v>98</v>
      </c>
      <c r="C68" s="216"/>
      <c r="D68" s="214" t="s">
        <v>90</v>
      </c>
      <c r="E68" s="224" t="s">
        <v>86</v>
      </c>
      <c r="F68" s="218"/>
    </row>
    <row r="69" ht="20" customHeight="1" x14ac:dyDescent="0.35">
      <c r="B69" s="213" t="s">
        <v>142</v>
      </c>
      <c r="C69" s="216"/>
      <c r="D69" s="214" t="s">
        <v>90</v>
      </c>
      <c r="E69" s="224" t="s">
        <v>86</v>
      </c>
      <c r="F69" s="218"/>
      <c r="G69"/>
    </row>
    <row r="70" ht="20" customHeight="1" x14ac:dyDescent="0.35">
      <c r="B70" s="213" t="s">
        <v>130</v>
      </c>
      <c r="C70" s="216"/>
      <c r="D70" s="214" t="s">
        <v>90</v>
      </c>
      <c r="E70" s="224" t="s">
        <v>86</v>
      </c>
      <c r="F70" s="218"/>
    </row>
    <row r="71" ht="20" customHeight="1" x14ac:dyDescent="0.35">
      <c r="B71" s="213" t="s">
        <v>219</v>
      </c>
      <c r="C71" s="216"/>
      <c r="D71" s="214" t="s">
        <v>90</v>
      </c>
      <c r="E71" s="224" t="s">
        <v>86</v>
      </c>
      <c r="F71" s="218"/>
    </row>
    <row r="72" ht="20" customHeight="1" x14ac:dyDescent="0.35">
      <c r="B72" s="213" t="s">
        <v>94</v>
      </c>
      <c r="C72" s="216"/>
      <c r="D72" s="214" t="s">
        <v>90</v>
      </c>
      <c r="E72" s="224" t="s">
        <v>86</v>
      </c>
      <c r="F72" s="218"/>
    </row>
    <row r="73" ht="20" customHeight="1" x14ac:dyDescent="0.35">
      <c r="B73" s="213" t="s">
        <v>135</v>
      </c>
      <c r="C73" s="216"/>
      <c r="D73" s="214" t="s">
        <v>90</v>
      </c>
      <c r="E73" s="224" t="s">
        <v>86</v>
      </c>
      <c r="F73" s="218"/>
    </row>
    <row r="74" ht="20" customHeight="1" x14ac:dyDescent="0.35">
      <c r="B74" s="213" t="s">
        <v>200</v>
      </c>
      <c r="C74" s="216"/>
      <c r="D74" s="214" t="s">
        <v>90</v>
      </c>
      <c r="E74" s="224" t="s">
        <v>86</v>
      </c>
      <c r="F74" s="218"/>
    </row>
    <row r="75" ht="20" customHeight="1" x14ac:dyDescent="0.35">
      <c r="B75" s="213" t="s">
        <v>220</v>
      </c>
      <c r="C75" s="216"/>
      <c r="D75" s="214" t="s">
        <v>90</v>
      </c>
      <c r="E75" s="224" t="s">
        <v>86</v>
      </c>
      <c r="F75" s="218"/>
    </row>
    <row r="76" ht="20" customHeight="1" x14ac:dyDescent="0.35">
      <c r="B76" s="213" t="s">
        <v>1312</v>
      </c>
      <c r="C76" s="216"/>
      <c r="D76" s="214" t="s">
        <v>90</v>
      </c>
      <c r="E76" s="224" t="s">
        <v>86</v>
      </c>
      <c r="F76" s="218"/>
    </row>
    <row r="77" ht="20" customHeight="1" x14ac:dyDescent="0.35">
      <c r="B77" s="215" t="s">
        <v>96</v>
      </c>
      <c r="C77" s="216"/>
      <c r="D77" s="214" t="s">
        <v>90</v>
      </c>
      <c r="E77" s="224" t="s">
        <v>86</v>
      </c>
      <c r="F77" s="218"/>
    </row>
    <row r="80">
      <c r="B80" s="7" t="s">
        <v>2690</v>
      </c>
      <c r="C80" s="7"/>
      <c r="D80" s="7"/>
      <c r="E80" s="7"/>
      <c r="F80" s="7"/>
    </row>
    <row r="82">
      <c r="B82" s="11" t="s">
        <v>2691</v>
      </c>
      <c r="C82" s="45">
        <f>SUM(D88:D92)</f>
        <v>0</v>
      </c>
    </row>
    <row r="84" ht="58" customHeight="1">
      <c r="B84" s="179" t="s">
        <v>2692</v>
      </c>
      <c r="C84" s="180"/>
      <c r="D84" s="180"/>
      <c r="E84" s="180"/>
      <c r="F84" s="181"/>
    </row>
    <row r="86" ht="40" customHeight="1">
      <c r="B86" s="148" t="s">
        <v>2693</v>
      </c>
      <c r="C86" s="148" t="s">
        <v>2694</v>
      </c>
      <c r="D86" s="148" t="s">
        <v>2695</v>
      </c>
      <c r="E86" s="148" t="s">
        <v>2696</v>
      </c>
      <c r="F86" s="148" t="s">
        <v>2672</v>
      </c>
    </row>
    <row r="87" ht="25" customHeight="1">
      <c r="B87" s="19" t="s">
        <v>2697</v>
      </c>
      <c r="C87" s="20" t="s">
        <v>2698</v>
      </c>
      <c r="D87" s="20" t="s">
        <v>2646</v>
      </c>
      <c r="E87" s="20" t="s">
        <v>2674</v>
      </c>
      <c r="F87" s="21" t="s">
        <v>2699</v>
      </c>
    </row>
    <row r="88" ht="20" customHeight="1">
      <c r="B88" s="216"/>
      <c r="C88" s="218"/>
      <c r="D88" s="216"/>
      <c r="E88" s="218"/>
      <c r="F88" s="75" t="inlineStr">
        <is>
          <t xml:space="preserve">Scope 1.03.</t>
        </is>
      </c>
    </row>
    <row r="89" ht="20" customHeight="1">
      <c r="B89" s="216"/>
      <c r="C89" s="218"/>
      <c r="D89" s="216"/>
      <c r="E89" s="218"/>
      <c r="F89" s="75" t="inlineStr">
        <is>
          <t xml:space="preserve">Scope 1.03.</t>
        </is>
      </c>
    </row>
    <row r="90" ht="20" customHeight="1">
      <c r="B90" s="216"/>
      <c r="C90" s="218"/>
      <c r="D90" s="216"/>
      <c r="E90" s="218"/>
      <c r="F90" s="75" t="inlineStr">
        <is>
          <t xml:space="preserve">Scope 1.03.</t>
        </is>
      </c>
    </row>
    <row r="91" ht="20" customHeight="1">
      <c r="B91" s="216"/>
      <c r="C91" s="218"/>
      <c r="D91" s="216"/>
      <c r="E91" s="218"/>
      <c r="F91" s="75" t="inlineStr">
        <is>
          <t xml:space="preserve">Scope 1.03.</t>
        </is>
      </c>
    </row>
    <row r="92" ht="20" customHeight="1">
      <c r="B92" s="216"/>
      <c r="C92" s="218"/>
      <c r="D92" s="216"/>
      <c r="E92" s="218"/>
      <c r="F92" s="75" t="inlineStr">
        <is>
          <t xml:space="preserve">Scope 1.03.</t>
        </is>
      </c>
    </row>
  </sheetData>
  <sheetProtection algorithmName="SHA-512" hashValue="UndNbLzKmasifnyX11FQ3gx34XW9kqjr1lOMkBNLEod05xMyl5sOqRQCmB8BbpJucV+hhoW5rsZ75DJdbQBd7Q==" saltValue="KHOQMCaLRhsB9Fbo9IT/gA==" spinCount="100000" sheet="1" objects="1" scenarios="1" formatColumns="0" formatRows="0"/>
  <mergeCells count="2">
    <mergeCell ref="B24:E24"/>
    <mergeCell ref="B84:F84"/>
  </mergeCells>
  <phoneticPr fontId="22" type="noConversion"/>
  <dataValidations count="4">
    <dataValidation type="list" allowBlank="1" showInputMessage="1" showErrorMessage="1" sqref="D14" xr:uid="{A528D7A8-5D35-4417-9E4D-F8B42F252CB2}">
      <formula1>"kWh, tonnes, cubic meters"</formula1>
    </dataValidation>
    <dataValidation type="list" allowBlank="1" showInputMessage="1" showErrorMessage="1" sqref="D15:D18" xr:uid="{871E405A-37A4-4B13-B70B-735AD238FE3D}">
      <formula1>"kWh, l, tonnes"</formula1>
    </dataValidation>
    <dataValidation type="list" allowBlank="1" showInputMessage="1" showErrorMessage="1" sqref="D19" xr:uid="{7FB2C71A-11FA-415B-89ED-1FC0AAB137A0}">
      <formula1>"tonnes, kWh"</formula1>
    </dataValidation>
    <dataValidation type="decimal" operator="greaterThanOrEqual" allowBlank="1" showErrorMessage="1" errorTitle="Invalid value" error="Please enter a number &gt;= 0." sqref="D88:D92">
      <formula1>0</formula1>
    </dataValidation>
  </dataValidations>
  <pageMargins left="0.7" right="0.7" top="0.75" bottom="0.75" header="0.3" footer="0.3"/>
  <tableParts count="5">
    <tablePart r:id="rId1"/>
    <tablePart r:id="rId2"/>
    <tablePart r:id="rId3"/>
    <tablePart r:id="rId4"/>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900EA-82E7-4D0B-8A01-125603922556}">
  <sheetPr>
    <tabColor rgb="FFE7EEEE"/>
  </sheetPr>
  <dimension ref="A1:J45"/>
  <sheetViews>
    <sheetView showGridLines="0" zoomScale="80" zoomScaleNormal="80" workbookViewId="0">
      <selection activeCell="B23" sqref="B23"/>
    </sheetView>
  </sheetViews>
  <sheetFormatPr defaultRowHeight="14.5" x14ac:dyDescent="0.35"/>
  <cols>
    <col min="1" max="1" width="2.6328125" style="2" customWidth="1"/>
    <col min="2" max="13" width="30.6328125" style="2" customWidth="1"/>
    <col min="14" max="16384" width="8.7265625" style="2"/>
  </cols>
  <sheetData>
    <row r="1" spans="1:9" s="1" customFormat="1" x14ac:dyDescent="0.35">
      <c r="A1" s="1" t="s">
        <v>1015</v>
      </c>
      <c r="B1" s="147" t="str">
        <f>const_Company_Name &amp; " Corporate Carbon Footprint Calculation"</f>
        <v>[Ihr Unternehmen] Corporate Carbon Footprint Calculation</v>
      </c>
    </row>
    <row r="2" spans="1:9" s="1" customFormat="1" x14ac:dyDescent="0.35">
      <c r="B2" s="147" t="str">
        <f>"01/01/" &amp; const_Reporting_Year &amp; " - 31/12/" &amp; const_Reporting_Year</f>
        <v>01/01/2025 - 31/12/2025</v>
      </c>
    </row>
    <row r="4" spans="1:9" x14ac:dyDescent="0.35">
      <c r="B4" s="7" t="s">
        <v>2700</v>
      </c>
      <c r="C4" s="7"/>
      <c r="D4" s="67"/>
      <c r="E4" s="67"/>
      <c r="F4" s="67"/>
      <c r="G4" s="67"/>
      <c r="H4" s="67"/>
    </row>
    <row r="5" spans="1:9" ht="5" customHeight="1" x14ac:dyDescent="0.35">
      <c r="B5" s="4"/>
      <c r="C5" s="4"/>
    </row>
    <row r="6" spans="1:9" ht="55" customHeight="1" x14ac:dyDescent="0.35">
      <c r="B6" s="179" t="s">
        <v>2701</v>
      </c>
      <c r="C6" s="180"/>
      <c r="D6" s="180"/>
      <c r="E6" s="180"/>
      <c r="F6" s="180"/>
      <c r="G6" s="181"/>
    </row>
    <row r="7" spans="1:9" ht="5" customHeight="1" x14ac:dyDescent="0.35">
      <c r="B7" s="4"/>
      <c r="C7" s="4"/>
    </row>
    <row r="8" spans="1:9" x14ac:dyDescent="0.35">
      <c r="B8" s="11" t="s">
        <v>2665</v>
      </c>
      <c r="C8" s="45">
        <f>SUM(F13:F22)</f>
        <v>0</v>
      </c>
    </row>
    <row r="10" ht="40" customHeight="1" x14ac:dyDescent="0.35">
      <c r="B10" s="148" t="s">
        <v>2702</v>
      </c>
      <c r="C10" s="149" t="s">
        <v>2703</v>
      </c>
      <c r="D10" s="148" t="s">
        <v>2704</v>
      </c>
      <c r="E10" s="148" t="s">
        <v>2705</v>
      </c>
      <c r="F10" s="148" t="s">
        <v>2706</v>
      </c>
      <c r="G10" s="148" t="s">
        <v>2672</v>
      </c>
      <c r="H10" s="148" t="s">
        <v>2707</v>
      </c>
      <c r="I10" s="148" t="s">
        <v>2708</v>
      </c>
      <c r="J10" s="148" t="s">
        <v>2673</v>
      </c>
    </row>
    <row r="11" spans="1:9" ht="5" customHeight="1" x14ac:dyDescent="0.35"/>
    <row r="12" x14ac:dyDescent="0.35">
      <c r="B12" s="19" t="s">
        <v>808</v>
      </c>
      <c r="C12" s="20" t="s">
        <v>810</v>
      </c>
      <c r="D12" s="20" t="s">
        <v>255</v>
      </c>
      <c r="E12" s="20" t="s">
        <v>827</v>
      </c>
      <c r="F12" s="20" t="s">
        <v>823</v>
      </c>
      <c r="G12" s="21" t="s">
        <v>809</v>
      </c>
      <c r="H12" s="20" t="s">
        <v>2709</v>
      </c>
      <c r="I12" s="20" t="s">
        <v>2710</v>
      </c>
      <c r="J12" s="21" t="s">
        <v>2674</v>
      </c>
    </row>
    <row r="13" ht="20" customHeight="1" x14ac:dyDescent="0.35">
      <c r="B13" s="211" t="s">
        <v>811</v>
      </c>
      <c r="C13" s="225"/>
      <c r="D13" s="225"/>
      <c r="E13" s="226"/>
      <c r="F13" s="216"/>
      <c r="G13" s="222" t="s">
        <v>821</v>
      </c>
      <c r="H13" s="219"/>
      <c r="I13" s="216"/>
      <c r="J13" s="218"/>
    </row>
    <row r="14" ht="20" customHeight="1" x14ac:dyDescent="0.35">
      <c r="B14" s="211" t="s">
        <v>812</v>
      </c>
      <c r="C14" s="225"/>
      <c r="D14" s="225"/>
      <c r="E14" s="226"/>
      <c r="F14" s="216"/>
      <c r="G14" s="222" t="s">
        <v>821</v>
      </c>
      <c r="H14" s="219"/>
      <c r="I14" s="216"/>
      <c r="J14" s="218"/>
    </row>
    <row r="15" ht="20" customHeight="1" x14ac:dyDescent="0.35">
      <c r="B15" s="211" t="s">
        <v>813</v>
      </c>
      <c r="C15" s="225"/>
      <c r="D15" s="225"/>
      <c r="E15" s="226"/>
      <c r="F15" s="216"/>
      <c r="G15" s="222" t="s">
        <v>821</v>
      </c>
      <c r="H15" s="219"/>
      <c r="I15" s="216"/>
      <c r="J15" s="218"/>
    </row>
    <row r="16" ht="20" customHeight="1" x14ac:dyDescent="0.35">
      <c r="B16" s="211" t="s">
        <v>814</v>
      </c>
      <c r="C16" s="225"/>
      <c r="D16" s="225"/>
      <c r="E16" s="226"/>
      <c r="F16" s="216"/>
      <c r="G16" s="222" t="s">
        <v>821</v>
      </c>
      <c r="H16" s="219"/>
      <c r="I16" s="216"/>
      <c r="J16" s="218"/>
    </row>
    <row r="17" ht="20" customHeight="1" x14ac:dyDescent="0.35">
      <c r="B17" s="211" t="s">
        <v>815</v>
      </c>
      <c r="C17" s="225"/>
      <c r="D17" s="225"/>
      <c r="E17" s="226"/>
      <c r="F17" s="216"/>
      <c r="G17" s="222" t="s">
        <v>821</v>
      </c>
      <c r="H17" s="219"/>
      <c r="I17" s="216"/>
      <c r="J17" s="218"/>
    </row>
    <row r="18" ht="20" customHeight="1" x14ac:dyDescent="0.35">
      <c r="B18" s="211" t="s">
        <v>816</v>
      </c>
      <c r="C18" s="225"/>
      <c r="D18" s="225"/>
      <c r="E18" s="226"/>
      <c r="F18" s="216"/>
      <c r="G18" s="222" t="s">
        <v>821</v>
      </c>
      <c r="H18" s="219"/>
      <c r="I18" s="216"/>
      <c r="J18" s="218"/>
    </row>
    <row r="19" ht="20" customHeight="1" x14ac:dyDescent="0.35">
      <c r="B19" s="211" t="s">
        <v>817</v>
      </c>
      <c r="C19" s="225"/>
      <c r="D19" s="225"/>
      <c r="E19" s="226"/>
      <c r="F19" s="216"/>
      <c r="G19" s="222" t="s">
        <v>821</v>
      </c>
      <c r="H19" s="219"/>
      <c r="I19" s="216"/>
      <c r="J19" s="218"/>
    </row>
    <row r="20" ht="20" customHeight="1" x14ac:dyDescent="0.35">
      <c r="B20" s="211" t="s">
        <v>818</v>
      </c>
      <c r="C20" s="225"/>
      <c r="D20" s="225"/>
      <c r="E20" s="226"/>
      <c r="F20" s="216"/>
      <c r="G20" s="222" t="s">
        <v>821</v>
      </c>
      <c r="H20" s="219"/>
      <c r="I20" s="216"/>
      <c r="J20" s="218"/>
    </row>
    <row r="21" ht="20" customHeight="1" x14ac:dyDescent="0.35">
      <c r="B21" s="211" t="s">
        <v>819</v>
      </c>
      <c r="C21" s="225"/>
      <c r="D21" s="225"/>
      <c r="E21" s="226"/>
      <c r="F21" s="216"/>
      <c r="G21" s="222" t="s">
        <v>821</v>
      </c>
      <c r="H21" s="219"/>
      <c r="I21" s="216"/>
      <c r="J21" s="218"/>
    </row>
    <row r="22" ht="20" customHeight="1" x14ac:dyDescent="0.35">
      <c r="B22" s="211" t="s">
        <v>820</v>
      </c>
      <c r="C22" s="225"/>
      <c r="D22" s="225"/>
      <c r="E22" s="226"/>
      <c r="F22" s="216"/>
      <c r="G22" s="222" t="s">
        <v>821</v>
      </c>
      <c r="H22" s="219"/>
      <c r="I22" s="216"/>
      <c r="J22" s="218"/>
    </row>
    <row r="23" spans="2:7" s="42" customFormat="1" ht="15" thickBot="1" x14ac:dyDescent="0.4"/>
    <row r="24" spans="2:7" ht="15" thickTop="1" x14ac:dyDescent="0.35"/>
    <row r="25" spans="2:7" x14ac:dyDescent="0.35">
      <c r="B25" s="7" t="s">
        <v>2711</v>
      </c>
      <c r="C25" s="67"/>
      <c r="D25" s="67"/>
      <c r="E25" s="67"/>
      <c r="F25" s="67"/>
      <c r="G25" s="67"/>
    </row>
    <row r="26" spans="2:7" ht="5" customHeight="1" x14ac:dyDescent="0.35"/>
    <row r="27" spans="2:7" ht="55" customHeight="1" x14ac:dyDescent="0.35">
      <c r="B27" s="179" t="s">
        <v>2712</v>
      </c>
      <c r="C27" s="180"/>
      <c r="D27" s="180"/>
      <c r="E27" s="180"/>
      <c r="F27" s="180"/>
      <c r="G27" s="181"/>
    </row>
    <row r="28" spans="2:7" ht="5" customHeight="1" x14ac:dyDescent="0.35"/>
    <row r="29" spans="2:7" ht="15" customHeight="1" x14ac:dyDescent="0.35">
      <c r="B29" s="11" t="s">
        <v>2665</v>
      </c>
      <c r="C29" s="45">
        <f>SUM(E34:E43)</f>
        <v>0</v>
      </c>
    </row>
    <row r="30" spans="2:7" ht="15" customHeight="1" x14ac:dyDescent="0.35">
      <c r="B30" s="11"/>
      <c r="C30" s="103"/>
    </row>
    <row r="31" ht="40" customHeight="1" x14ac:dyDescent="0.35">
      <c r="B31" s="148" t="s">
        <v>2702</v>
      </c>
      <c r="C31" s="149" t="s">
        <v>2703</v>
      </c>
      <c r="D31" s="148" t="s">
        <v>2705</v>
      </c>
      <c r="E31" s="148" t="s">
        <v>2706</v>
      </c>
      <c r="F31" s="148" t="s">
        <v>2672</v>
      </c>
      <c r="G31" s="148" t="s">
        <v>2673</v>
      </c>
    </row>
    <row r="32" spans="2:7" ht="5" customHeight="1" x14ac:dyDescent="0.35"/>
    <row r="33" ht="30" customHeight="1" x14ac:dyDescent="0.35">
      <c r="B33" s="71" t="s">
        <v>808</v>
      </c>
      <c r="C33" s="71" t="s">
        <v>810</v>
      </c>
      <c r="D33" s="64" t="s">
        <v>1311</v>
      </c>
      <c r="E33" s="64" t="s">
        <v>823</v>
      </c>
      <c r="F33" s="72" t="s">
        <v>809</v>
      </c>
      <c r="G33" s="21" t="s">
        <v>2674</v>
      </c>
    </row>
    <row r="34" ht="20" customHeight="1" x14ac:dyDescent="0.35">
      <c r="B34" s="211" t="s">
        <v>811</v>
      </c>
      <c r="C34" s="225"/>
      <c r="D34" s="226"/>
      <c r="E34" s="216"/>
      <c r="F34" s="222" t="s">
        <v>845</v>
      </c>
      <c r="G34" s="218"/>
      <c r="J34"/>
    </row>
    <row r="35" ht="20" customHeight="1" x14ac:dyDescent="0.35">
      <c r="B35" s="211" t="s">
        <v>812</v>
      </c>
      <c r="C35" s="225"/>
      <c r="D35" s="226"/>
      <c r="E35" s="216"/>
      <c r="F35" s="222" t="s">
        <v>845</v>
      </c>
      <c r="G35" s="218"/>
    </row>
    <row r="36" ht="20" customHeight="1" x14ac:dyDescent="0.35">
      <c r="B36" s="211" t="s">
        <v>813</v>
      </c>
      <c r="C36" s="225"/>
      <c r="D36" s="226"/>
      <c r="E36" s="216"/>
      <c r="F36" s="222" t="s">
        <v>845</v>
      </c>
      <c r="G36" s="218"/>
    </row>
    <row r="37" ht="20" customHeight="1" x14ac:dyDescent="0.35">
      <c r="B37" s="211" t="s">
        <v>814</v>
      </c>
      <c r="C37" s="225"/>
      <c r="D37" s="226"/>
      <c r="E37" s="216"/>
      <c r="F37" s="222" t="s">
        <v>845</v>
      </c>
      <c r="G37" s="218"/>
    </row>
    <row r="38" ht="20" customHeight="1" x14ac:dyDescent="0.35">
      <c r="B38" s="211" t="s">
        <v>815</v>
      </c>
      <c r="C38" s="225"/>
      <c r="D38" s="226"/>
      <c r="E38" s="216"/>
      <c r="F38" s="222" t="s">
        <v>845</v>
      </c>
      <c r="G38" s="218"/>
    </row>
    <row r="39" ht="20" customHeight="1" x14ac:dyDescent="0.35">
      <c r="B39" s="211" t="s">
        <v>816</v>
      </c>
      <c r="C39" s="225"/>
      <c r="D39" s="226"/>
      <c r="E39" s="216"/>
      <c r="F39" s="222" t="s">
        <v>845</v>
      </c>
      <c r="G39" s="218"/>
    </row>
    <row r="40" ht="20" customHeight="1" x14ac:dyDescent="0.35">
      <c r="B40" s="211" t="s">
        <v>817</v>
      </c>
      <c r="C40" s="225"/>
      <c r="D40" s="226"/>
      <c r="E40" s="216"/>
      <c r="F40" s="222" t="s">
        <v>845</v>
      </c>
      <c r="G40" s="218"/>
    </row>
    <row r="41" ht="20" customHeight="1" x14ac:dyDescent="0.35">
      <c r="B41" s="211" t="s">
        <v>818</v>
      </c>
      <c r="C41" s="225"/>
      <c r="D41" s="226"/>
      <c r="E41" s="216"/>
      <c r="F41" s="222" t="s">
        <v>845</v>
      </c>
      <c r="G41" s="218"/>
    </row>
    <row r="42" ht="20" customHeight="1" x14ac:dyDescent="0.35">
      <c r="B42" s="211" t="s">
        <v>819</v>
      </c>
      <c r="C42" s="225"/>
      <c r="D42" s="226"/>
      <c r="E42" s="216"/>
      <c r="F42" s="222" t="s">
        <v>845</v>
      </c>
      <c r="G42" s="218"/>
    </row>
    <row r="43" ht="20" customHeight="1" x14ac:dyDescent="0.35">
      <c r="B43" s="211" t="s">
        <v>820</v>
      </c>
      <c r="C43" s="225"/>
      <c r="D43" s="226"/>
      <c r="E43" s="216"/>
      <c r="F43" s="222" t="s">
        <v>845</v>
      </c>
      <c r="G43" s="218"/>
    </row>
    <row r="44">
      <c r="B44"/>
    </row>
    <row r="45">
      <c r="B45" s="11" t="s">
        <v>2713</v>
      </c>
    </row>
  </sheetData>
  <sheetProtection algorithmName="SHA-512" hashValue="BOlF9/Z3Hwe+GJjWe/nOoK8CtM24FtDtVpv7E5FjxMk1uaPqz3VOrH+vw25IlWOe85Lu6H8Ezf7o8b6EzSc8zg==" saltValue="hxACr3YS0mvqKI0eJWW4vw==" spinCount="100000" sheet="1" objects="1" scenarios="1" formatColumns="0" formatRows="0"/>
  <mergeCells count="2">
    <mergeCell ref="B6:G6"/>
    <mergeCell ref="B27:G27"/>
  </mergeCells>
  <phoneticPr fontId="22" type="noConversion"/>
  <dataValidations count="2">
    <dataValidation type="list" allowBlank="1" showInputMessage="1" showErrorMessage="1" sqref="H13:H22">
      <formula1>"Yes,No"</formula1>
    </dataValidation>
    <dataValidation type="decimal" operator="greaterThanOrEqual" allowBlank="1" showErrorMessage="1" errorTitle="Invalid value" error="Please enter a number &gt;= 0." sqref="I13:I22">
      <formula1>0</formula1>
    </dataValidation>
  </dataValidation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8295D94C-51F3-40CD-AB6E-70A9ACD0C100}">
          <x14:formula1>
            <xm:f>'Scope 2 Emission Factors'!$P$7:$P$1152</xm:f>
          </x14:formula1>
          <xm:sqref>D13:D22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B101E-21B2-466C-B4CC-ADDA341D0AB9}">
  <sheetPr>
    <tabColor rgb="FFE7EEEE"/>
  </sheetPr>
  <dimension ref="B1:G38"/>
  <sheetViews>
    <sheetView showGridLines="0" topLeftCell="A11" zoomScale="80" zoomScaleNormal="80" workbookViewId="0">
      <selection activeCell="A29" sqref="A29"/>
    </sheetView>
  </sheetViews>
  <sheetFormatPr defaultRowHeight="14.5" x14ac:dyDescent="0.35"/>
  <cols>
    <col min="1" max="1" width="2.6328125" style="2" customWidth="1"/>
    <col min="2" max="3" width="33.90625" style="2" bestFit="1" customWidth="1"/>
    <col min="4" max="4" width="30.6328125" style="2" customWidth="1"/>
    <col min="5" max="5" width="30.6328125" style="88" customWidth="1"/>
    <col min="6" max="8" width="30.6328125" style="2" customWidth="1"/>
    <col min="9" max="16384" width="8.7265625" style="2"/>
  </cols>
  <sheetData>
    <row r="1" spans="2:7" s="1" customFormat="1" x14ac:dyDescent="0.35">
      <c r="B1" s="147" t="str">
        <f>const_Company_Name &amp; " Corporate Carbon Footprint Calculation"</f>
        <v>[Ihr Unternehmen] Corporate Carbon Footprint Calculation</v>
      </c>
      <c r="E1" s="76"/>
    </row>
    <row r="2" spans="2:7" s="1" customFormat="1" x14ac:dyDescent="0.35">
      <c r="B2" s="147" t="str">
        <f>"01/01/" &amp; const_Reporting_Year &amp; " - 31/12/" &amp; const_Reporting_Year</f>
        <v>01/01/2025 - 31/12/2025</v>
      </c>
      <c r="E2" s="76"/>
    </row>
    <row r="4" spans="2:7" x14ac:dyDescent="0.35">
      <c r="B4" s="7" t="s">
        <v>2714</v>
      </c>
      <c r="C4" s="7"/>
      <c r="D4" s="7"/>
      <c r="E4" s="102"/>
      <c r="F4" s="67"/>
      <c r="G4" s="67"/>
    </row>
    <row r="5" spans="2:7" ht="5" customHeight="1" x14ac:dyDescent="0.35">
      <c r="B5" s="4"/>
      <c r="C5" s="4"/>
      <c r="D5" s="4"/>
    </row>
    <row r="6" spans="2:7" ht="58" customHeight="1" x14ac:dyDescent="0.35">
      <c r="B6" s="179" t="s">
        <v>2715</v>
      </c>
      <c r="C6" s="180"/>
      <c r="D6" s="180"/>
      <c r="E6" s="180"/>
      <c r="F6" s="180"/>
      <c r="G6" s="181"/>
    </row>
    <row r="7" spans="2:7" ht="5" customHeight="1" x14ac:dyDescent="0.35">
      <c r="B7" s="4"/>
      <c r="C7" s="4"/>
      <c r="D7" s="4"/>
    </row>
    <row r="8" spans="2:7" ht="15" customHeight="1" x14ac:dyDescent="0.35">
      <c r="B8" s="11" t="s">
        <v>2716</v>
      </c>
      <c r="C8" s="45">
        <f>SUM(tbl_3.01._Input[Total Spend (EUR)])</f>
        <v>0</v>
      </c>
      <c r="D8" s="4"/>
    </row>
    <row r="9" spans="2:7" ht="15" customHeight="1" x14ac:dyDescent="0.35">
      <c r="B9" s="11"/>
      <c r="C9" s="103"/>
      <c r="D9" s="4"/>
    </row>
    <row r="10" spans="2:7" ht="40" customHeight="1" x14ac:dyDescent="0.35">
      <c r="B10" s="148" t="s">
        <v>2717</v>
      </c>
      <c r="C10" s="149" t="s">
        <v>2718</v>
      </c>
      <c r="D10" s="148" t="s">
        <v>2719</v>
      </c>
      <c r="E10" s="148" t="s">
        <v>2720</v>
      </c>
      <c r="F10" s="148" t="s">
        <v>2721</v>
      </c>
      <c r="G10" s="148" t="s">
        <v>2672</v>
      </c>
    </row>
    <row r="11" spans="2:7" ht="5" customHeight="1" x14ac:dyDescent="0.35">
      <c r="B11" s="4"/>
      <c r="C11" s="4"/>
      <c r="D11" s="4"/>
    </row>
    <row r="12" spans="2:7" ht="25" customHeight="1" x14ac:dyDescent="0.35">
      <c r="B12" s="20" t="s">
        <v>244</v>
      </c>
      <c r="C12" s="20" t="s">
        <v>871</v>
      </c>
      <c r="D12" s="20" t="s">
        <v>255</v>
      </c>
      <c r="E12" s="20" t="s">
        <v>872</v>
      </c>
      <c r="F12" s="21" t="s">
        <v>1314</v>
      </c>
      <c r="G12" s="21" t="s">
        <v>809</v>
      </c>
    </row>
    <row r="13" ht="20" customHeight="1" x14ac:dyDescent="0.35">
      <c r="B13" s="213" t="s">
        <v>858</v>
      </c>
      <c r="C13" s="216"/>
      <c r="D13" s="216"/>
      <c r="E13" s="219"/>
      <c r="F13"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13" s="222" t="s">
        <v>874</v>
      </c>
    </row>
    <row r="14" ht="20" customHeight="1" x14ac:dyDescent="0.35">
      <c r="B14" s="213" t="s">
        <v>859</v>
      </c>
      <c r="C14" s="216"/>
      <c r="D14" s="216"/>
      <c r="E14" s="219"/>
      <c r="F14"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14" s="222" t="s">
        <v>874</v>
      </c>
    </row>
    <row r="15" ht="20" customHeight="1" x14ac:dyDescent="0.35">
      <c r="B15" s="213" t="s">
        <v>860</v>
      </c>
      <c r="C15" s="216"/>
      <c r="D15" s="216"/>
      <c r="E15" s="219"/>
      <c r="F15"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15" s="222" t="s">
        <v>874</v>
      </c>
    </row>
    <row r="16" ht="20" customHeight="1" x14ac:dyDescent="0.35">
      <c r="B16" s="213" t="s">
        <v>861</v>
      </c>
      <c r="C16" s="216"/>
      <c r="D16" s="216"/>
      <c r="E16" s="219"/>
      <c r="F16"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16" s="222" t="s">
        <v>874</v>
      </c>
    </row>
    <row r="17" ht="20" customHeight="1" x14ac:dyDescent="0.35">
      <c r="B17" s="213" t="s">
        <v>862</v>
      </c>
      <c r="C17" s="216"/>
      <c r="D17" s="216"/>
      <c r="E17" s="219"/>
      <c r="F17"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17" s="222" t="s">
        <v>874</v>
      </c>
    </row>
    <row r="18" ht="20" customHeight="1" x14ac:dyDescent="0.35">
      <c r="B18" s="213" t="s">
        <v>863</v>
      </c>
      <c r="C18" s="216"/>
      <c r="D18" s="216"/>
      <c r="E18" s="219"/>
      <c r="F18"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18" s="222" t="s">
        <v>874</v>
      </c>
    </row>
    <row r="19" ht="20" customHeight="1" x14ac:dyDescent="0.35">
      <c r="B19" s="213" t="s">
        <v>864</v>
      </c>
      <c r="C19" s="216"/>
      <c r="D19" s="216"/>
      <c r="E19" s="219"/>
      <c r="F19"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19" s="222" t="s">
        <v>874</v>
      </c>
    </row>
    <row r="20" ht="20" customHeight="1" x14ac:dyDescent="0.35">
      <c r="B20" s="213" t="s">
        <v>865</v>
      </c>
      <c r="C20" s="216"/>
      <c r="D20" s="216"/>
      <c r="E20" s="219"/>
      <c r="F20"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20" s="222" t="s">
        <v>874</v>
      </c>
    </row>
    <row r="21" ht="20" customHeight="1" x14ac:dyDescent="0.35">
      <c r="B21" s="213" t="s">
        <v>866</v>
      </c>
      <c r="C21" s="216"/>
      <c r="D21" s="216"/>
      <c r="E21" s="219"/>
      <c r="F21"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21" s="222" t="s">
        <v>874</v>
      </c>
    </row>
    <row r="22" ht="20" customHeight="1" x14ac:dyDescent="0.35">
      <c r="B22" s="213" t="s">
        <v>867</v>
      </c>
      <c r="C22" s="216"/>
      <c r="D22" s="216"/>
      <c r="E22" s="219"/>
      <c r="F22"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22" s="222" t="s">
        <v>874</v>
      </c>
    </row>
    <row r="23" ht="20" customHeight="1" x14ac:dyDescent="0.35">
      <c r="B23" s="213" t="s">
        <v>868</v>
      </c>
      <c r="C23" s="216"/>
      <c r="D23" s="216"/>
      <c r="E23" s="219"/>
      <c r="F23"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23" s="222" t="s">
        <v>874</v>
      </c>
    </row>
    <row r="24" ht="20" customHeight="1" x14ac:dyDescent="0.35">
      <c r="B24" s="213" t="s">
        <v>869</v>
      </c>
      <c r="C24" s="216"/>
      <c r="D24" s="216"/>
      <c r="E24" s="219"/>
      <c r="F24"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24" s="222" t="s">
        <v>874</v>
      </c>
    </row>
    <row r="25" ht="20" customHeight="1" x14ac:dyDescent="0.35">
      <c r="B25" s="213" t="s">
        <v>870</v>
      </c>
      <c r="C25" s="216"/>
      <c r="D25" s="216"/>
      <c r="E25" s="219"/>
      <c r="F25" s="127">
        <f>IFERROR(IF(
  tbl_3.01._Input[[#This Row],[Currency]]="EUR",
  tbl_3.01._Input[[#This Row],[Total Spend]],
  IF(
    tbl_3.01._Input[[#This Row],[Currency]]="USD",
    tbl_3.01._Input[[#This Row],[Total Spend]] / INDEX(tbl_Currency_Exchanges[Exchange Rate to USD], MATCH("EUR", tbl_Currency_Exchanges[Currency], 0)),
    tbl_3.01._Input[[#This Row],[Total Spend]]
      * INDEX(tbl_Currency_Exchanges[Exchange Rate to USD], MATCH(tbl_3.01._Input[[#This Row],[Currency]], tbl_Currency_Exchanges[Currency], 0))
      / INDEX(tbl_Currency_Exchanges[Exchange Rate to USD], MATCH("EUR", tbl_Currency_Exchanges[Currency], 0))
  )
), "")</f>
      </c>
      <c r="G25" s="222" t="s">
        <v>874</v>
      </c>
    </row>
    <row r="26" spans="2:7" s="42" customFormat="1" ht="15" thickBot="1" x14ac:dyDescent="0.4">
      <c r="E26" s="104"/>
    </row>
    <row r="27" spans="2:7" ht="15" thickTop="1" x14ac:dyDescent="0.35"/>
    <row r="28" spans="2:7" x14ac:dyDescent="0.35">
      <c r="B28" s="7" t="s">
        <v>2722</v>
      </c>
      <c r="C28" s="7"/>
      <c r="D28" s="67"/>
      <c r="E28" s="102"/>
      <c r="F28" s="67"/>
      <c r="G28" s="67"/>
    </row>
    <row r="29" spans="2:7" ht="5" customHeight="1" x14ac:dyDescent="0.35">
      <c r="B29" s="4"/>
      <c r="C29" s="4"/>
    </row>
    <row r="30" spans="2:7" x14ac:dyDescent="0.35">
      <c r="B30" s="11" t="s">
        <v>2716</v>
      </c>
      <c r="C30" s="45">
        <f>SUM(tbl_Upstream_Leased_Assets_Input[Total Spend (EUR)])</f>
        <v>0</v>
      </c>
    </row>
    <row r="31" spans="2:7" x14ac:dyDescent="0.35">
      <c r="B31" s="11"/>
      <c r="C31" s="103"/>
    </row>
    <row r="32" spans="2:7" ht="40" customHeight="1" x14ac:dyDescent="0.35">
      <c r="B32" s="148" t="s">
        <v>2717</v>
      </c>
      <c r="C32" s="149" t="s">
        <v>2718</v>
      </c>
      <c r="D32" s="148" t="s">
        <v>2719</v>
      </c>
      <c r="E32" s="148" t="s">
        <v>2720</v>
      </c>
      <c r="F32" s="148" t="s">
        <v>2721</v>
      </c>
      <c r="G32" s="148" t="s">
        <v>2672</v>
      </c>
    </row>
    <row r="33" spans="2:7" ht="5" customHeight="1" x14ac:dyDescent="0.35">
      <c r="B33" s="4"/>
      <c r="C33" s="4"/>
    </row>
    <row r="34" spans="2:7" ht="25" customHeight="1" x14ac:dyDescent="0.35">
      <c r="B34" s="20" t="s">
        <v>244</v>
      </c>
      <c r="C34" s="20" t="s">
        <v>871</v>
      </c>
      <c r="D34" s="20" t="s">
        <v>255</v>
      </c>
      <c r="E34" s="20" t="s">
        <v>872</v>
      </c>
      <c r="F34" s="21" t="s">
        <v>1314</v>
      </c>
      <c r="G34" s="21" t="s">
        <v>809</v>
      </c>
    </row>
    <row r="35" ht="20" customHeight="1" x14ac:dyDescent="0.35">
      <c r="B35" s="213" t="s">
        <v>1243</v>
      </c>
      <c r="C35" s="216"/>
      <c r="D35" s="216"/>
      <c r="E35" s="219"/>
      <c r="F35" s="127">
        <f>IFERROR(IF(
  tbl_Upstream_Leased_Assets_Input[[#This Row],[Currency]]="EUR",
  tbl_Upstream_Leased_Assets_Input[[#This Row],[Total Spend]],
  IF(
    tbl_Upstream_Leased_Assets_Input[[#This Row],[Currency]]="USD",
    tbl_Upstream_Leased_Assets_Input[[#This Row],[Total Spend]] / INDEX(tbl_Currency_Exchanges[Exchange Rate to USD], MATCH("EUR", tbl_Currency_Exchanges[Currency], 0)),
    tbl_Upstream_Leased_Assets_Input[[#This Row],[Total Spend]]
      * INDEX(tbl_Currency_Exchanges[Exchange Rate to USD], MATCH(tbl_Upstream_Leased_Assets_Input[[#This Row],[Currency]], tbl_Currency_Exchanges[Currency], 0))
      / INDEX(tbl_Currency_Exchanges[Exchange Rate to USD], MATCH("EUR", tbl_Currency_Exchanges[Currency], 0))
  )
), "")</f>
      </c>
      <c r="G35" s="222" t="s">
        <v>1242</v>
      </c>
    </row>
    <row r="36" ht="20" customHeight="1" x14ac:dyDescent="0.35">
      <c r="B36" s="213" t="s">
        <v>1244</v>
      </c>
      <c r="C36" s="216"/>
      <c r="D36" s="216"/>
      <c r="E36" s="219"/>
      <c r="F36" s="127">
        <f>IFERROR(IF(
  tbl_Upstream_Leased_Assets_Input[[#This Row],[Currency]]="EUR",
  tbl_Upstream_Leased_Assets_Input[[#This Row],[Total Spend]],
  IF(
    tbl_Upstream_Leased_Assets_Input[[#This Row],[Currency]]="USD",
    tbl_Upstream_Leased_Assets_Input[[#This Row],[Total Spend]] / INDEX(tbl_Currency_Exchanges[Exchange Rate to USD], MATCH("EUR", tbl_Currency_Exchanges[Currency], 0)),
    tbl_Upstream_Leased_Assets_Input[[#This Row],[Total Spend]]
      * INDEX(tbl_Currency_Exchanges[Exchange Rate to USD], MATCH(tbl_Upstream_Leased_Assets_Input[[#This Row],[Currency]], tbl_Currency_Exchanges[Currency], 0))
      / INDEX(tbl_Currency_Exchanges[Exchange Rate to USD], MATCH("EUR", tbl_Currency_Exchanges[Currency], 0))
  )
), "")</f>
      </c>
      <c r="G36" s="222" t="s">
        <v>1242</v>
      </c>
    </row>
    <row r="37" ht="20" customHeight="1" x14ac:dyDescent="0.35">
      <c r="B37" s="213" t="s">
        <v>1246</v>
      </c>
      <c r="C37" s="216"/>
      <c r="D37" s="216"/>
      <c r="E37" s="219"/>
      <c r="F37" s="127">
        <f>IFERROR(IF(
  tbl_Upstream_Leased_Assets_Input[[#This Row],[Currency]]="EUR",
  tbl_Upstream_Leased_Assets_Input[[#This Row],[Total Spend]],
  IF(
    tbl_Upstream_Leased_Assets_Input[[#This Row],[Currency]]="USD",
    tbl_Upstream_Leased_Assets_Input[[#This Row],[Total Spend]] / INDEX(tbl_Currency_Exchanges[Exchange Rate to USD], MATCH("EUR", tbl_Currency_Exchanges[Currency], 0)),
    tbl_Upstream_Leased_Assets_Input[[#This Row],[Total Spend]]
      * INDEX(tbl_Currency_Exchanges[Exchange Rate to USD], MATCH(tbl_Upstream_Leased_Assets_Input[[#This Row],[Currency]], tbl_Currency_Exchanges[Currency], 0))
      / INDEX(tbl_Currency_Exchanges[Exchange Rate to USD], MATCH("EUR", tbl_Currency_Exchanges[Currency], 0))
  )
), "")</f>
      </c>
      <c r="G37" s="222" t="s">
        <v>1242</v>
      </c>
    </row>
    <row r="38" ht="20" customHeight="1" x14ac:dyDescent="0.35">
      <c r="B38" s="213" t="s">
        <v>1245</v>
      </c>
      <c r="C38" s="216"/>
      <c r="D38" s="216"/>
      <c r="E38" s="219"/>
      <c r="F38" s="127">
        <f>IFERROR(IF(
  tbl_Upstream_Leased_Assets_Input[[#This Row],[Currency]]="EUR",
  tbl_Upstream_Leased_Assets_Input[[#This Row],[Total Spend]],
  IF(
    tbl_Upstream_Leased_Assets_Input[[#This Row],[Currency]]="USD",
    tbl_Upstream_Leased_Assets_Input[[#This Row],[Total Spend]] / INDEX(tbl_Currency_Exchanges[Exchange Rate to USD], MATCH("EUR", tbl_Currency_Exchanges[Currency], 0)),
    tbl_Upstream_Leased_Assets_Input[[#This Row],[Total Spend]]
      * INDEX(tbl_Currency_Exchanges[Exchange Rate to USD], MATCH(tbl_Upstream_Leased_Assets_Input[[#This Row],[Currency]], tbl_Currency_Exchanges[Currency], 0))
      / INDEX(tbl_Currency_Exchanges[Exchange Rate to USD], MATCH("EUR", tbl_Currency_Exchanges[Currency], 0))
  )
), "")</f>
      </c>
      <c r="G38" s="222" t="s">
        <v>1242</v>
      </c>
    </row>
  </sheetData>
  <sheetProtection algorithmName="SHA-512" hashValue="uQ16tGM2qMEv7rNeTROtip+gO+65IUldgCWrgJWDFkAzEGB9W38V60WpoungOkvIQgDj2vD377fXpR8RH/lCRA==" saltValue="gnNktuODwCAzxFN3bbE+zw==" spinCount="100000" sheet="1" objects="1" scenarios="1" formatColumns="0" formatRows="0"/>
  <mergeCells count="1">
    <mergeCell ref="B6:G6"/>
  </mergeCells>
  <pageMargins left="0.7" right="0.7" top="0.75" bottom="0.75" header="0.3" footer="0.3"/>
  <tableParts count="2">
    <tablePart r:id="rId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xr:uid="{ACE408ED-E732-41A0-8FA3-5ADA2C875D4D}">
          <x14:formula1>
            <xm:f>'Scope 3 EF'!$E$6:$EX$6</xm:f>
          </x14:formula1>
          <xm:sqref>D13:D25</xm:sqref>
        </x14:dataValidation>
        <x14:dataValidation type="list" allowBlank="1" showInputMessage="1" showErrorMessage="1" xr:uid="{E5A35553-9F43-4DAF-94D6-2121F6C612D7}">
          <x14:formula1>
            <xm:f>Dropdowns!$D$2:$D$46</xm:f>
          </x14:formula1>
          <xm:sqref>E13:E25</xm:sqref>
        </x14:dataValidation>
        <x14:dataValidation type="list" allowBlank="1" showInputMessage="1" showErrorMessage="1" xr:uid="{ADB71908-CB76-4D74-B466-0AF2374F1D3E}">
          <x14:formula1>
            <xm:f>'Scope 3 EF'!$E$169:$EX$169</xm:f>
          </x14:formula1>
          <xm:sqref>D35:D38</xm:sqref>
        </x14:dataValidation>
        <x14:dataValidation type="list" allowBlank="1" showInputMessage="1" showErrorMessage="1" xr:uid="{D42EA6AC-C481-4A85-B918-4CCC706BD04B}">
          <x14:formula1>
            <xm:f>Constants!$B$5:$B$48</xm:f>
          </x14:formula1>
          <xm:sqref>E35:E38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CCC15-27D9-48FA-B088-FB74634CCCA5}">
  <sheetPr>
    <tabColor rgb="FFE7EEEE"/>
  </sheetPr>
  <dimension ref="B1:G14"/>
  <sheetViews>
    <sheetView showGridLines="0" zoomScale="80" zoomScaleNormal="80" workbookViewId="0"/>
  </sheetViews>
  <sheetFormatPr defaultRowHeight="14.5" x14ac:dyDescent="0.35"/>
  <cols>
    <col min="1" max="1" width="2.6328125" style="2" customWidth="1"/>
    <col min="2" max="7" width="30.6328125" style="2" customWidth="1"/>
    <col min="8" max="16384" width="8.7265625" style="2"/>
  </cols>
  <sheetData>
    <row r="1" spans="2:7" s="1" customFormat="1" x14ac:dyDescent="0.35">
      <c r="B1" s="147" t="str">
        <f>const_Company_Name &amp; " Corporate Carbon Footprint Calculation"</f>
        <v>[Ihr Unternehmen] Corporate Carbon Footprint Calculation</v>
      </c>
    </row>
    <row r="2" spans="2:7" s="1" customFormat="1" x14ac:dyDescent="0.35">
      <c r="B2" s="147" t="str">
        <f>"01/01/" &amp; const_Reporting_Year &amp; " - 31/12/" &amp; const_Reporting_Year</f>
        <v>01/01/2025 - 31/12/2025</v>
      </c>
    </row>
    <row r="4" spans="2:7" x14ac:dyDescent="0.35">
      <c r="B4" s="7" t="s">
        <v>2723</v>
      </c>
      <c r="C4" s="67"/>
      <c r="D4" s="67"/>
      <c r="E4" s="67"/>
      <c r="F4" s="67"/>
      <c r="G4" s="67"/>
    </row>
    <row r="5" spans="2:7" ht="5" customHeight="1" x14ac:dyDescent="0.35">
      <c r="B5" s="4"/>
    </row>
    <row r="6" spans="2:7" x14ac:dyDescent="0.35">
      <c r="B6" s="11" t="s">
        <v>2716</v>
      </c>
      <c r="C6" s="45">
        <f>SUM(tbl_Upstream_Transport_Input[Spend (EUR)])</f>
        <v>0</v>
      </c>
    </row>
    <row r="7" spans="2:7" x14ac:dyDescent="0.35">
      <c r="B7" s="4"/>
    </row>
    <row r="8" spans="2:7" ht="40" customHeight="1" x14ac:dyDescent="0.35">
      <c r="B8" s="148" t="s">
        <v>2717</v>
      </c>
      <c r="C8" s="149" t="s">
        <v>2718</v>
      </c>
      <c r="D8" s="148" t="s">
        <v>2720</v>
      </c>
      <c r="E8" s="148" t="s">
        <v>2719</v>
      </c>
      <c r="F8" s="148" t="s">
        <v>2721</v>
      </c>
      <c r="G8" s="148" t="s">
        <v>2672</v>
      </c>
    </row>
    <row r="9" spans="2:7" ht="5" customHeight="1" x14ac:dyDescent="0.35"/>
    <row r="10" spans="2:7" ht="25" customHeight="1" x14ac:dyDescent="0.35">
      <c r="B10" s="19" t="s">
        <v>244</v>
      </c>
      <c r="C10" s="20" t="s">
        <v>1008</v>
      </c>
      <c r="D10" s="20" t="s">
        <v>872</v>
      </c>
      <c r="E10" s="20" t="s">
        <v>255</v>
      </c>
      <c r="F10" s="21" t="s">
        <v>1104</v>
      </c>
      <c r="G10" s="21" t="s">
        <v>31</v>
      </c>
    </row>
    <row r="11" ht="20" customHeight="1" x14ac:dyDescent="0.35">
      <c r="B11" s="211" t="s">
        <v>1248</v>
      </c>
      <c r="C11" s="216"/>
      <c r="D11" s="225"/>
      <c r="E11" s="225"/>
      <c r="F11" s="105">
        <f>IFERROR(IF(
  tbl_Upstream_Transport_Input[[#This Row],[Currency]]="EUR",
  tbl_Upstream_Transport_Input[[#This Row],[Spend]],
  IF(
    tbl_Upstream_Transport_Input[[#This Row],[Currency]]="USD",
    tbl_Upstream_Transport_Input[[#This Row],[Spend]] / INDEX(tbl_Currency_Exchanges[Exchange Rate to USD], MATCH("EUR", tbl_Currency_Exchanges[Currency], 0)),
    tbl_Upstream_Transport_Input[[#This Row],[Spend]]
      * INDEX(tbl_Currency_Exchanges[Exchange Rate to USD], MATCH(tbl_Upstream_Transport_Input[[#This Row],[Currency]], tbl_Currency_Exchanges[Currency], 0))
      / INDEX(tbl_Currency_Exchanges[Exchange Rate to USD], MATCH("EUR", tbl_Currency_Exchanges[Currency], 0))
  )
), "")</f>
      </c>
      <c r="G11" s="222" t="s">
        <v>1252</v>
      </c>
    </row>
    <row r="12" ht="20" customHeight="1" x14ac:dyDescent="0.35">
      <c r="B12" s="211" t="s">
        <v>1249</v>
      </c>
      <c r="C12" s="216"/>
      <c r="D12" s="225"/>
      <c r="E12" s="225"/>
      <c r="F12" s="105">
        <f>IFERROR(IF(
  tbl_Upstream_Transport_Input[[#This Row],[Currency]]="EUR",
  tbl_Upstream_Transport_Input[[#This Row],[Spend]],
  IF(
    tbl_Upstream_Transport_Input[[#This Row],[Currency]]="USD",
    tbl_Upstream_Transport_Input[[#This Row],[Spend]] / INDEX(tbl_Currency_Exchanges[Exchange Rate to USD], MATCH("EUR", tbl_Currency_Exchanges[Currency], 0)),
    tbl_Upstream_Transport_Input[[#This Row],[Spend]]
      * INDEX(tbl_Currency_Exchanges[Exchange Rate to USD], MATCH(tbl_Upstream_Transport_Input[[#This Row],[Currency]], tbl_Currency_Exchanges[Currency], 0))
      / INDEX(tbl_Currency_Exchanges[Exchange Rate to USD], MATCH("EUR", tbl_Currency_Exchanges[Currency], 0))
  )
), "")</f>
      </c>
      <c r="G12" s="222" t="s">
        <v>1252</v>
      </c>
    </row>
    <row r="13" ht="20" customHeight="1" x14ac:dyDescent="0.35">
      <c r="B13" s="211" t="s">
        <v>1014</v>
      </c>
      <c r="C13" s="216"/>
      <c r="D13" s="225"/>
      <c r="E13" s="225"/>
      <c r="F13" s="105">
        <f>IFERROR(IF(
  tbl_Upstream_Transport_Input[[#This Row],[Currency]]="EUR",
  tbl_Upstream_Transport_Input[[#This Row],[Spend]],
  IF(
    tbl_Upstream_Transport_Input[[#This Row],[Currency]]="USD",
    tbl_Upstream_Transport_Input[[#This Row],[Spend]] / INDEX(tbl_Currency_Exchanges[Exchange Rate to USD], MATCH("EUR", tbl_Currency_Exchanges[Currency], 0)),
    tbl_Upstream_Transport_Input[[#This Row],[Spend]]
      * INDEX(tbl_Currency_Exchanges[Exchange Rate to USD], MATCH(tbl_Upstream_Transport_Input[[#This Row],[Currency]], tbl_Currency_Exchanges[Currency], 0))
      / INDEX(tbl_Currency_Exchanges[Exchange Rate to USD], MATCH("EUR", tbl_Currency_Exchanges[Currency], 0))
  )
), "")</f>
      </c>
      <c r="G13" s="222" t="s">
        <v>1252</v>
      </c>
    </row>
    <row r="14" ht="20" customHeight="1" x14ac:dyDescent="0.35">
      <c r="B14" s="212" t="s">
        <v>1250</v>
      </c>
      <c r="C14" s="217"/>
      <c r="D14" s="227"/>
      <c r="E14" s="227"/>
      <c r="F14" s="108">
        <f>IFERROR(IF(
  tbl_Upstream_Transport_Input[[#This Row],[Currency]]="EUR",
  tbl_Upstream_Transport_Input[[#This Row],[Spend]],
  IF(
    tbl_Upstream_Transport_Input[[#This Row],[Currency]]="USD",
    tbl_Upstream_Transport_Input[[#This Row],[Spend]] / INDEX(tbl_Currency_Exchanges[Exchange Rate to USD], MATCH("EUR", tbl_Currency_Exchanges[Currency], 0)),
    tbl_Upstream_Transport_Input[[#This Row],[Spend]]
      * INDEX(tbl_Currency_Exchanges[Exchange Rate to USD], MATCH(tbl_Upstream_Transport_Input[[#This Row],[Currency]], tbl_Currency_Exchanges[Currency], 0))
      / INDEX(tbl_Currency_Exchanges[Exchange Rate to USD], MATCH("EUR", tbl_Currency_Exchanges[Currency], 0))
  )
), "")</f>
      </c>
      <c r="G14" s="223" t="s">
        <v>1252</v>
      </c>
    </row>
  </sheetData>
  <sheetProtection algorithmName="SHA-512" hashValue="qF9vBOJHbt/aphyeX6b0VtVoURoqDRqhQKurKIylZzcOg4fN1YIWHOqTs/Mbe+HhEuaODtuQ5NxqzQpFD//Tbw==" saltValue="OlNLdVSkA7a8yuXwbz+P5Q==" spinCount="100000" sheet="1" objects="1" scenarios="1" formatColumns="0" formatRows="0"/>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6684AD0F-B1C0-44CE-9A98-1F4324845E13}">
          <x14:formula1>
            <xm:f>Constants!$B$5:$B$48</xm:f>
          </x14:formula1>
          <xm:sqref>D11:D14</xm:sqref>
        </x14:dataValidation>
        <x14:dataValidation type="list" allowBlank="1" showInputMessage="1" showErrorMessage="1" xr:uid="{CBBCBB64-E45B-4118-84E7-EE146B46B102}">
          <x14:formula1>
            <xm:f>'Scope 3 EF'!$E$182:$EX$182</xm:f>
          </x14:formula1>
          <xm:sqref>E11:E14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C2A23-1928-4020-99C4-08BECD246671}">
  <sheetPr>
    <tabColor rgb="FFE7EEEE"/>
  </sheetPr>
  <dimension ref="B1:F34"/>
  <sheetViews>
    <sheetView showGridLines="0" zoomScale="80" zoomScaleNormal="80" workbookViewId="0"/>
  </sheetViews>
  <sheetFormatPr defaultRowHeight="14.5" x14ac:dyDescent="0.35"/>
  <cols>
    <col min="1" max="1" width="2.6328125" style="2" customWidth="1"/>
    <col min="2" max="2" width="32" style="2" bestFit="1" customWidth="1"/>
    <col min="3" max="3" width="30.6328125" style="2" customWidth="1"/>
    <col min="4" max="4" width="30.6328125" style="88" customWidth="1"/>
    <col min="5" max="6" width="30.6328125" style="2" customWidth="1"/>
    <col min="7" max="16384" width="8.7265625" style="2"/>
  </cols>
  <sheetData>
    <row r="1" spans="2:6" s="1" customFormat="1" x14ac:dyDescent="0.35">
      <c r="B1" s="147" t="str">
        <f>const_Company_Name &amp; " Corporate Carbon Footprint Calculation"</f>
        <v>[Ihr Unternehmen] Corporate Carbon Footprint Calculation</v>
      </c>
      <c r="D1" s="76"/>
    </row>
    <row r="2" spans="2:6" s="1" customFormat="1" x14ac:dyDescent="0.35">
      <c r="B2" s="147" t="str">
        <f>"01/01/" &amp; const_Reporting_Year &amp; " - 31/12/" &amp; const_Reporting_Year</f>
        <v>01/01/2025 - 31/12/2025</v>
      </c>
      <c r="D2" s="76"/>
    </row>
    <row r="4" spans="2:6" x14ac:dyDescent="0.35">
      <c r="B4" s="7" t="s">
        <v>2724</v>
      </c>
      <c r="C4" s="67"/>
      <c r="D4" s="102"/>
      <c r="E4" s="67"/>
    </row>
    <row r="5" spans="2:6" ht="5" customHeight="1" x14ac:dyDescent="0.35"/>
    <row r="6" spans="2:6" x14ac:dyDescent="0.35">
      <c r="B6" s="11" t="s">
        <v>2667</v>
      </c>
      <c r="C6" s="45">
        <f>SUMIFS(C12:C23, D12:D23, "tonnes")</f>
        <v>0</v>
      </c>
    </row>
    <row r="7" spans="2:6" x14ac:dyDescent="0.35">
      <c r="B7" s="11" t="s">
        <v>2725</v>
      </c>
      <c r="C7" s="45">
        <f>SUMIFS(C12:C23, D12:D23, "m3")</f>
        <v>0</v>
      </c>
    </row>
    <row r="8" spans="2:6" x14ac:dyDescent="0.35">
      <c r="B8" s="11"/>
      <c r="C8" s="103"/>
    </row>
    <row r="9" spans="2:6" ht="40" customHeight="1" x14ac:dyDescent="0.35">
      <c r="B9" s="148" t="s">
        <v>2726</v>
      </c>
      <c r="C9" s="149" t="s">
        <v>2727</v>
      </c>
      <c r="D9" s="148" t="s">
        <v>2728</v>
      </c>
      <c r="E9" s="148" t="s">
        <v>2729</v>
      </c>
      <c r="F9" s="148" t="s">
        <v>2672</v>
      </c>
    </row>
    <row r="10" spans="2:6" ht="5" customHeight="1" x14ac:dyDescent="0.35"/>
    <row r="11" spans="2:6" ht="25" customHeight="1" x14ac:dyDescent="0.35">
      <c r="B11" s="19" t="s">
        <v>1109</v>
      </c>
      <c r="C11" s="20" t="s">
        <v>23</v>
      </c>
      <c r="D11" s="20" t="s">
        <v>40</v>
      </c>
      <c r="E11" s="21" t="s">
        <v>1145</v>
      </c>
      <c r="F11" s="21" t="s">
        <v>31</v>
      </c>
    </row>
    <row r="12" ht="20" customHeight="1" x14ac:dyDescent="0.35">
      <c r="B12" s="211" t="s">
        <v>1110</v>
      </c>
      <c r="C12" s="216"/>
      <c r="D12" s="219" t="s">
        <v>1124</v>
      </c>
      <c r="E12" s="127">
        <f>IF(tbl_Waste_Input[[#This Row],[Unit]] = "tonnes",
tbl_Waste_Input[[#This Row],[Consumption]],
tbl_Waste_Input[[#This Row],[Consumption]]
*
INDEX(tbl_Waste_EF[Conversion Factor],
   MATCH(tbl_Waste_Input[[#This Row],[Waste Type]], tbl_Waste_EF[Activity], 0)))</f>
        <v>0</v>
      </c>
      <c r="F12" s="222" t="s">
        <v>1108</v>
      </c>
    </row>
    <row r="13" ht="20" customHeight="1" x14ac:dyDescent="0.35">
      <c r="B13" s="211" t="s">
        <v>1111</v>
      </c>
      <c r="C13" s="216"/>
      <c r="D13" s="219" t="s">
        <v>45</v>
      </c>
      <c r="E13" s="127">
        <f>IF(tbl_Waste_Input[[#This Row],[Unit]] = "tonnes",
tbl_Waste_Input[[#This Row],[Consumption]],
tbl_Waste_Input[[#This Row],[Consumption]]
*
INDEX(tbl_Waste_EF[Conversion Factor],
   MATCH(tbl_Waste_Input[[#This Row],[Waste Type]], tbl_Waste_EF[Activity], 0)))</f>
        <v>0</v>
      </c>
      <c r="F13" s="222" t="s">
        <v>1108</v>
      </c>
    </row>
    <row r="14" ht="20" customHeight="1" x14ac:dyDescent="0.35">
      <c r="B14" s="211" t="s">
        <v>1112</v>
      </c>
      <c r="C14" s="216"/>
      <c r="D14" s="219" t="s">
        <v>1124</v>
      </c>
      <c r="E14" s="127">
        <f>IF(tbl_Waste_Input[[#This Row],[Unit]] = "tonnes",
tbl_Waste_Input[[#This Row],[Consumption]],
tbl_Waste_Input[[#This Row],[Consumption]]
*
INDEX(tbl_Waste_EF[Conversion Factor],
   MATCH(tbl_Waste_Input[[#This Row],[Waste Type]], tbl_Waste_EF[Activity], 0)))</f>
        <v>0</v>
      </c>
      <c r="F14" s="222" t="s">
        <v>1108</v>
      </c>
    </row>
    <row r="15" ht="20" customHeight="1" x14ac:dyDescent="0.35">
      <c r="B15" s="211" t="s">
        <v>1113</v>
      </c>
      <c r="C15" s="216"/>
      <c r="D15" s="219" t="s">
        <v>45</v>
      </c>
      <c r="E15" s="127">
        <f>IF(tbl_Waste_Input[[#This Row],[Unit]] = "tonnes",
tbl_Waste_Input[[#This Row],[Consumption]],
tbl_Waste_Input[[#This Row],[Consumption]]
*
INDEX(tbl_Waste_EF[Conversion Factor],
   MATCH(tbl_Waste_Input[[#This Row],[Waste Type]], tbl_Waste_EF[Activity], 0)))</f>
        <v>0</v>
      </c>
      <c r="F15" s="222" t="s">
        <v>1108</v>
      </c>
    </row>
    <row r="16" ht="20" customHeight="1" x14ac:dyDescent="0.35">
      <c r="B16" s="211" t="s">
        <v>1114</v>
      </c>
      <c r="C16" s="216"/>
      <c r="D16" s="219" t="s">
        <v>1124</v>
      </c>
      <c r="E16" s="127">
        <f>IF(tbl_Waste_Input[[#This Row],[Unit]] = "tonnes",
tbl_Waste_Input[[#This Row],[Consumption]],
tbl_Waste_Input[[#This Row],[Consumption]]
*
INDEX(tbl_Waste_EF[Conversion Factor],
   MATCH(tbl_Waste_Input[[#This Row],[Waste Type]], tbl_Waste_EF[Activity], 0)))</f>
        <v>0</v>
      </c>
      <c r="F16" s="222" t="s">
        <v>1108</v>
      </c>
    </row>
    <row r="17" ht="20" customHeight="1" x14ac:dyDescent="0.35">
      <c r="B17" s="211" t="s">
        <v>1147</v>
      </c>
      <c r="C17" s="216"/>
      <c r="D17" s="219" t="s">
        <v>45</v>
      </c>
      <c r="E17" s="127">
        <f>IF(tbl_Waste_Input[[#This Row],[Unit]] = "tonnes",
tbl_Waste_Input[[#This Row],[Consumption]],
tbl_Waste_Input[[#This Row],[Consumption]]
*
INDEX(tbl_Waste_EF[Conversion Factor],
   MATCH(tbl_Waste_Input[[#This Row],[Waste Type]], tbl_Waste_EF[Activity], 0)))</f>
        <v>0</v>
      </c>
      <c r="F17" s="222" t="s">
        <v>1108</v>
      </c>
    </row>
    <row r="18" ht="20" customHeight="1" x14ac:dyDescent="0.35">
      <c r="B18" s="211" t="s">
        <v>1115</v>
      </c>
      <c r="C18" s="216"/>
      <c r="D18" s="219" t="s">
        <v>1124</v>
      </c>
      <c r="E18" s="127">
        <f>IF(tbl_Waste_Input[[#This Row],[Unit]] = "tonnes",
tbl_Waste_Input[[#This Row],[Consumption]],
tbl_Waste_Input[[#This Row],[Consumption]]
*
INDEX(tbl_Waste_EF[Conversion Factor],
   MATCH(tbl_Waste_Input[[#This Row],[Waste Type]], tbl_Waste_EF[Activity], 0)))</f>
        <v>0</v>
      </c>
      <c r="F18" s="222" t="s">
        <v>1108</v>
      </c>
    </row>
    <row r="19" ht="20" customHeight="1" x14ac:dyDescent="0.35">
      <c r="B19" s="211" t="s">
        <v>1116</v>
      </c>
      <c r="C19" s="216"/>
      <c r="D19" s="219" t="s">
        <v>45</v>
      </c>
      <c r="E19" s="127">
        <f>IF(tbl_Waste_Input[[#This Row],[Unit]] = "tonnes",
tbl_Waste_Input[[#This Row],[Consumption]],
tbl_Waste_Input[[#This Row],[Consumption]]
*
INDEX(tbl_Waste_EF[Conversion Factor],
   MATCH(tbl_Waste_Input[[#This Row],[Waste Type]], tbl_Waste_EF[Activity], 0)))</f>
        <v>0</v>
      </c>
      <c r="F19" s="222" t="s">
        <v>1108</v>
      </c>
    </row>
    <row r="20" ht="20" customHeight="1" x14ac:dyDescent="0.35">
      <c r="B20" s="211" t="s">
        <v>1117</v>
      </c>
      <c r="C20" s="216"/>
      <c r="D20" s="219" t="s">
        <v>1124</v>
      </c>
      <c r="E20" s="127">
        <f>IF(tbl_Waste_Input[[#This Row],[Unit]] = "tonnes",
tbl_Waste_Input[[#This Row],[Consumption]],
tbl_Waste_Input[[#This Row],[Consumption]]
*
INDEX(tbl_Waste_EF[Conversion Factor],
   MATCH(tbl_Waste_Input[[#This Row],[Waste Type]], tbl_Waste_EF[Activity], 0)))</f>
        <v>0</v>
      </c>
      <c r="F20" s="222" t="s">
        <v>1108</v>
      </c>
    </row>
    <row r="21" ht="20" customHeight="1" x14ac:dyDescent="0.35">
      <c r="B21" s="211" t="s">
        <v>1118</v>
      </c>
      <c r="C21" s="216"/>
      <c r="D21" s="219" t="s">
        <v>45</v>
      </c>
      <c r="E21" s="127">
        <f>IF(tbl_Waste_Input[[#This Row],[Unit]] = "tonnes",
tbl_Waste_Input[[#This Row],[Consumption]],
tbl_Waste_Input[[#This Row],[Consumption]]
*
INDEX(tbl_Waste_EF[Conversion Factor],
   MATCH(tbl_Waste_Input[[#This Row],[Waste Type]], tbl_Waste_EF[Activity], 0)))</f>
        <v>0</v>
      </c>
      <c r="F21" s="222" t="s">
        <v>1108</v>
      </c>
    </row>
    <row r="22" ht="20" customHeight="1" x14ac:dyDescent="0.35">
      <c r="B22" s="211" t="s">
        <v>1119</v>
      </c>
      <c r="C22" s="216"/>
      <c r="D22" s="219" t="s">
        <v>1124</v>
      </c>
      <c r="E22" s="127">
        <f>IF(tbl_Waste_Input[[#This Row],[Unit]] = "tonnes",
tbl_Waste_Input[[#This Row],[Consumption]],
tbl_Waste_Input[[#This Row],[Consumption]]
*
INDEX(tbl_Waste_EF[Conversion Factor],
   MATCH(tbl_Waste_Input[[#This Row],[Waste Type]], tbl_Waste_EF[Activity], 0)))</f>
        <v>0</v>
      </c>
      <c r="F22" s="222" t="s">
        <v>1108</v>
      </c>
    </row>
    <row r="23" ht="20" customHeight="1" x14ac:dyDescent="0.35">
      <c r="B23" s="212" t="s">
        <v>1120</v>
      </c>
      <c r="C23" s="217"/>
      <c r="D23" s="220" t="s">
        <v>45</v>
      </c>
      <c r="E23" s="137">
        <f>IF(tbl_Waste_Input[[#This Row],[Unit]] = "tonnes",
tbl_Waste_Input[[#This Row],[Consumption]],
tbl_Waste_Input[[#This Row],[Consumption]]
*
INDEX(tbl_Waste_EF[Conversion Factor],
   MATCH(tbl_Waste_Input[[#This Row],[Waste Type]], tbl_Waste_EF[Activity], 0)))</f>
        <v>0</v>
      </c>
      <c r="F23" s="223" t="s">
        <v>1108</v>
      </c>
    </row>
    <row r="24" spans="2:6" s="42" customFormat="1" ht="15" thickBot="1" x14ac:dyDescent="0.4">
      <c r="D24" s="104"/>
    </row>
    <row r="25" spans="2:6" ht="15" thickTop="1" x14ac:dyDescent="0.35"/>
    <row r="26" x14ac:dyDescent="0.35">
      <c r="B26" s="7" t="s">
        <v>2730</v>
      </c>
      <c r="C26" s="67"/>
      <c r="D26" s="102"/>
      <c r="E26" s="67"/>
    </row>
    <row r="27" spans="2:6" ht="5" customHeight="1" x14ac:dyDescent="0.35"/>
    <row r="28" spans="2:6" x14ac:dyDescent="0.35">
      <c r="B28" s="11" t="s">
        <v>2666</v>
      </c>
      <c r="C28" s="45">
        <f>SUMIFS(C34, D34, "l")</f>
        <v>0</v>
      </c>
    </row>
    <row r="29" spans="2:6" x14ac:dyDescent="0.35">
      <c r="B29" s="11" t="s">
        <v>2725</v>
      </c>
      <c r="C29" s="45">
        <f>SUMIFS(C34,D34,"m3")</f>
        <v>0</v>
      </c>
    </row>
    <row r="31" spans="2:6" ht="39" x14ac:dyDescent="0.35">
      <c r="B31" s="148" t="s">
        <v>2731</v>
      </c>
      <c r="C31" s="149" t="s">
        <v>2732</v>
      </c>
      <c r="D31" s="148" t="s">
        <v>2733</v>
      </c>
      <c r="E31" s="148" t="s">
        <v>2672</v>
      </c>
    </row>
    <row r="32" spans="2:6" ht="5" customHeight="1" x14ac:dyDescent="0.35"/>
    <row r="33" spans="2:5" ht="25" customHeight="1" x14ac:dyDescent="0.35">
      <c r="B33" s="19" t="s">
        <v>1152</v>
      </c>
      <c r="C33" s="20" t="s">
        <v>23</v>
      </c>
      <c r="D33" s="20" t="s">
        <v>40</v>
      </c>
      <c r="E33" s="21" t="s">
        <v>31</v>
      </c>
    </row>
    <row r="34" ht="25" customHeight="1" x14ac:dyDescent="0.35">
      <c r="B34" s="212" t="s">
        <v>1149</v>
      </c>
      <c r="C34" s="217"/>
      <c r="D34" s="220" t="s">
        <v>1124</v>
      </c>
      <c r="E34" s="223" t="s">
        <v>1121</v>
      </c>
    </row>
  </sheetData>
  <sheetProtection algorithmName="SHA-512" hashValue="SOOnaKysXWVuBKWFfGsibHgzO0P8Q2jpypBo3SxE23T5B25A3hUIzO5YsQQZqoDMkaaruPLYiFNwogjFkE15YA==" saltValue="ughGc19QImibpDm6jdQyYg==" spinCount="100000" sheet="1" objects="1" scenarios="1" formatColumns="0" formatRows="0"/>
  <dataValidations count="2">
    <dataValidation type="list" allowBlank="1" showInputMessage="1" showErrorMessage="1" sqref="D34" xr:uid="{59AFDB11-7694-448D-B7BC-44738068A810}">
      <formula1>"l, m3"</formula1>
    </dataValidation>
    <dataValidation type="list" allowBlank="1" showInputMessage="1" showErrorMessage="1" sqref="D12:D23" xr:uid="{6261C466-B51F-4532-83B3-3221584B7C6D}">
      <formula1>"m3, tonnes"</formula1>
    </dataValidation>
  </dataValidations>
  <pageMargins left="0.7" right="0.7" top="0.75" bottom="0.75" header="0.3" footer="0.3"/>
  <tableParts count="2">
    <tablePart r:id="rId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7B521-CFBD-42FE-A0D0-918AC5449ABC}">
  <sheetPr>
    <tabColor rgb="FFE7EEEE"/>
  </sheetPr>
  <dimension ref="A1:I204"/>
  <sheetViews>
    <sheetView showGridLines="0" zoomScale="80" zoomScaleNormal="80" workbookViewId="0"/>
  </sheetViews>
  <sheetFormatPr defaultRowHeight="14.5" x14ac:dyDescent="0.35"/>
  <cols>
    <col min="1" max="1" width="2.6328125" style="4" customWidth="1"/>
    <col min="2" max="13" width="30.6328125" style="4" customWidth="1"/>
    <col min="14" max="16384" width="8.7265625" style="4"/>
  </cols>
  <sheetData>
    <row r="1" spans="1:7" s="3" customFormat="1" x14ac:dyDescent="0.35">
      <c r="A1" s="3" t="s">
        <v>878</v>
      </c>
      <c r="B1" s="147" t="str">
        <f>const_Company_Name &amp; " Corporate Carbon Footprint Calculation"</f>
        <v>[Ihr Unternehmen] Corporate Carbon Footprint Calculation</v>
      </c>
    </row>
    <row r="2" spans="1:7" s="3" customFormat="1" x14ac:dyDescent="0.35">
      <c r="B2" s="147" t="str">
        <f>"01/01/" &amp; const_Reporting_Year &amp; " - 31/12/" &amp; const_Reporting_Year</f>
        <v>01/01/2025 - 31/12/2025</v>
      </c>
    </row>
    <row r="4" spans="1:7" x14ac:dyDescent="0.35">
      <c r="B4" s="7" t="s">
        <v>2734</v>
      </c>
      <c r="C4" s="7"/>
      <c r="D4" s="7"/>
      <c r="E4" s="7"/>
      <c r="F4" s="7"/>
    </row>
    <row r="5" spans="1:7" ht="5" customHeight="1" x14ac:dyDescent="0.35"/>
    <row r="6" spans="1:7" ht="60" customHeight="1" x14ac:dyDescent="0.35">
      <c r="B6" s="179" t="s">
        <v>2735</v>
      </c>
      <c r="C6" s="180"/>
      <c r="D6" s="180"/>
      <c r="E6" s="180"/>
      <c r="F6" s="181"/>
      <c r="G6"/>
    </row>
    <row r="7" spans="1:7" ht="5" customHeight="1" x14ac:dyDescent="0.35"/>
    <row r="8" spans="1:7" x14ac:dyDescent="0.35">
      <c r="B8" s="4" t="s">
        <v>2736</v>
      </c>
      <c r="C8" s="45">
        <f>SUM(C14:C18)</f>
        <v>0</v>
      </c>
    </row>
    <row r="9" spans="1:7" x14ac:dyDescent="0.35">
      <c r="B9" s="4" t="s">
        <v>2737</v>
      </c>
      <c r="C9" s="45">
        <f>SUM(C23:C32)</f>
        <v>0</v>
      </c>
    </row>
    <row r="10" spans="1:7" x14ac:dyDescent="0.35">
      <c r="C10" s="103"/>
    </row>
    <row r="11" spans="1:7" ht="40" customHeight="1" x14ac:dyDescent="0.35">
      <c r="B11" s="148" t="s">
        <v>2738</v>
      </c>
      <c r="C11" s="149" t="s">
        <v>2739</v>
      </c>
      <c r="D11" s="148" t="s">
        <v>2740</v>
      </c>
      <c r="E11" s="148" t="s">
        <v>2672</v>
      </c>
    </row>
    <row r="12" spans="1:7" ht="5" customHeight="1" x14ac:dyDescent="0.35"/>
    <row r="13" spans="1:7" ht="25" customHeight="1" x14ac:dyDescent="0.35">
      <c r="B13" s="71" t="s">
        <v>1158</v>
      </c>
      <c r="C13" s="64" t="s">
        <v>1178</v>
      </c>
      <c r="D13" s="64" t="s">
        <v>40</v>
      </c>
      <c r="E13" s="72" t="s">
        <v>31</v>
      </c>
    </row>
    <row r="14" ht="20" customHeight="1" x14ac:dyDescent="0.35">
      <c r="B14" s="211" t="s">
        <v>1179</v>
      </c>
      <c r="C14" s="216"/>
      <c r="D14" s="225" t="s">
        <v>72</v>
      </c>
      <c r="E14" s="222" t="s">
        <v>1159</v>
      </c>
      <c r="F14" s="2"/>
    </row>
    <row r="15" ht="20" customHeight="1" x14ac:dyDescent="0.35">
      <c r="B15" s="211" t="s">
        <v>1173</v>
      </c>
      <c r="C15" s="216"/>
      <c r="D15" s="225" t="s">
        <v>72</v>
      </c>
      <c r="E15" s="222" t="s">
        <v>1159</v>
      </c>
      <c r="F15" s="2"/>
    </row>
    <row r="16" ht="20" customHeight="1" x14ac:dyDescent="0.35">
      <c r="B16" s="211" t="s">
        <v>1170</v>
      </c>
      <c r="C16" s="216"/>
      <c r="D16" s="225" t="s">
        <v>72</v>
      </c>
      <c r="E16" s="222" t="s">
        <v>1159</v>
      </c>
      <c r="F16" s="2"/>
    </row>
    <row r="17" ht="20" customHeight="1" x14ac:dyDescent="0.35">
      <c r="B17" s="211" t="s">
        <v>1174</v>
      </c>
      <c r="C17" s="216"/>
      <c r="D17" s="225" t="s">
        <v>72</v>
      </c>
      <c r="E17" s="222" t="s">
        <v>1159</v>
      </c>
      <c r="F17" s="2"/>
    </row>
    <row r="18" ht="20" customHeight="1" x14ac:dyDescent="0.35">
      <c r="B18" s="212" t="s">
        <v>1176</v>
      </c>
      <c r="C18" s="217"/>
      <c r="D18" s="227" t="s">
        <v>72</v>
      </c>
      <c r="E18" s="223" t="s">
        <v>1159</v>
      </c>
      <c r="F18" s="2"/>
    </row>
    <row r="19" spans="2:9" ht="15" customHeight="1" x14ac:dyDescent="0.35">
      <c r="C19" s="145"/>
      <c r="F19" s="2"/>
    </row>
    <row r="20" spans="2:9" ht="40" customHeight="1" x14ac:dyDescent="0.35">
      <c r="B20" s="148" t="s">
        <v>2741</v>
      </c>
      <c r="C20" s="148" t="s">
        <v>2742</v>
      </c>
      <c r="D20" s="148" t="s">
        <v>2743</v>
      </c>
      <c r="E20" s="148" t="s">
        <v>2744</v>
      </c>
      <c r="F20" s="148" t="s">
        <v>2672</v>
      </c>
    </row>
    <row r="21" spans="2:9" ht="5" customHeight="1" x14ac:dyDescent="0.35">
      <c r="B21" s="2"/>
      <c r="C21" s="2"/>
      <c r="D21" s="2"/>
      <c r="E21" s="2"/>
      <c r="F21" s="2"/>
      <c r="G21" s="2"/>
      <c r="H21" s="2"/>
    </row>
    <row r="22" spans="2:9" ht="20" customHeight="1" x14ac:dyDescent="0.35">
      <c r="B22" s="20" t="s">
        <v>1188</v>
      </c>
      <c r="C22" s="20" t="s">
        <v>1192</v>
      </c>
      <c r="D22" s="20" t="s">
        <v>40</v>
      </c>
      <c r="E22" s="21" t="s">
        <v>255</v>
      </c>
      <c r="F22" s="21" t="s">
        <v>31</v>
      </c>
      <c r="G22" s="2"/>
      <c r="H22" s="2"/>
      <c r="I22" s="2"/>
    </row>
    <row r="23" ht="20" customHeight="1" x14ac:dyDescent="0.35">
      <c r="B23" s="228" t="s">
        <v>1325</v>
      </c>
      <c r="C23" s="216"/>
      <c r="D23" s="213" t="s">
        <v>1189</v>
      </c>
      <c r="E23" s="230"/>
      <c r="F23" s="222" t="s">
        <v>1159</v>
      </c>
      <c r="G23" s="2"/>
      <c r="H23" s="2"/>
      <c r="I23" s="2"/>
    </row>
    <row r="24" ht="20" customHeight="1" x14ac:dyDescent="0.35">
      <c r="B24" s="229" t="s">
        <v>1326</v>
      </c>
      <c r="C24" s="216"/>
      <c r="D24" s="213" t="s">
        <v>1189</v>
      </c>
      <c r="E24" s="230"/>
      <c r="F24" s="222" t="s">
        <v>1159</v>
      </c>
      <c r="G24" s="2"/>
      <c r="H24" s="2"/>
      <c r="I24" s="2"/>
    </row>
    <row r="25" ht="20" customHeight="1" x14ac:dyDescent="0.35">
      <c r="B25" s="229" t="s">
        <v>1327</v>
      </c>
      <c r="C25" s="216"/>
      <c r="D25" s="213" t="s">
        <v>1189</v>
      </c>
      <c r="E25" s="230"/>
      <c r="F25" s="222" t="s">
        <v>1159</v>
      </c>
      <c r="G25" s="2"/>
      <c r="H25" s="2"/>
      <c r="I25" s="2"/>
    </row>
    <row r="26" ht="20" customHeight="1" x14ac:dyDescent="0.35">
      <c r="B26" s="229" t="s">
        <v>1328</v>
      </c>
      <c r="C26" s="216"/>
      <c r="D26" s="213" t="s">
        <v>1189</v>
      </c>
      <c r="E26" s="230"/>
      <c r="F26" s="222" t="s">
        <v>1159</v>
      </c>
      <c r="G26" s="2"/>
      <c r="H26" s="2"/>
      <c r="I26" s="2"/>
    </row>
    <row r="27" ht="20" customHeight="1" x14ac:dyDescent="0.35">
      <c r="B27" s="228" t="s">
        <v>1329</v>
      </c>
      <c r="C27" s="216"/>
      <c r="D27" s="213" t="s">
        <v>1189</v>
      </c>
      <c r="E27" s="230"/>
      <c r="F27" s="222" t="s">
        <v>1159</v>
      </c>
      <c r="G27" s="2"/>
      <c r="H27" s="2"/>
      <c r="I27" s="2"/>
    </row>
    <row r="28" ht="20" customHeight="1" x14ac:dyDescent="0.35">
      <c r="B28" s="229" t="s">
        <v>1330</v>
      </c>
      <c r="C28" s="216"/>
      <c r="D28" s="213" t="s">
        <v>1189</v>
      </c>
      <c r="E28" s="230"/>
      <c r="F28" s="222" t="s">
        <v>1159</v>
      </c>
      <c r="G28" s="2"/>
      <c r="H28" s="2"/>
      <c r="I28" s="2"/>
    </row>
    <row r="29" ht="20" customHeight="1" x14ac:dyDescent="0.35">
      <c r="B29" s="229" t="s">
        <v>1331</v>
      </c>
      <c r="C29" s="216"/>
      <c r="D29" s="213" t="s">
        <v>1189</v>
      </c>
      <c r="E29" s="230"/>
      <c r="F29" s="222" t="s">
        <v>1159</v>
      </c>
      <c r="G29" s="2"/>
      <c r="H29" s="2"/>
      <c r="I29" s="2"/>
    </row>
    <row r="30" ht="20" customHeight="1" x14ac:dyDescent="0.35">
      <c r="B30" s="229" t="s">
        <v>1332</v>
      </c>
      <c r="C30" s="216"/>
      <c r="D30" s="213" t="s">
        <v>1189</v>
      </c>
      <c r="E30" s="230"/>
      <c r="F30" s="222" t="s">
        <v>1159</v>
      </c>
      <c r="G30" s="2"/>
      <c r="H30" s="2"/>
      <c r="I30" s="2"/>
    </row>
    <row r="31" ht="20" customHeight="1" x14ac:dyDescent="0.35">
      <c r="B31" s="228" t="s">
        <v>1333</v>
      </c>
      <c r="C31" s="216"/>
      <c r="D31" s="213" t="s">
        <v>1189</v>
      </c>
      <c r="E31" s="230"/>
      <c r="F31" s="222" t="s">
        <v>1159</v>
      </c>
      <c r="G31" s="2"/>
      <c r="H31" s="2"/>
      <c r="I31" s="2"/>
    </row>
    <row r="32" ht="20" customHeight="1" x14ac:dyDescent="0.35">
      <c r="B32" s="229" t="s">
        <v>1334</v>
      </c>
      <c r="C32" s="216"/>
      <c r="D32" s="213" t="s">
        <v>1189</v>
      </c>
      <c r="E32" s="230"/>
      <c r="F32" s="222" t="s">
        <v>1159</v>
      </c>
      <c r="G32" s="2"/>
      <c r="H32" s="2"/>
      <c r="I32" s="2"/>
    </row>
    <row r="33" spans="2:8" s="12" customFormat="1" ht="15" customHeight="1" thickBot="1" x14ac:dyDescent="0.4">
      <c r="B33" s="42"/>
      <c r="C33" s="42"/>
      <c r="D33" s="42"/>
      <c r="E33" s="42"/>
      <c r="F33" s="42"/>
      <c r="G33" s="42"/>
      <c r="H33" s="42"/>
    </row>
    <row r="34" spans="2:8" ht="15" customHeight="1" thickTop="1" x14ac:dyDescent="0.35">
      <c r="B34" s="2"/>
      <c r="C34" s="2"/>
      <c r="D34" s="2"/>
      <c r="E34" s="2"/>
      <c r="F34" s="2"/>
      <c r="G34" s="2"/>
      <c r="H34" s="2"/>
    </row>
    <row r="35" spans="2:8" ht="20" customHeight="1" x14ac:dyDescent="0.35">
      <c r="B35" s="7" t="s">
        <v>2745</v>
      </c>
      <c r="C35" s="7"/>
      <c r="D35" s="67"/>
      <c r="E35" s="67"/>
      <c r="F35" s="67"/>
      <c r="G35" s="67"/>
      <c r="H35" s="2"/>
    </row>
    <row r="36" spans="2:8" ht="15" customHeight="1" x14ac:dyDescent="0.35">
      <c r="D36" s="2"/>
      <c r="E36" s="2"/>
      <c r="F36" s="2"/>
      <c r="G36" s="2"/>
      <c r="H36" s="2"/>
    </row>
    <row r="37" spans="2:8" ht="15" customHeight="1" x14ac:dyDescent="0.35">
      <c r="B37" s="4" t="s">
        <v>2716</v>
      </c>
      <c r="C37" s="45">
        <f>SUM(tbl_3.06._SB_Inputs[Spend (EUR)])</f>
        <v>0</v>
      </c>
      <c r="D37" s="2"/>
      <c r="E37" s="2"/>
      <c r="F37" s="2"/>
      <c r="G37" s="2"/>
      <c r="H37" s="2"/>
    </row>
    <row r="38" spans="2:8" ht="15" customHeight="1" x14ac:dyDescent="0.35">
      <c r="D38" s="2"/>
      <c r="E38" s="2"/>
      <c r="F38" s="2"/>
      <c r="G38" s="2"/>
      <c r="H38" s="2"/>
    </row>
    <row r="39" spans="2:8" ht="40" customHeight="1" x14ac:dyDescent="0.35">
      <c r="B39" s="148" t="s">
        <v>2717</v>
      </c>
      <c r="C39" s="149" t="s">
        <v>2718</v>
      </c>
      <c r="D39" s="148" t="s">
        <v>2720</v>
      </c>
      <c r="E39" s="148" t="s">
        <v>2719</v>
      </c>
      <c r="F39" s="148" t="s">
        <v>2721</v>
      </c>
      <c r="G39" s="148" t="s">
        <v>2672</v>
      </c>
      <c r="H39" s="2"/>
    </row>
    <row r="40" spans="2:8" ht="5" customHeight="1" x14ac:dyDescent="0.35">
      <c r="D40" s="2"/>
      <c r="E40" s="2"/>
      <c r="F40" s="2"/>
      <c r="G40" s="2"/>
      <c r="H40" s="2"/>
    </row>
    <row r="41" spans="2:8" ht="20" customHeight="1" x14ac:dyDescent="0.35">
      <c r="B41" s="19" t="s">
        <v>1158</v>
      </c>
      <c r="C41" s="20" t="s">
        <v>1008</v>
      </c>
      <c r="D41" s="20" t="s">
        <v>872</v>
      </c>
      <c r="E41" s="20" t="s">
        <v>255</v>
      </c>
      <c r="F41" s="21" t="s">
        <v>1104</v>
      </c>
      <c r="G41" s="21" t="s">
        <v>31</v>
      </c>
    </row>
    <row r="42" ht="20" customHeight="1" x14ac:dyDescent="0.35">
      <c r="B42" s="211" t="s">
        <v>1197</v>
      </c>
      <c r="C42" s="216"/>
      <c r="D42" s="225"/>
      <c r="E42" s="225"/>
      <c r="F42" s="105">
        <f>IFERROR(IF(
  tbl_3.06._SB_Inputs[[#This Row],[Currency]]="EUR",
  tbl_3.06._SB_Inputs[[#This Row],[Spend]],
  IF(
    tbl_3.06._SB_Inputs[[#This Row],[Currency]]="USD",
    tbl_3.06._SB_Inputs[[#This Row],[Spend]] / INDEX(tbl_Currency_Exchanges[Exchange Rate to USD], MATCH("EUR", tbl_Currency_Exchanges[Currency], 0)),
    tbl_3.06._SB_Inputs[[#This Row],[Spend]]
      * INDEX(tbl_Currency_Exchanges[Exchange Rate to USD], MATCH(tbl_3.06._SB_Inputs[[#This Row],[Currency]], tbl_Currency_Exchanges[Currency], 0))
      / INDEX(tbl_Currency_Exchanges[Exchange Rate to USD], MATCH("EUR", tbl_Currency_Exchanges[Currency], 0))
  )
), "")</f>
      </c>
      <c r="G42" s="222" t="s">
        <v>1159</v>
      </c>
    </row>
    <row r="43" ht="20" customHeight="1" x14ac:dyDescent="0.35">
      <c r="B43" s="211" t="s">
        <v>1163</v>
      </c>
      <c r="C43" s="216"/>
      <c r="D43" s="225"/>
      <c r="E43" s="225"/>
      <c r="F43" s="105">
        <f>IFERROR(IF(
  tbl_3.06._SB_Inputs[[#This Row],[Currency]]="EUR",
  tbl_3.06._SB_Inputs[[#This Row],[Spend]],
  IF(
    tbl_3.06._SB_Inputs[[#This Row],[Currency]]="USD",
    tbl_3.06._SB_Inputs[[#This Row],[Spend]] / INDEX(tbl_Currency_Exchanges[Exchange Rate to USD], MATCH("EUR", tbl_Currency_Exchanges[Currency], 0)),
    tbl_3.06._SB_Inputs[[#This Row],[Spend]]
      * INDEX(tbl_Currency_Exchanges[Exchange Rate to USD], MATCH(tbl_3.06._SB_Inputs[[#This Row],[Currency]], tbl_Currency_Exchanges[Currency], 0))
      / INDEX(tbl_Currency_Exchanges[Exchange Rate to USD], MATCH("EUR", tbl_Currency_Exchanges[Currency], 0))
  )
), "")</f>
      </c>
      <c r="G43" s="222" t="s">
        <v>1159</v>
      </c>
    </row>
    <row r="44" ht="20" customHeight="1" x14ac:dyDescent="0.35">
      <c r="B44" s="211" t="s">
        <v>1174</v>
      </c>
      <c r="C44" s="216"/>
      <c r="D44" s="225"/>
      <c r="E44" s="225"/>
      <c r="F44" s="105">
        <f>IFERROR(IF(
  tbl_3.06._SB_Inputs[[#This Row],[Currency]]="EUR",
  tbl_3.06._SB_Inputs[[#This Row],[Spend]],
  IF(
    tbl_3.06._SB_Inputs[[#This Row],[Currency]]="USD",
    tbl_3.06._SB_Inputs[[#This Row],[Spend]] / INDEX(tbl_Currency_Exchanges[Exchange Rate to USD], MATCH("EUR", tbl_Currency_Exchanges[Currency], 0)),
    tbl_3.06._SB_Inputs[[#This Row],[Spend]]
      * INDEX(tbl_Currency_Exchanges[Exchange Rate to USD], MATCH(tbl_3.06._SB_Inputs[[#This Row],[Currency]], tbl_Currency_Exchanges[Currency], 0))
      / INDEX(tbl_Currency_Exchanges[Exchange Rate to USD], MATCH("EUR", tbl_Currency_Exchanges[Currency], 0))
  )
), "")</f>
      </c>
      <c r="G44" s="222" t="s">
        <v>1159</v>
      </c>
    </row>
    <row r="45" ht="20" customHeight="1" x14ac:dyDescent="0.35">
      <c r="B45" s="211" t="s">
        <v>1198</v>
      </c>
      <c r="C45" s="216"/>
      <c r="D45" s="225"/>
      <c r="E45" s="225"/>
      <c r="F45" s="105">
        <f>IFERROR(IF(
  tbl_3.06._SB_Inputs[[#This Row],[Currency]]="EUR",
  tbl_3.06._SB_Inputs[[#This Row],[Spend]],
  IF(
    tbl_3.06._SB_Inputs[[#This Row],[Currency]]="USD",
    tbl_3.06._SB_Inputs[[#This Row],[Spend]] / INDEX(tbl_Currency_Exchanges[Exchange Rate to USD], MATCH("EUR", tbl_Currency_Exchanges[Currency], 0)),
    tbl_3.06._SB_Inputs[[#This Row],[Spend]]
      * INDEX(tbl_Currency_Exchanges[Exchange Rate to USD], MATCH(tbl_3.06._SB_Inputs[[#This Row],[Currency]], tbl_Currency_Exchanges[Currency], 0))
      / INDEX(tbl_Currency_Exchanges[Exchange Rate to USD], MATCH("EUR", tbl_Currency_Exchanges[Currency], 0))
  )
), "")</f>
      </c>
      <c r="G45" s="222" t="s">
        <v>1159</v>
      </c>
    </row>
    <row r="46" ht="20" customHeight="1" x14ac:dyDescent="0.35">
      <c r="B46" s="211" t="s">
        <v>1199</v>
      </c>
      <c r="C46" s="216"/>
      <c r="D46" s="225"/>
      <c r="E46" s="225"/>
      <c r="F46" s="105">
        <f>IFERROR(IF(
  tbl_3.06._SB_Inputs[[#This Row],[Currency]]="EUR",
  tbl_3.06._SB_Inputs[[#This Row],[Spend]],
  IF(
    tbl_3.06._SB_Inputs[[#This Row],[Currency]]="USD",
    tbl_3.06._SB_Inputs[[#This Row],[Spend]] / INDEX(tbl_Currency_Exchanges[Exchange Rate to USD], MATCH("EUR", tbl_Currency_Exchanges[Currency], 0)),
    tbl_3.06._SB_Inputs[[#This Row],[Spend]]
      * INDEX(tbl_Currency_Exchanges[Exchange Rate to USD], MATCH(tbl_3.06._SB_Inputs[[#This Row],[Currency]], tbl_Currency_Exchanges[Currency], 0))
      / INDEX(tbl_Currency_Exchanges[Exchange Rate to USD], MATCH("EUR", tbl_Currency_Exchanges[Currency], 0))
  )
), "")</f>
      </c>
      <c r="G46" s="222" t="s">
        <v>1159</v>
      </c>
    </row>
    <row r="47" ht="20" customHeight="1" x14ac:dyDescent="0.35">
      <c r="B47" s="212" t="s">
        <v>1200</v>
      </c>
      <c r="C47" s="217"/>
      <c r="D47" s="227"/>
      <c r="E47" s="227"/>
      <c r="F47" s="108">
        <f>IFERROR(IF(
  tbl_3.06._SB_Inputs[[#This Row],[Currency]]="EUR",
  tbl_3.06._SB_Inputs[[#This Row],[Spend]],
  IF(
    tbl_3.06._SB_Inputs[[#This Row],[Currency]]="USD",
    tbl_3.06._SB_Inputs[[#This Row],[Spend]] / INDEX(tbl_Currency_Exchanges[Exchange Rate to USD], MATCH("EUR", tbl_Currency_Exchanges[Currency], 0)),
    tbl_3.06._SB_Inputs[[#This Row],[Spend]]
      * INDEX(tbl_Currency_Exchanges[Exchange Rate to USD], MATCH(tbl_3.06._SB_Inputs[[#This Row],[Currency]], tbl_Currency_Exchanges[Currency], 0))
      / INDEX(tbl_Currency_Exchanges[Exchange Rate to USD], MATCH("EUR", tbl_Currency_Exchanges[Currency], 0))
  )
), "")</f>
      </c>
      <c r="G47" s="223" t="s">
        <v>1159</v>
      </c>
    </row>
    <row r="48" spans="2:8" ht="20" customHeight="1" x14ac:dyDescent="0.35"/>
    <row r="49" ht="20" customHeight="1" x14ac:dyDescent="0.35"/>
    <row r="50" ht="20" customHeight="1" x14ac:dyDescent="0.35"/>
    <row r="51" ht="20" customHeight="1" x14ac:dyDescent="0.35"/>
    <row r="52" ht="20" customHeight="1" x14ac:dyDescent="0.35"/>
    <row r="53" ht="20" customHeight="1" x14ac:dyDescent="0.35"/>
    <row r="54" ht="20" customHeight="1" x14ac:dyDescent="0.35"/>
    <row r="55" ht="20" customHeight="1" x14ac:dyDescent="0.35"/>
    <row r="56" ht="20" customHeight="1" x14ac:dyDescent="0.35"/>
    <row r="57" ht="20" customHeight="1" x14ac:dyDescent="0.35"/>
    <row r="58" ht="20" customHeight="1" x14ac:dyDescent="0.35"/>
    <row r="59" ht="20" customHeight="1" x14ac:dyDescent="0.35"/>
    <row r="60" ht="20" customHeight="1" x14ac:dyDescent="0.35"/>
    <row r="61" ht="20" customHeight="1" x14ac:dyDescent="0.35"/>
    <row r="62" ht="20" customHeight="1" x14ac:dyDescent="0.35"/>
    <row r="63" ht="20" customHeight="1" x14ac:dyDescent="0.35"/>
    <row r="64" ht="20" customHeight="1" x14ac:dyDescent="0.35"/>
    <row r="65" ht="20" customHeight="1" x14ac:dyDescent="0.35"/>
    <row r="66" ht="20" customHeight="1" x14ac:dyDescent="0.35"/>
    <row r="67" ht="20" customHeight="1" x14ac:dyDescent="0.35"/>
    <row r="68" ht="20" customHeight="1" x14ac:dyDescent="0.35"/>
    <row r="69" ht="20" customHeight="1" x14ac:dyDescent="0.35"/>
    <row r="70" ht="20" customHeight="1" x14ac:dyDescent="0.35"/>
    <row r="71" ht="20" customHeight="1" x14ac:dyDescent="0.35"/>
    <row r="72" ht="20" customHeight="1" x14ac:dyDescent="0.35"/>
    <row r="73" ht="20" customHeight="1" x14ac:dyDescent="0.35"/>
    <row r="74" ht="20" customHeight="1" x14ac:dyDescent="0.35"/>
    <row r="75" ht="20" customHeight="1" x14ac:dyDescent="0.35"/>
    <row r="76" ht="20" customHeight="1" x14ac:dyDescent="0.35"/>
    <row r="77" ht="20" customHeight="1" x14ac:dyDescent="0.35"/>
    <row r="78" ht="20" customHeight="1" x14ac:dyDescent="0.35"/>
    <row r="79" ht="20" customHeight="1" x14ac:dyDescent="0.35"/>
    <row r="80" ht="20" customHeight="1" x14ac:dyDescent="0.35"/>
    <row r="81" ht="20" customHeight="1" x14ac:dyDescent="0.35"/>
    <row r="82" ht="20" customHeight="1" x14ac:dyDescent="0.35"/>
    <row r="83" ht="20" customHeight="1" x14ac:dyDescent="0.35"/>
    <row r="84" ht="20" customHeight="1" x14ac:dyDescent="0.35"/>
    <row r="85" ht="20" customHeight="1" x14ac:dyDescent="0.35"/>
    <row r="86" ht="20" customHeight="1" x14ac:dyDescent="0.35"/>
    <row r="87" ht="20" customHeight="1" x14ac:dyDescent="0.35"/>
    <row r="88" ht="20" customHeight="1" x14ac:dyDescent="0.35"/>
    <row r="89" ht="20" customHeight="1" x14ac:dyDescent="0.35"/>
    <row r="90" ht="20" customHeight="1" x14ac:dyDescent="0.35"/>
    <row r="91" ht="20" customHeight="1" x14ac:dyDescent="0.35"/>
    <row r="92" ht="20" customHeight="1" x14ac:dyDescent="0.35"/>
    <row r="93" ht="20" customHeight="1" x14ac:dyDescent="0.35"/>
    <row r="94" ht="20" customHeight="1" x14ac:dyDescent="0.35"/>
    <row r="95" ht="20" customHeight="1" x14ac:dyDescent="0.35"/>
    <row r="96" ht="20" customHeight="1" x14ac:dyDescent="0.35"/>
    <row r="97" ht="20" customHeight="1" x14ac:dyDescent="0.35"/>
    <row r="98" ht="20" customHeight="1" x14ac:dyDescent="0.35"/>
    <row r="99" ht="20" customHeight="1" x14ac:dyDescent="0.35"/>
    <row r="100" ht="20" customHeight="1" x14ac:dyDescent="0.35"/>
    <row r="101" ht="20" customHeight="1" x14ac:dyDescent="0.35"/>
    <row r="102" ht="20" customHeight="1" x14ac:dyDescent="0.35"/>
    <row r="103" ht="20" customHeight="1" x14ac:dyDescent="0.35"/>
    <row r="104" ht="20" customHeight="1" x14ac:dyDescent="0.35"/>
    <row r="105" ht="20" customHeight="1" x14ac:dyDescent="0.35"/>
    <row r="106" ht="20" customHeight="1" x14ac:dyDescent="0.35"/>
    <row r="107" ht="20" customHeight="1" x14ac:dyDescent="0.35"/>
    <row r="108" ht="20" customHeight="1" x14ac:dyDescent="0.35"/>
    <row r="109" ht="20" customHeight="1" x14ac:dyDescent="0.35"/>
    <row r="110" ht="20" customHeight="1" x14ac:dyDescent="0.35"/>
    <row r="111" ht="20" customHeight="1" x14ac:dyDescent="0.35"/>
    <row r="112" ht="20" customHeight="1" x14ac:dyDescent="0.35"/>
    <row r="113" ht="20" customHeight="1" x14ac:dyDescent="0.35"/>
    <row r="114" ht="20" customHeight="1" x14ac:dyDescent="0.35"/>
    <row r="115" ht="20" customHeight="1" x14ac:dyDescent="0.35"/>
    <row r="116" ht="20" customHeight="1" x14ac:dyDescent="0.35"/>
    <row r="117" ht="20" customHeight="1" x14ac:dyDescent="0.35"/>
    <row r="118" ht="20" customHeight="1" x14ac:dyDescent="0.35"/>
    <row r="119" ht="20" customHeight="1" x14ac:dyDescent="0.35"/>
    <row r="120" ht="20" customHeight="1" x14ac:dyDescent="0.35"/>
    <row r="121" ht="20" customHeight="1" x14ac:dyDescent="0.35"/>
    <row r="122" ht="20" customHeight="1" x14ac:dyDescent="0.35"/>
    <row r="123" ht="20" customHeight="1" x14ac:dyDescent="0.35"/>
    <row r="124" ht="20" customHeight="1" x14ac:dyDescent="0.35"/>
    <row r="125" ht="20" customHeight="1" x14ac:dyDescent="0.35"/>
    <row r="126" ht="20" customHeight="1" x14ac:dyDescent="0.35"/>
    <row r="127" ht="20" customHeight="1" x14ac:dyDescent="0.35"/>
    <row r="128" ht="20" customHeight="1" x14ac:dyDescent="0.35"/>
    <row r="129" ht="20" customHeight="1" x14ac:dyDescent="0.35"/>
    <row r="130" ht="20" customHeight="1" x14ac:dyDescent="0.35"/>
    <row r="131" ht="20" customHeight="1" x14ac:dyDescent="0.35"/>
    <row r="132" ht="20" customHeight="1" x14ac:dyDescent="0.35"/>
    <row r="133" ht="20" customHeight="1" x14ac:dyDescent="0.35"/>
    <row r="134" ht="20" customHeight="1" x14ac:dyDescent="0.35"/>
    <row r="135" ht="20" customHeight="1" x14ac:dyDescent="0.35"/>
    <row r="136" ht="20" customHeight="1" x14ac:dyDescent="0.35"/>
    <row r="137" ht="20" customHeight="1" x14ac:dyDescent="0.35"/>
    <row r="138" ht="20" customHeight="1" x14ac:dyDescent="0.35"/>
    <row r="139" ht="20" customHeight="1" x14ac:dyDescent="0.35"/>
    <row r="140" ht="20" customHeight="1" x14ac:dyDescent="0.35"/>
    <row r="141" ht="20" customHeight="1" x14ac:dyDescent="0.35"/>
    <row r="142" ht="20" customHeight="1" x14ac:dyDescent="0.35"/>
    <row r="143" ht="20" customHeight="1" x14ac:dyDescent="0.35"/>
    <row r="144" ht="20" customHeight="1" x14ac:dyDescent="0.35"/>
    <row r="145" ht="20" customHeight="1" x14ac:dyDescent="0.35"/>
    <row r="146" ht="20" customHeight="1" x14ac:dyDescent="0.35"/>
    <row r="147" ht="20" customHeight="1" x14ac:dyDescent="0.35"/>
    <row r="148" ht="20" customHeight="1" x14ac:dyDescent="0.35"/>
    <row r="149" ht="20" customHeight="1" x14ac:dyDescent="0.35"/>
    <row r="150" ht="20" customHeight="1" x14ac:dyDescent="0.35"/>
    <row r="151" ht="20" customHeight="1" x14ac:dyDescent="0.35"/>
    <row r="152" ht="20" customHeight="1" x14ac:dyDescent="0.35"/>
    <row r="153" ht="20" customHeight="1" x14ac:dyDescent="0.35"/>
    <row r="154" ht="20" customHeight="1" x14ac:dyDescent="0.35"/>
    <row r="155" ht="20" customHeight="1" x14ac:dyDescent="0.35"/>
    <row r="156" ht="20" customHeight="1" x14ac:dyDescent="0.35"/>
    <row r="157" ht="20" customHeight="1" x14ac:dyDescent="0.35"/>
    <row r="158" ht="20" customHeight="1" x14ac:dyDescent="0.35"/>
    <row r="159" ht="20" customHeight="1" x14ac:dyDescent="0.35"/>
    <row r="160" ht="20" customHeight="1" x14ac:dyDescent="0.35"/>
    <row r="161" ht="20" customHeight="1" x14ac:dyDescent="0.35"/>
    <row r="162" ht="20" customHeight="1" x14ac:dyDescent="0.35"/>
    <row r="163" ht="20" customHeight="1" x14ac:dyDescent="0.35"/>
    <row r="164" ht="20" customHeight="1" x14ac:dyDescent="0.35"/>
    <row r="165" ht="20" customHeight="1" x14ac:dyDescent="0.35"/>
    <row r="166" ht="20" customHeight="1" x14ac:dyDescent="0.35"/>
    <row r="167" ht="20" customHeight="1" x14ac:dyDescent="0.35"/>
    <row r="168" ht="20" customHeight="1" x14ac:dyDescent="0.35"/>
    <row r="169" ht="20" customHeight="1" x14ac:dyDescent="0.35"/>
    <row r="170" ht="20" customHeight="1" x14ac:dyDescent="0.35"/>
    <row r="171" ht="20" customHeight="1" x14ac:dyDescent="0.35"/>
    <row r="172" ht="20" customHeight="1" x14ac:dyDescent="0.35"/>
    <row r="173" ht="20" customHeight="1" x14ac:dyDescent="0.35"/>
    <row r="174" ht="20" customHeight="1" x14ac:dyDescent="0.35"/>
    <row r="175" ht="20" customHeight="1" x14ac:dyDescent="0.35"/>
    <row r="176" ht="20" customHeight="1" x14ac:dyDescent="0.35"/>
    <row r="177" ht="20" customHeight="1" x14ac:dyDescent="0.35"/>
    <row r="178" ht="20" customHeight="1" x14ac:dyDescent="0.35"/>
    <row r="179" ht="20" customHeight="1" x14ac:dyDescent="0.35"/>
    <row r="180" ht="20" customHeight="1" x14ac:dyDescent="0.35"/>
    <row r="181" ht="20" customHeight="1" x14ac:dyDescent="0.35"/>
    <row r="182" ht="20" customHeight="1" x14ac:dyDescent="0.35"/>
    <row r="183" ht="20" customHeight="1" x14ac:dyDescent="0.35"/>
    <row r="184" ht="20" customHeight="1" x14ac:dyDescent="0.35"/>
    <row r="185" ht="20" customHeight="1" x14ac:dyDescent="0.35"/>
    <row r="186" ht="20" customHeight="1" x14ac:dyDescent="0.35"/>
    <row r="187" ht="20" customHeight="1" x14ac:dyDescent="0.35"/>
    <row r="188" ht="20" customHeight="1" x14ac:dyDescent="0.35"/>
    <row r="189" ht="20" customHeight="1" x14ac:dyDescent="0.35"/>
    <row r="190" ht="20" customHeight="1" x14ac:dyDescent="0.35"/>
    <row r="191" ht="20" customHeight="1" x14ac:dyDescent="0.35"/>
    <row r="192" ht="20" customHeight="1" x14ac:dyDescent="0.35"/>
    <row r="193" ht="20" customHeight="1" x14ac:dyDescent="0.35"/>
    <row r="194" ht="20" customHeight="1" x14ac:dyDescent="0.35"/>
    <row r="195" ht="20" customHeight="1" x14ac:dyDescent="0.35"/>
    <row r="196" ht="20" customHeight="1" x14ac:dyDescent="0.35"/>
    <row r="197" ht="20" customHeight="1" x14ac:dyDescent="0.35"/>
    <row r="198" ht="20" customHeight="1" x14ac:dyDescent="0.35"/>
    <row r="199" ht="20" customHeight="1" x14ac:dyDescent="0.35"/>
    <row r="200" ht="20" customHeight="1" x14ac:dyDescent="0.35"/>
    <row r="201" ht="20" customHeight="1" x14ac:dyDescent="0.35"/>
    <row r="202" ht="20" customHeight="1" x14ac:dyDescent="0.35"/>
    <row r="203" ht="20" customHeight="1" x14ac:dyDescent="0.35"/>
    <row r="204" ht="20" customHeight="1" x14ac:dyDescent="0.35"/>
  </sheetData>
  <sheetProtection algorithmName="SHA-512" hashValue="bJEG4AYUgF1eePBAexL2yrI9z+Ptv+6w/XfDYsPMk8VC83EsxZ5FNv6sSFrK1BtuK2RxTa1WmeCkq+ohMfASbQ==" saltValue="SF7+Hz4ARzdIooATdMPmLw==" spinCount="100000" sheet="1" objects="1" scenarios="1" formatColumns="0" formatRows="0"/>
  <mergeCells count="1">
    <mergeCell ref="B6:F6"/>
  </mergeCells>
  <phoneticPr fontId="22" type="noConversion"/>
  <pageMargins left="0.7" right="0.7" top="0.75" bottom="0.75" header="0.3" footer="0.3"/>
  <tableParts count="3">
    <tablePart r:id="rId1"/>
    <tablePart r:id="rId2"/>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DDFECC8A-EBB4-4F48-99B0-31D40B48299F}">
          <x14:formula1>
            <xm:f>'Scope 3 EF'!$E$149:$EW$149</xm:f>
          </x14:formula1>
          <xm:sqref>E42:E47</xm:sqref>
        </x14:dataValidation>
        <x14:dataValidation type="list" allowBlank="1" showInputMessage="1" showErrorMessage="1" xr:uid="{D68B6144-50F4-4FF2-96DD-C91FE586C69D}">
          <x14:formula1>
            <xm:f>Dropdowns!$D$2:$D$46</xm:f>
          </x14:formula1>
          <xm:sqref>D42:D47</xm:sqref>
        </x14:dataValidation>
        <x14:dataValidation type="list" allowBlank="1" showInputMessage="1" showErrorMessage="1" xr:uid="{CAEECAEC-87F0-4E98-BA14-C767252B4007}">
          <x14:formula1>
            <xm:f>'Scope 3 EF'!$C$110:$C$147</xm:f>
          </x14:formula1>
          <xm:sqref>E23:E32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5173B-20AC-4010-83AB-82342AAD1F93}">
  <sheetPr>
    <tabColor rgb="FFE7EEEE"/>
  </sheetPr>
  <dimension ref="B1:J37"/>
  <sheetViews>
    <sheetView showGridLines="0" zoomScale="80" zoomScaleNormal="80" workbookViewId="0"/>
  </sheetViews>
  <sheetFormatPr defaultRowHeight="14.5" x14ac:dyDescent="0.35"/>
  <cols>
    <col min="1" max="1" width="2.6328125" style="2" customWidth="1"/>
    <col min="2" max="10" width="30.6328125" style="2" customWidth="1"/>
    <col min="11" max="16384" width="8.7265625" style="2"/>
  </cols>
  <sheetData>
    <row r="1" spans="2:10" s="1" customFormat="1" x14ac:dyDescent="0.35">
      <c r="B1" s="147" t="str">
        <f>const_Company_Name &amp; " Corporate Carbon Footprint Calculation"</f>
        <v>[Ihr Unternehmen] Corporate Carbon Footprint Calculation</v>
      </c>
    </row>
    <row r="2" spans="2:10" s="1" customFormat="1" x14ac:dyDescent="0.35">
      <c r="B2" s="147" t="str">
        <f>"01/01/" &amp; const_Reporting_Year &amp; " - 31/12/" &amp; const_Reporting_Year</f>
        <v>01/01/2025 - 31/12/2025</v>
      </c>
    </row>
    <row r="4" spans="2:10" x14ac:dyDescent="0.35">
      <c r="B4" s="7" t="s">
        <v>2746</v>
      </c>
      <c r="C4" s="67"/>
      <c r="D4" s="67"/>
      <c r="E4" s="67"/>
      <c r="F4" s="67"/>
      <c r="G4" s="67"/>
      <c r="H4" s="67"/>
      <c r="I4" s="67"/>
      <c r="J4" s="67"/>
    </row>
    <row r="5" spans="2:10" x14ac:dyDescent="0.35">
      <c r="B5" s="4"/>
    </row>
    <row r="6" spans="2:10" ht="55" customHeight="1" x14ac:dyDescent="0.35">
      <c r="B6" s="179" t="s">
        <v>2747</v>
      </c>
      <c r="C6" s="180"/>
      <c r="D6" s="180"/>
      <c r="E6" s="180"/>
      <c r="F6" s="180"/>
      <c r="G6" s="180"/>
      <c r="H6" s="180"/>
      <c r="I6" s="180"/>
      <c r="J6" s="181"/>
    </row>
    <row r="7" spans="2:10" x14ac:dyDescent="0.35">
      <c r="B7" s="4"/>
    </row>
    <row r="8" spans="2:10" ht="52" x14ac:dyDescent="0.35">
      <c r="B8" s="148" t="s">
        <v>2748</v>
      </c>
      <c r="C8" s="148" t="s">
        <v>2749</v>
      </c>
      <c r="D8" s="148" t="s">
        <v>2750</v>
      </c>
      <c r="E8" s="148" t="s">
        <v>2751</v>
      </c>
      <c r="F8" s="148" t="s">
        <v>2752</v>
      </c>
      <c r="G8" s="148" t="s">
        <v>2753</v>
      </c>
      <c r="H8" s="148" t="s">
        <v>2754</v>
      </c>
      <c r="I8" s="148" t="s">
        <v>2755</v>
      </c>
      <c r="J8" s="148" t="s">
        <v>2672</v>
      </c>
    </row>
    <row r="9" spans="2:10" ht="5" customHeight="1" x14ac:dyDescent="0.35"/>
    <row r="10" spans="2:10" ht="25" customHeight="1" x14ac:dyDescent="0.35">
      <c r="B10" s="19" t="s">
        <v>808</v>
      </c>
      <c r="C10" s="20" t="s">
        <v>1210</v>
      </c>
      <c r="D10" s="20" t="s">
        <v>1204</v>
      </c>
      <c r="E10" s="20" t="s">
        <v>1205</v>
      </c>
      <c r="F10" s="20" t="s">
        <v>1206</v>
      </c>
      <c r="G10" s="20" t="s">
        <v>1207</v>
      </c>
      <c r="H10" s="20" t="s">
        <v>1209</v>
      </c>
      <c r="I10" s="20" t="s">
        <v>1208</v>
      </c>
      <c r="J10" s="21" t="s">
        <v>31</v>
      </c>
    </row>
    <row r="11" ht="20" customHeight="1" x14ac:dyDescent="0.35">
      <c r="B11" s="211" t="s">
        <v>811</v>
      </c>
      <c r="C11" s="216"/>
      <c r="D11" s="232"/>
      <c r="E11" s="232"/>
      <c r="F11" s="232"/>
      <c r="G11" s="232"/>
      <c r="H11" s="125">
        <f t="shared" ref="H11:H20" si="0">SUM(D11:G11)</f>
        <v>0</v>
      </c>
      <c r="I11" s="216"/>
      <c r="J11" s="222" t="s">
        <v>1296</v>
      </c>
    </row>
    <row r="12" ht="20" customHeight="1" x14ac:dyDescent="0.35">
      <c r="B12" s="211" t="s">
        <v>812</v>
      </c>
      <c r="C12" s="216"/>
      <c r="D12" s="232"/>
      <c r="E12" s="232"/>
      <c r="F12" s="232"/>
      <c r="G12" s="232"/>
      <c r="H12" s="125">
        <f t="shared" si="0"/>
        <v>0</v>
      </c>
      <c r="I12" s="216"/>
      <c r="J12" s="222" t="s">
        <v>1296</v>
      </c>
    </row>
    <row r="13" ht="20" customHeight="1" x14ac:dyDescent="0.35">
      <c r="B13" s="211" t="s">
        <v>813</v>
      </c>
      <c r="C13" s="216"/>
      <c r="D13" s="232"/>
      <c r="E13" s="232"/>
      <c r="F13" s="232"/>
      <c r="G13" s="232"/>
      <c r="H13" s="125">
        <f t="shared" si="0"/>
        <v>0</v>
      </c>
      <c r="I13" s="216"/>
      <c r="J13" s="222" t="s">
        <v>1296</v>
      </c>
    </row>
    <row r="14" ht="20" customHeight="1" x14ac:dyDescent="0.35">
      <c r="B14" s="211" t="s">
        <v>814</v>
      </c>
      <c r="C14" s="216"/>
      <c r="D14" s="232"/>
      <c r="E14" s="232"/>
      <c r="F14" s="232"/>
      <c r="G14" s="232"/>
      <c r="H14" s="125">
        <f t="shared" si="0"/>
        <v>0</v>
      </c>
      <c r="I14" s="216"/>
      <c r="J14" s="222" t="s">
        <v>1296</v>
      </c>
    </row>
    <row r="15" ht="20" customHeight="1" x14ac:dyDescent="0.35">
      <c r="B15" s="211" t="s">
        <v>815</v>
      </c>
      <c r="C15" s="216"/>
      <c r="D15" s="232"/>
      <c r="E15" s="232"/>
      <c r="F15" s="232"/>
      <c r="G15" s="232"/>
      <c r="H15" s="125">
        <f t="shared" si="0"/>
        <v>0</v>
      </c>
      <c r="I15" s="216"/>
      <c r="J15" s="222" t="s">
        <v>1296</v>
      </c>
    </row>
    <row r="16" ht="20" customHeight="1" x14ac:dyDescent="0.35">
      <c r="B16" s="211" t="s">
        <v>816</v>
      </c>
      <c r="C16" s="216"/>
      <c r="D16" s="232"/>
      <c r="E16" s="232"/>
      <c r="F16" s="232"/>
      <c r="G16" s="232"/>
      <c r="H16" s="125">
        <f t="shared" si="0"/>
        <v>0</v>
      </c>
      <c r="I16" s="216"/>
      <c r="J16" s="222" t="s">
        <v>1296</v>
      </c>
    </row>
    <row r="17" ht="20" customHeight="1" x14ac:dyDescent="0.35">
      <c r="B17" s="211" t="s">
        <v>817</v>
      </c>
      <c r="C17" s="216"/>
      <c r="D17" s="232"/>
      <c r="E17" s="232"/>
      <c r="F17" s="232"/>
      <c r="G17" s="232"/>
      <c r="H17" s="125">
        <f t="shared" si="0"/>
        <v>0</v>
      </c>
      <c r="I17" s="216"/>
      <c r="J17" s="222" t="s">
        <v>1296</v>
      </c>
    </row>
    <row r="18" ht="20" customHeight="1" x14ac:dyDescent="0.35">
      <c r="B18" s="211" t="s">
        <v>818</v>
      </c>
      <c r="C18" s="216"/>
      <c r="D18" s="232"/>
      <c r="E18" s="232"/>
      <c r="F18" s="232"/>
      <c r="G18" s="232"/>
      <c r="H18" s="125">
        <f t="shared" si="0"/>
        <v>0</v>
      </c>
      <c r="I18" s="216"/>
      <c r="J18" s="222" t="s">
        <v>1296</v>
      </c>
    </row>
    <row r="19" ht="20" customHeight="1" x14ac:dyDescent="0.35">
      <c r="B19" s="211" t="s">
        <v>819</v>
      </c>
      <c r="C19" s="225"/>
      <c r="D19" s="232"/>
      <c r="E19" s="232"/>
      <c r="F19" s="232"/>
      <c r="G19" s="232"/>
      <c r="H19" s="125">
        <f t="shared" si="0"/>
        <v>0</v>
      </c>
      <c r="I19" s="216"/>
      <c r="J19" s="222" t="s">
        <v>1296</v>
      </c>
    </row>
    <row r="20" ht="20" customHeight="1" x14ac:dyDescent="0.35">
      <c r="B20" s="211" t="s">
        <v>820</v>
      </c>
      <c r="C20" s="225"/>
      <c r="D20" s="232"/>
      <c r="E20" s="232"/>
      <c r="F20" s="232"/>
      <c r="G20" s="232"/>
      <c r="H20" s="125">
        <f t="shared" si="0"/>
        <v>0</v>
      </c>
      <c r="I20" s="216"/>
      <c r="J20" s="222" t="s">
        <v>1296</v>
      </c>
    </row>
    <row r="21" spans="2:10" s="42" customFormat="1" ht="15" thickBot="1" x14ac:dyDescent="0.4"/>
    <row r="22" spans="2:10" ht="15" thickTop="1" x14ac:dyDescent="0.35"/>
    <row r="23" spans="2:10" x14ac:dyDescent="0.35">
      <c r="B23" s="7" t="s">
        <v>2756</v>
      </c>
      <c r="C23" s="67"/>
      <c r="D23" s="67"/>
      <c r="E23" s="67"/>
    </row>
    <row r="24" spans="2:10" x14ac:dyDescent="0.35">
      <c r="B24" s="4"/>
    </row>
    <row r="25" spans="2:10" ht="40" customHeight="1" x14ac:dyDescent="0.35">
      <c r="B25" s="148" t="s">
        <v>2757</v>
      </c>
      <c r="C25" s="148" t="s">
        <v>2749</v>
      </c>
      <c r="D25" s="148" t="s">
        <v>2758</v>
      </c>
      <c r="E25" s="148" t="s">
        <v>2672</v>
      </c>
    </row>
    <row r="26" spans="2:10" ht="5" customHeight="1" x14ac:dyDescent="0.35"/>
    <row r="27" spans="2:10" ht="29" x14ac:dyDescent="0.35">
      <c r="B27" s="19" t="s">
        <v>808</v>
      </c>
      <c r="C27" s="21" t="s">
        <v>1210</v>
      </c>
      <c r="D27" s="64" t="s">
        <v>1295</v>
      </c>
      <c r="E27" s="20" t="s">
        <v>31</v>
      </c>
    </row>
    <row r="28" ht="20" customHeight="1" x14ac:dyDescent="0.35">
      <c r="B28" s="211" t="s">
        <v>811</v>
      </c>
      <c r="C28" s="231"/>
      <c r="D28" s="231"/>
      <c r="E28" s="222" t="s">
        <v>1296</v>
      </c>
    </row>
    <row r="29" ht="20" customHeight="1" x14ac:dyDescent="0.35">
      <c r="B29" s="211" t="s">
        <v>812</v>
      </c>
      <c r="C29" s="231"/>
      <c r="D29" s="231"/>
      <c r="E29" s="222" t="s">
        <v>1296</v>
      </c>
    </row>
    <row r="30" ht="20" customHeight="1" x14ac:dyDescent="0.35">
      <c r="B30" s="211" t="s">
        <v>813</v>
      </c>
      <c r="C30" s="231"/>
      <c r="D30" s="231"/>
      <c r="E30" s="222" t="s">
        <v>1296</v>
      </c>
    </row>
    <row r="31" ht="20" customHeight="1" x14ac:dyDescent="0.35">
      <c r="B31" s="211" t="s">
        <v>814</v>
      </c>
      <c r="C31" s="231"/>
      <c r="D31" s="231"/>
      <c r="E31" s="222" t="s">
        <v>1296</v>
      </c>
    </row>
    <row r="32" ht="20" customHeight="1" x14ac:dyDescent="0.35">
      <c r="B32" s="211" t="s">
        <v>815</v>
      </c>
      <c r="C32" s="231"/>
      <c r="D32" s="231"/>
      <c r="E32" s="222" t="s">
        <v>1296</v>
      </c>
    </row>
    <row r="33" ht="20" customHeight="1" x14ac:dyDescent="0.35">
      <c r="B33" s="211" t="s">
        <v>816</v>
      </c>
      <c r="C33" s="231"/>
      <c r="D33" s="231"/>
      <c r="E33" s="222" t="s">
        <v>1296</v>
      </c>
    </row>
    <row r="34" ht="20" customHeight="1" x14ac:dyDescent="0.35">
      <c r="B34" s="211" t="s">
        <v>817</v>
      </c>
      <c r="C34" s="231"/>
      <c r="D34" s="231"/>
      <c r="E34" s="222" t="s">
        <v>1296</v>
      </c>
    </row>
    <row r="35" ht="20" customHeight="1" x14ac:dyDescent="0.35">
      <c r="B35" s="211" t="s">
        <v>818</v>
      </c>
      <c r="C35" s="231"/>
      <c r="D35" s="231"/>
      <c r="E35" s="222" t="s">
        <v>1296</v>
      </c>
    </row>
    <row r="36" ht="20" customHeight="1" x14ac:dyDescent="0.35">
      <c r="B36" s="211" t="s">
        <v>819</v>
      </c>
      <c r="C36" s="230"/>
      <c r="D36" s="230"/>
      <c r="E36" s="222" t="s">
        <v>1296</v>
      </c>
    </row>
    <row r="37" ht="20" customHeight="1" x14ac:dyDescent="0.35">
      <c r="B37" s="211" t="s">
        <v>820</v>
      </c>
      <c r="C37" s="230"/>
      <c r="D37" s="230"/>
      <c r="E37" s="222" t="s">
        <v>1296</v>
      </c>
    </row>
  </sheetData>
  <sheetProtection algorithmName="SHA-512" hashValue="8kxcU99u23hu1TxWZCSmOvVXvRe1TdkzEuf08e6GP/QvDLSEwOsDnADlmOrCwfaW5MONuYSFIODXxphHPR8eSw==" saltValue="KeMmaU7hbzSaUXcGmPLsgw==" spinCount="100000" sheet="1" objects="1" scenarios="1" formatColumns="0" formatRows="0"/>
  <mergeCells count="1">
    <mergeCell ref="B6:J6"/>
  </mergeCells>
  <phoneticPr fontId="22" type="noConversion"/>
  <pageMargins left="0.7" right="0.7" top="0.75" bottom="0.75" header="0.3" footer="0.3"/>
  <pageSetup paperSize="9" orientation="portrait" r:id="rId1"/>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CECAA-D171-4226-8A2D-C9C3BDBB829F}">
  <sheetPr>
    <tabColor rgb="FF125359"/>
  </sheetPr>
  <dimension ref="A1"/>
  <sheetViews>
    <sheetView showGridLines="0" workbookViewId="0"/>
  </sheetViews>
  <sheetFormatPr defaultRowHeight="14.5" x14ac:dyDescent="0.3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2B08-7E60-4129-9E47-17CA82901AED}">
  <sheetPr>
    <tabColor rgb="FFE7EEEE"/>
  </sheetPr>
  <dimension ref="A1:L66"/>
  <sheetViews>
    <sheetView showGridLines="0" zoomScale="80" zoomScaleNormal="80" workbookViewId="0">
      <selection activeCell="E12" sqref="E12"/>
    </sheetView>
  </sheetViews>
  <sheetFormatPr defaultRowHeight="14.5" x14ac:dyDescent="0.35"/>
  <cols>
    <col min="1" max="1" width="2.6328125" style="2" customWidth="1"/>
    <col min="2" max="2" width="37.08984375" style="2" bestFit="1" customWidth="1"/>
    <col min="3" max="12" width="30.6328125" style="2" customWidth="1"/>
    <col min="13" max="16384" width="8.7265625" style="2"/>
  </cols>
  <sheetData>
    <row r="1" spans="1:10" s="1" customFormat="1" x14ac:dyDescent="0.35">
      <c r="A1" s="1" t="s">
        <v>228</v>
      </c>
      <c r="B1" s="147" t="str">
        <f>const_Company_Name &amp; " Corporate Carbon Footprint Calculation"</f>
        <v>[Ihr Unternehmen] Corporate Carbon Footprint Calculation</v>
      </c>
    </row>
    <row r="2" spans="1:10" s="1" customFormat="1" x14ac:dyDescent="0.35">
      <c r="B2" s="147" t="str">
        <f>"01/01/" &amp; const_Reporting_Year &amp; " - 31/12/" &amp; const_Reporting_Year</f>
        <v>01/01/2025 - 31/12/2025</v>
      </c>
    </row>
    <row r="4" spans="1:10" ht="29" x14ac:dyDescent="0.35">
      <c r="B4" s="7" t="s">
        <v>21</v>
      </c>
      <c r="C4" s="7" t="s">
        <v>1013</v>
      </c>
      <c r="D4" s="99" t="s">
        <v>826</v>
      </c>
      <c r="E4" s="7" t="s">
        <v>1013</v>
      </c>
      <c r="F4" s="7"/>
      <c r="G4" s="7"/>
      <c r="H4" s="7"/>
      <c r="I4" s="7"/>
      <c r="J4" s="7"/>
    </row>
    <row r="5" spans="1:10" ht="5" customHeight="1" x14ac:dyDescent="0.35">
      <c r="B5" s="4"/>
      <c r="C5" s="4"/>
      <c r="D5" s="4"/>
      <c r="E5" s="4"/>
      <c r="F5" s="4"/>
      <c r="G5" s="4"/>
      <c r="H5" s="4"/>
      <c r="I5" s="4"/>
      <c r="J5" s="4"/>
    </row>
    <row r="6" spans="1:10" x14ac:dyDescent="0.35">
      <c r="B6" s="11" t="s">
        <v>61</v>
      </c>
      <c r="C6" s="45">
        <f>SUMIFS(tbl_1.01._Calculation[Emissions 1.01. (kg CO2e)], tbl_1.01._Calculation[Unit], "kWh")</f>
        <v>0</v>
      </c>
      <c r="D6" s="11" t="s">
        <v>61</v>
      </c>
      <c r="E6" s="45">
        <f>SUMIFS(tbl_1.01._Calculation[Emissions 3.03. (kg CO2e)], tbl_1.01._Calculation[Unit], "kWh")</f>
        <v>0</v>
      </c>
      <c r="F6" s="4"/>
      <c r="G6" s="4"/>
      <c r="H6" s="4"/>
      <c r="I6" s="4"/>
      <c r="J6" s="4"/>
    </row>
    <row r="7" spans="1:10" x14ac:dyDescent="0.35">
      <c r="B7" s="11" t="s">
        <v>62</v>
      </c>
      <c r="C7" s="45">
        <f>SUMIFS(tbl_1.01._Calculation[Emissions 1.01. (kg CO2e)], tbl_1.01._Calculation[Unit], "l")</f>
        <v>0</v>
      </c>
      <c r="D7" s="11" t="s">
        <v>62</v>
      </c>
      <c r="E7" s="45">
        <f>SUMIFS(tbl_1.01._Calculation[Emissions 3.03. (kg CO2e)], tbl_1.01._Calculation[Unit], "l")</f>
        <v>0</v>
      </c>
      <c r="F7" s="4"/>
      <c r="G7" s="4"/>
      <c r="H7" s="4"/>
      <c r="I7" s="4"/>
      <c r="J7" s="4"/>
    </row>
    <row r="8" spans="1:10" x14ac:dyDescent="0.35">
      <c r="B8" s="11" t="s">
        <v>64</v>
      </c>
      <c r="C8" s="45">
        <f>SUMIFS(tbl_1.01._Calculation[Emissions 1.01. (kg CO2e)], tbl_1.01._Calculation[Unit], "tonnes")</f>
        <v>0</v>
      </c>
      <c r="D8" s="11" t="s">
        <v>63</v>
      </c>
      <c r="E8" s="45">
        <f>SUMIFS(tbl_1.01._Calculation[Emissions 3.03. (kg CO2e)], tbl_1.01._Calculation[Unit], "tonnes")</f>
        <v>0</v>
      </c>
      <c r="F8" s="4"/>
      <c r="G8" s="4"/>
      <c r="H8" s="4"/>
      <c r="I8" s="4"/>
      <c r="J8" s="4"/>
    </row>
    <row r="9" spans="1:10" x14ac:dyDescent="0.35">
      <c r="B9" s="11" t="s">
        <v>65</v>
      </c>
      <c r="C9" s="45">
        <f>SUMIFS(tbl_1.01._Calculation[Emissions 1.01. (kg CO2e)], tbl_1.01._Calculation[Unit], "cubic meters")</f>
        <v>0</v>
      </c>
      <c r="D9" s="11" t="s">
        <v>65</v>
      </c>
      <c r="E9" s="45">
        <f>SUMIFS(tbl_1.01._Calculation[Emissions 3.03. (kg CO2e)], tbl_1.01._Calculation[Unit], "cubic meters")</f>
        <v>0</v>
      </c>
      <c r="F9" s="4"/>
      <c r="G9" s="4"/>
      <c r="H9" s="4"/>
      <c r="I9" s="4"/>
      <c r="J9" s="4"/>
    </row>
    <row r="10" spans="1:10" x14ac:dyDescent="0.35">
      <c r="B10" s="4"/>
      <c r="C10" s="4"/>
      <c r="D10" s="4"/>
      <c r="E10" s="4"/>
      <c r="F10" s="4"/>
      <c r="G10" s="4"/>
      <c r="H10" s="4"/>
      <c r="I10" s="4"/>
      <c r="J10" s="4"/>
    </row>
    <row r="11" spans="1:10" ht="30" customHeight="1" x14ac:dyDescent="0.35">
      <c r="B11" s="19" t="s">
        <v>22</v>
      </c>
      <c r="C11" s="20" t="s">
        <v>40</v>
      </c>
      <c r="D11" s="20" t="s">
        <v>23</v>
      </c>
      <c r="E11" s="20" t="s">
        <v>56</v>
      </c>
      <c r="F11" s="20" t="s">
        <v>57</v>
      </c>
      <c r="G11" s="20" t="s">
        <v>58</v>
      </c>
      <c r="H11" s="21" t="s">
        <v>59</v>
      </c>
      <c r="I11" s="34" t="s">
        <v>60</v>
      </c>
      <c r="J11" s="21" t="s">
        <v>38</v>
      </c>
    </row>
    <row r="12" spans="1:10" ht="20" customHeight="1" x14ac:dyDescent="0.35">
      <c r="B12" s="18" t="s">
        <v>25</v>
      </c>
      <c r="C12" s="15" t="str">
        <f>INDEX(tbl_1.01._Input[Unit of Consumption], MATCH(tbl_1.01._Calculation[[#This Row],[Fuel]], tbl_1.01._Input[Fuel], 0))</f>
        <v>kWh</v>
      </c>
      <c r="D12" s="15">
        <f>INDEX(tbl_1.01._Input[Consumption], MATCH(tbl_1.01._Calculation[[#This Row],[Fuel]], tbl_1.01._Input[Fuel], 0))</f>
        <v>0</v>
      </c>
      <c r="E12" s="52" cm="1">
        <f t="array" ref="E12">IF(tbl_1.01._Calculation[[#This Row],[Consumption]:[Consumption]] &gt; 0,
tbl_1.01._Calculation[[#This Row],[Consumption]:[Consumption]]
*
SUMIFS(tbl_1.01._Emission_Factors[kg CO2e/unit],
   tbl_1.01._Emission_Factors[[Scope]:[Scope]], "1.01. Stationary Combustion",
      tbl_1.01._Emission_Factors[[Fuel]:[Fuel]], tbl_1.01._Calculation[[#This Row],[Fuel]:[Fuel]],
         tbl_1.01._Emission_Factors[[Unit]:[Unit]], tbl_1.01._Calculation[[#This Row],[Unit]:[Unit]]), "")</f>
      </c>
      <c r="F12" s="52" cm="1">
        <f t="array" ref="F12">IF(tbl_1.01._Calculation[[#This Row],[Consumption]:[Consumption]] &gt; 0,
tbl_1.01._Calculation[[#This Row],[Consumption]:[Consumption]]
*
SUMIFS(tbl_1.01._Emission_Factors[CO2 kg CO2e/unit],
   tbl_1.01._Emission_Factors[[Scope]:[Scope]], "1.01. Stationary Combustion",
      tbl_1.01._Emission_Factors[[Fuel]:[Fuel]], tbl_1.01._Calculation[[#This Row],[Fuel]:[Fuel]],
         tbl_1.01._Emission_Factors[[Unit]:[Unit]], tbl_1.01._Calculation[[#This Row],[Unit]:[Unit]]), "")</f>
      </c>
      <c r="G12" s="52" cm="1">
        <f t="array" ref="G12">IF(tbl_1.01._Calculation[[#This Row],[Consumption]:[Consumption]] &gt; 0,
tbl_1.01._Calculation[[#This Row],[Consumption]:[Consumption]]
*
SUMIFS(tbl_1.01._Emission_Factors[CH4 kg CO2e/unit],
   tbl_1.01._Emission_Factors[[Scope]:[Scope]], "1.01. Stationary Combustion",
      tbl_1.01._Emission_Factors[[Fuel]:[Fuel]], tbl_1.01._Calculation[[#This Row],[Fuel]:[Fuel]],
         tbl_1.01._Emission_Factors[[Unit]:[Unit]], tbl_1.01._Calculation[[#This Row],[Unit]:[Unit]]), "")</f>
      </c>
      <c r="H12" s="50" cm="1">
        <f t="array" ref="H12">IF(tbl_1.01._Calculation[[#This Row],[Consumption]:[Consumption]] &gt; 0,
tbl_1.01._Calculation[[#This Row],[Consumption]:[Consumption]]
*
SUMIFS(tbl_1.01._Emission_Factors[N2O kg CO2e/unit],
   tbl_1.01._Emission_Factors[[Scope]:[Scope]], "1.01. Stationary Combustion",
      tbl_1.01._Emission_Factors[[Fuel]:[Fuel]], tbl_1.01._Calculation[[#This Row],[Fuel]:[Fuel]],
         tbl_1.01._Emission_Factors[[Unit]:[Unit]], tbl_1.01._Calculation[[#This Row],[Unit]:[Unit]]), "")</f>
      </c>
      <c r="I12" s="52" cm="1">
        <f t="array" ref="I12">IF(tbl_1.01._Calculation[[#This Row],[Consumption]:[Consumption]] &gt; 0,
tbl_1.01._Calculation[[#This Row],[Consumption]:[Consumption]]
*
SUMIFS(tbl_1.01._Emission_Factors[kg CO2e/unit],
   tbl_1.01._Emission_Factors[[Scope]:[Scope]], "3.03. Fuel- and Energy-Related Emissions",
      tbl_1.01._Emission_Factors[[Fuel]:[Fuel]], tbl_1.01._Calculation[[#This Row],[Fuel]:[Fuel]],
         tbl_1.01._Emission_Factors[[Unit]:[Unit]], tbl_1.01._Calculation[[#This Row],[Unit]:[Unit]]), "")</f>
      </c>
      <c r="J12" s="10" t="s">
        <v>53</v>
      </c>
    </row>
    <row r="13" spans="1:10" ht="20" customHeight="1" x14ac:dyDescent="0.35">
      <c r="B13" s="18" t="s">
        <v>26</v>
      </c>
      <c r="C13" s="15" t="str">
        <f>INDEX(tbl_1.01._Input[Unit of Consumption], MATCH(tbl_1.01._Calculation[[#This Row],[Fuel]], tbl_1.01._Input[Fuel], 0))</f>
        <v>l</v>
      </c>
      <c r="D13" s="16">
        <f>INDEX(tbl_1.01._Input[Consumption], MATCH(tbl_1.01._Calculation[[#This Row],[Fuel]], tbl_1.01._Input[Fuel], 0))</f>
        <v>0</v>
      </c>
      <c r="E13" s="52" cm="1">
        <f t="array" ref="E13">IF(tbl_1.01._Calculation[[#This Row],[Consumption]:[Consumption]] &gt; 0,
tbl_1.01._Calculation[[#This Row],[Consumption]:[Consumption]]
*
SUMIFS(tbl_1.01._Emission_Factors[kg CO2e/unit],
   tbl_1.01._Emission_Factors[[Scope]:[Scope]], "1.01. Stationary Combustion",
      tbl_1.01._Emission_Factors[[Fuel]:[Fuel]], tbl_1.01._Calculation[[#This Row],[Fuel]:[Fuel]],
         tbl_1.01._Emission_Factors[[Unit]:[Unit]], tbl_1.01._Calculation[[#This Row],[Unit]:[Unit]]), "")</f>
      </c>
      <c r="F13" s="52" cm="1">
        <f t="array" ref="F13">IF(tbl_1.01._Calculation[[#This Row],[Consumption]:[Consumption]] &gt; 0,
tbl_1.01._Calculation[[#This Row],[Consumption]:[Consumption]]
*
SUMIFS(tbl_1.01._Emission_Factors[CO2 kg CO2e/unit],
   tbl_1.01._Emission_Factors[[Scope]:[Scope]], "1.01. Stationary Combustion",
      tbl_1.01._Emission_Factors[[Fuel]:[Fuel]], tbl_1.01._Calculation[[#This Row],[Fuel]:[Fuel]],
         tbl_1.01._Emission_Factors[[Unit]:[Unit]], tbl_1.01._Calculation[[#This Row],[Unit]:[Unit]]), "")</f>
      </c>
      <c r="G13" s="52" cm="1">
        <f t="array" ref="G13">IF(tbl_1.01._Calculation[[#This Row],[Consumption]:[Consumption]] &gt; 0,
tbl_1.01._Calculation[[#This Row],[Consumption]:[Consumption]]
*
SUMIFS(tbl_1.01._Emission_Factors[CH4 kg CO2e/unit],
   tbl_1.01._Emission_Factors[[Scope]:[Scope]], "1.01. Stationary Combustion",
      tbl_1.01._Emission_Factors[[Fuel]:[Fuel]], tbl_1.01._Calculation[[#This Row],[Fuel]:[Fuel]],
         tbl_1.01._Emission_Factors[[Unit]:[Unit]], tbl_1.01._Calculation[[#This Row],[Unit]:[Unit]]), "")</f>
      </c>
      <c r="H13" s="50" cm="1">
        <f t="array" ref="H13">IF(tbl_1.01._Calculation[[#This Row],[Consumption]:[Consumption]] &gt; 0,
tbl_1.01._Calculation[[#This Row],[Consumption]:[Consumption]]
*
SUMIFS(tbl_1.01._Emission_Factors[N2O kg CO2e/unit],
   tbl_1.01._Emission_Factors[[Scope]:[Scope]], "1.01. Stationary Combustion",
      tbl_1.01._Emission_Factors[[Fuel]:[Fuel]], tbl_1.01._Calculation[[#This Row],[Fuel]:[Fuel]],
         tbl_1.01._Emission_Factors[[Unit]:[Unit]], tbl_1.01._Calculation[[#This Row],[Unit]:[Unit]]), "")</f>
      </c>
      <c r="I13" s="43" cm="1">
        <f t="array" ref="I13">IF(tbl_1.01._Calculation[[#This Row],[Consumption]:[Consumption]] &gt; 0,
tbl_1.01._Calculation[[#This Row],[Consumption]:[Consumption]]
*
SUMIFS(tbl_1.01._Emission_Factors[kg CO2e/unit],
   tbl_1.01._Emission_Factors[[Scope]:[Scope]], "3.03. Fuel- and Energy-Related Emissions",
      tbl_1.01._Emission_Factors[[Fuel]:[Fuel]], tbl_1.01._Calculation[[#This Row],[Fuel]:[Fuel]],
         tbl_1.01._Emission_Factors[[Unit]:[Unit]], tbl_1.01._Calculation[[#This Row],[Unit]:[Unit]]), "")</f>
      </c>
      <c r="J13" s="10" t="s">
        <v>53</v>
      </c>
    </row>
    <row r="14" spans="1:10" ht="20" customHeight="1" x14ac:dyDescent="0.35">
      <c r="B14" s="18" t="s">
        <v>27</v>
      </c>
      <c r="C14" s="15" t="str">
        <f>INDEX(tbl_1.01._Input[Unit of Consumption], MATCH(tbl_1.01._Calculation[[#This Row],[Fuel]], tbl_1.01._Input[Fuel], 0))</f>
        <v>l</v>
      </c>
      <c r="D14" s="16">
        <f>INDEX(tbl_1.01._Input[Consumption], MATCH(tbl_1.01._Calculation[[#This Row],[Fuel]], tbl_1.01._Input[Fuel], 0))</f>
        <v>0</v>
      </c>
      <c r="E14" s="52" cm="1">
        <f t="array" ref="E14">IF(tbl_1.01._Calculation[[#This Row],[Consumption]:[Consumption]] &gt; 0,
tbl_1.01._Calculation[[#This Row],[Consumption]:[Consumption]]
*
SUMIFS(tbl_1.01._Emission_Factors[kg CO2e/unit],
   tbl_1.01._Emission_Factors[[Scope]:[Scope]], "1.01. Stationary Combustion",
      tbl_1.01._Emission_Factors[[Fuel]:[Fuel]], tbl_1.01._Calculation[[#This Row],[Fuel]:[Fuel]],
         tbl_1.01._Emission_Factors[[Unit]:[Unit]], tbl_1.01._Calculation[[#This Row],[Unit]:[Unit]]), "")</f>
      </c>
      <c r="F14" s="52" cm="1">
        <f t="array" ref="F14">IF(tbl_1.01._Calculation[[#This Row],[Consumption]:[Consumption]] &gt; 0,
tbl_1.01._Calculation[[#This Row],[Consumption]:[Consumption]]
*
SUMIFS(tbl_1.01._Emission_Factors[CO2 kg CO2e/unit],
   tbl_1.01._Emission_Factors[[Scope]:[Scope]], "1.01. Stationary Combustion",
      tbl_1.01._Emission_Factors[[Fuel]:[Fuel]], tbl_1.01._Calculation[[#This Row],[Fuel]:[Fuel]],
         tbl_1.01._Emission_Factors[[Unit]:[Unit]], tbl_1.01._Calculation[[#This Row],[Unit]:[Unit]]), "")</f>
      </c>
      <c r="G14" s="52" cm="1">
        <f t="array" ref="G14">IF(tbl_1.01._Calculation[[#This Row],[Consumption]:[Consumption]] &gt; 0,
tbl_1.01._Calculation[[#This Row],[Consumption]:[Consumption]]
*
SUMIFS(tbl_1.01._Emission_Factors[CH4 kg CO2e/unit],
   tbl_1.01._Emission_Factors[[Scope]:[Scope]], "1.01. Stationary Combustion",
      tbl_1.01._Emission_Factors[[Fuel]:[Fuel]], tbl_1.01._Calculation[[#This Row],[Fuel]:[Fuel]],
         tbl_1.01._Emission_Factors[[Unit]:[Unit]], tbl_1.01._Calculation[[#This Row],[Unit]:[Unit]]), "")</f>
      </c>
      <c r="H14" s="50" cm="1">
        <f t="array" ref="H14">IF(tbl_1.01._Calculation[[#This Row],[Consumption]:[Consumption]] &gt; 0,
tbl_1.01._Calculation[[#This Row],[Consumption]:[Consumption]]
*
SUMIFS(tbl_1.01._Emission_Factors[N2O kg CO2e/unit],
   tbl_1.01._Emission_Factors[[Scope]:[Scope]], "1.01. Stationary Combustion",
      tbl_1.01._Emission_Factors[[Fuel]:[Fuel]], tbl_1.01._Calculation[[#This Row],[Fuel]:[Fuel]],
         tbl_1.01._Emission_Factors[[Unit]:[Unit]], tbl_1.01._Calculation[[#This Row],[Unit]:[Unit]]), "")</f>
      </c>
      <c r="I14" s="43" cm="1">
        <f t="array" ref="I14">IF(tbl_1.01._Calculation[[#This Row],[Consumption]:[Consumption]] &gt; 0,
tbl_1.01._Calculation[[#This Row],[Consumption]:[Consumption]]
*
SUMIFS(tbl_1.01._Emission_Factors[kg CO2e/unit],
   tbl_1.01._Emission_Factors[[Scope]:[Scope]], "3.03. Fuel- and Energy-Related Emissions",
      tbl_1.01._Emission_Factors[[Fuel]:[Fuel]], tbl_1.01._Calculation[[#This Row],[Fuel]:[Fuel]],
         tbl_1.01._Emission_Factors[[Unit]:[Unit]], tbl_1.01._Calculation[[#This Row],[Unit]:[Unit]]), "")</f>
      </c>
      <c r="J14" s="10" t="s">
        <v>53</v>
      </c>
    </row>
    <row r="15" ht="20" customHeight="1" x14ac:dyDescent="0.35">
      <c r="B15" s="18" t="inlineStr">
        <is>
          <t xml:space="preserve">Diesel</t>
        </is>
      </c>
      <c r="C15" s="15" t="str">
        <f>INDEX(tbl_1.01._Input[Unit of Consumption], MATCH(tbl_1.01._Calculation[[#This Row],[Fuel]], tbl_1.01._Input[Fuel], 0))</f>
        <v>tonnes</v>
      </c>
      <c r="D15" s="16">
        <f>INDEX(tbl_1.01._Input[Consumption], MATCH(tbl_1.01._Calculation[[#This Row],[Fuel]], tbl_1.01._Input[Fuel], 0))</f>
        <v>0</v>
      </c>
      <c r="E15" s="52" cm="1">
        <f t="array" ref="E15">IF(tbl_1.01._Calculation[[#This Row],[Consumption]:[Consumption]] &gt; 0,
tbl_1.01._Calculation[[#This Row],[Consumption]:[Consumption]]
*
SUMIFS(tbl_1.01._Emission_Factors[kg CO2e/unit],
   tbl_1.01._Emission_Factors[[Scope]:[Scope]], "1.01. Stationary Combustion",
      tbl_1.01._Emission_Factors[[Fuel]:[Fuel]], tbl_1.01._Calculation[[#This Row],[Fuel]:[Fuel]],
         tbl_1.01._Emission_Factors[[Unit]:[Unit]], tbl_1.01._Calculation[[#This Row],[Unit]:[Unit]]), "")</f>
      </c>
      <c r="F15" s="52" cm="1">
        <f t="array" ref="F15">IF(tbl_1.01._Calculation[[#This Row],[Consumption]:[Consumption]] &gt; 0,
tbl_1.01._Calculation[[#This Row],[Consumption]:[Consumption]]
*
SUMIFS(tbl_1.01._Emission_Factors[CO2 kg CO2e/unit],
   tbl_1.01._Emission_Factors[[Scope]:[Scope]], "1.01. Stationary Combustion",
      tbl_1.01._Emission_Factors[[Fuel]:[Fuel]], tbl_1.01._Calculation[[#This Row],[Fuel]:[Fuel]],
         tbl_1.01._Emission_Factors[[Unit]:[Unit]], tbl_1.01._Calculation[[#This Row],[Unit]:[Unit]]), "")</f>
      </c>
      <c r="G15" s="52" cm="1">
        <f t="array" ref="G15">IF(tbl_1.01._Calculation[[#This Row],[Consumption]:[Consumption]] &gt; 0,
tbl_1.01._Calculation[[#This Row],[Consumption]:[Consumption]]
*
SUMIFS(tbl_1.01._Emission_Factors[CH4 kg CO2e/unit],
   tbl_1.01._Emission_Factors[[Scope]:[Scope]], "1.01. Stationary Combustion",
      tbl_1.01._Emission_Factors[[Fuel]:[Fuel]], tbl_1.01._Calculation[[#This Row],[Fuel]:[Fuel]],
         tbl_1.01._Emission_Factors[[Unit]:[Unit]], tbl_1.01._Calculation[[#This Row],[Unit]:[Unit]]), "")</f>
      </c>
      <c r="H15" s="50" cm="1">
        <f t="array" ref="H15">IF(tbl_1.01._Calculation[[#This Row],[Consumption]:[Consumption]] &gt; 0,
tbl_1.01._Calculation[[#This Row],[Consumption]:[Consumption]]
*
SUMIFS(tbl_1.01._Emission_Factors[N2O kg CO2e/unit],
   tbl_1.01._Emission_Factors[[Scope]:[Scope]], "1.01. Stationary Combustion",
      tbl_1.01._Emission_Factors[[Fuel]:[Fuel]], tbl_1.01._Calculation[[#This Row],[Fuel]:[Fuel]],
         tbl_1.01._Emission_Factors[[Unit]:[Unit]], tbl_1.01._Calculation[[#This Row],[Unit]:[Unit]]), "")</f>
      </c>
      <c r="I15" s="43" cm="1">
        <f t="array" ref="I15">IF(tbl_1.01._Calculation[[#This Row],[Consumption]:[Consumption]] &gt; 0,
tbl_1.01._Calculation[[#This Row],[Consumption]:[Consumption]]
*
SUMIFS(tbl_1.01._Emission_Factors[kg CO2e/unit],
   tbl_1.01._Emission_Factors[[Scope]:[Scope]], "3.03. Fuel- and Energy-Related Emissions",
      tbl_1.01._Emission_Factors[[Fuel]:[Fuel]], tbl_1.01._Calculation[[#This Row],[Fuel]:[Fuel]],
         tbl_1.01._Emission_Factors[[Unit]:[Unit]], tbl_1.01._Calculation[[#This Row],[Unit]:[Unit]]), "")</f>
      </c>
      <c r="J15" s="10" t="s">
        <v>53</v>
      </c>
    </row>
    <row r="16" spans="1:10" ht="20" customHeight="1" x14ac:dyDescent="0.35">
      <c r="B16" s="18" t="s">
        <v>30</v>
      </c>
      <c r="C16" s="15">
        <f>INDEX(tbl_1.01._Input[Unit of Consumption], MATCH(tbl_1.01._Calculation[[#This Row],[Fuel]], tbl_1.01._Input[Fuel], 0))</f>
        <v>0</v>
      </c>
      <c r="D16" s="16">
        <f>INDEX(tbl_1.01._Input[Consumption], MATCH(tbl_1.01._Calculation[[#This Row],[Fuel]], tbl_1.01._Input[Fuel], 0))</f>
        <v>0</v>
      </c>
      <c r="E16" s="52" cm="1">
        <f t="array" ref="E16">IF(tbl_1.01._Calculation[[#This Row],[Consumption]:[Consumption]] &gt; 0,
tbl_1.01._Calculation[[#This Row],[Consumption]:[Consumption]]
*
SUMIFS(tbl_1.01._Emission_Factors[kg CO2e/unit],
   tbl_1.01._Emission_Factors[[Scope]:[Scope]], "1.01. Stationary Combustion",
      tbl_1.01._Emission_Factors[[Fuel]:[Fuel]], tbl_1.01._Calculation[[#This Row],[Fuel]:[Fuel]],
         tbl_1.01._Emission_Factors[[Unit]:[Unit]], tbl_1.01._Calculation[[#This Row],[Unit]:[Unit]]), "")</f>
      </c>
      <c r="F16" s="52" cm="1">
        <f t="array" ref="F16">IF(tbl_1.01._Calculation[[#This Row],[Consumption]:[Consumption]] &gt; 0,
tbl_1.01._Calculation[[#This Row],[Consumption]:[Consumption]]
*
SUMIFS(tbl_1.01._Emission_Factors[CO2 kg CO2e/unit],
   tbl_1.01._Emission_Factors[[Scope]:[Scope]], "1.01. Stationary Combustion",
      tbl_1.01._Emission_Factors[[Fuel]:[Fuel]], tbl_1.01._Calculation[[#This Row],[Fuel]:[Fuel]],
         tbl_1.01._Emission_Factors[[Unit]:[Unit]], tbl_1.01._Calculation[[#This Row],[Unit]:[Unit]]), "")</f>
      </c>
      <c r="G16" s="52" cm="1">
        <f t="array" ref="G16">IF(tbl_1.01._Calculation[[#This Row],[Consumption]:[Consumption]] &gt; 0,
tbl_1.01._Calculation[[#This Row],[Consumption]:[Consumption]]
*
SUMIFS(tbl_1.01._Emission_Factors[CH4 kg CO2e/unit],
   tbl_1.01._Emission_Factors[[Scope]:[Scope]], "1.01. Stationary Combustion",
      tbl_1.01._Emission_Factors[[Fuel]:[Fuel]], tbl_1.01._Calculation[[#This Row],[Fuel]:[Fuel]],
         tbl_1.01._Emission_Factors[[Unit]:[Unit]], tbl_1.01._Calculation[[#This Row],[Unit]:[Unit]]), "")</f>
      </c>
      <c r="H16" s="50" cm="1">
        <f t="array" ref="H16">IF(tbl_1.01._Calculation[[#This Row],[Consumption]:[Consumption]] &gt; 0,
tbl_1.01._Calculation[[#This Row],[Consumption]:[Consumption]]
*
SUMIFS(tbl_1.01._Emission_Factors[N2O kg CO2e/unit],
   tbl_1.01._Emission_Factors[[Scope]:[Scope]], "1.01. Stationary Combustion",
      tbl_1.01._Emission_Factors[[Fuel]:[Fuel]], tbl_1.01._Calculation[[#This Row],[Fuel]:[Fuel]],
         tbl_1.01._Emission_Factors[[Unit]:[Unit]], tbl_1.01._Calculation[[#This Row],[Unit]:[Unit]]), "")</f>
      </c>
      <c r="I16" s="43" cm="1">
        <f t="array" ref="I16">IF(tbl_1.01._Calculation[[#This Row],[Consumption]:[Consumption]] &gt; 0,
tbl_1.01._Calculation[[#This Row],[Consumption]:[Consumption]]
*
SUMIFS(tbl_1.01._Emission_Factors[kg CO2e/unit],
   tbl_1.01._Emission_Factors[[Scope]:[Scope]], "3.03. Fuel- and Energy-Related Emissions",
      tbl_1.01._Emission_Factors[[Fuel]:[Fuel]], tbl_1.01._Calculation[[#This Row],[Fuel]:[Fuel]],
         tbl_1.01._Emission_Factors[[Unit]:[Unit]], tbl_1.01._Calculation[[#This Row],[Unit]:[Unit]]), "")</f>
      </c>
      <c r="J16" s="10" t="s">
        <v>53</v>
      </c>
    </row>
    <row r="17" spans="2:12" ht="20" customHeight="1" x14ac:dyDescent="0.35">
      <c r="B17" s="22" t="s">
        <v>29</v>
      </c>
      <c r="C17" s="23">
        <f>INDEX(tbl_1.01._Input[Unit of Consumption], MATCH(tbl_1.01._Calculation[[#This Row],[Fuel]], tbl_1.01._Input[Fuel], 0))</f>
        <v>0</v>
      </c>
      <c r="D17" s="24">
        <f>INDEX(tbl_1.01._Input[Consumption], MATCH(tbl_1.01._Calculation[[#This Row],[Fuel]], tbl_1.01._Input[Fuel], 0))</f>
        <v>0</v>
      </c>
      <c r="E17" s="52" cm="1">
        <f t="array" ref="E17">IF(tbl_1.01._Calculation[[#This Row],[Consumption]:[Consumption]] &gt; 0,
tbl_1.01._Calculation[[#This Row],[Consumption]:[Consumption]]
*
SUMIFS(tbl_1.01._Emission_Factors[kg CO2e/unit],
   tbl_1.01._Emission_Factors[[Scope]:[Scope]], "1.01. Stationary Combustion",
      tbl_1.01._Emission_Factors[[Fuel]:[Fuel]], tbl_1.01._Calculation[[#This Row],[Fuel]:[Fuel]],
         tbl_1.01._Emission_Factors[[Unit]:[Unit]], tbl_1.01._Calculation[[#This Row],[Unit]:[Unit]]), "")</f>
      </c>
      <c r="F17" s="52" cm="1">
        <f t="array" ref="F17">IF(tbl_1.01._Calculation[[#This Row],[Consumption]:[Consumption]] &gt; 0,
tbl_1.01._Calculation[[#This Row],[Consumption]:[Consumption]]
*
SUMIFS(tbl_1.01._Emission_Factors[CO2 kg CO2e/unit],
   tbl_1.01._Emission_Factors[[Scope]:[Scope]], "1.01. Stationary Combustion",
      tbl_1.01._Emission_Factors[[Fuel]:[Fuel]], tbl_1.01._Calculation[[#This Row],[Fuel]:[Fuel]],
         tbl_1.01._Emission_Factors[[Unit]:[Unit]], tbl_1.01._Calculation[[#This Row],[Unit]:[Unit]]), "")</f>
      </c>
      <c r="G17" s="52" cm="1">
        <f t="array" ref="G17">IF(tbl_1.01._Calculation[[#This Row],[Consumption]:[Consumption]] &gt; 0,
tbl_1.01._Calculation[[#This Row],[Consumption]:[Consumption]]
*
SUMIFS(tbl_1.01._Emission_Factors[CH4 kg CO2e/unit],
   tbl_1.01._Emission_Factors[[Scope]:[Scope]], "1.01. Stationary Combustion",
      tbl_1.01._Emission_Factors[[Fuel]:[Fuel]], tbl_1.01._Calculation[[#This Row],[Fuel]:[Fuel]],
         tbl_1.01._Emission_Factors[[Unit]:[Unit]], tbl_1.01._Calculation[[#This Row],[Unit]:[Unit]]), "")</f>
      </c>
      <c r="H17" s="50" cm="1">
        <f t="array" ref="H17">IF(tbl_1.01._Calculation[[#This Row],[Consumption]:[Consumption]] &gt; 0,
tbl_1.01._Calculation[[#This Row],[Consumption]:[Consumption]]
*
SUMIFS(tbl_1.01._Emission_Factors[N2O kg CO2e/unit],
   tbl_1.01._Emission_Factors[[Scope]:[Scope]], "1.01. Stationary Combustion",
      tbl_1.01._Emission_Factors[[Fuel]:[Fuel]], tbl_1.01._Calculation[[#This Row],[Fuel]:[Fuel]],
         tbl_1.01._Emission_Factors[[Unit]:[Unit]], tbl_1.01._Calculation[[#This Row],[Unit]:[Unit]]), "")</f>
      </c>
      <c r="I17" s="44" cm="1">
        <f t="array" ref="I17">IF(tbl_1.01._Calculation[[#This Row],[Consumption]:[Consumption]] &gt; 0,
tbl_1.01._Calculation[[#This Row],[Consumption]:[Consumption]]
*
SUMIFS(tbl_1.01._Emission_Factors[kg CO2e/unit],
   tbl_1.01._Emission_Factors[[Scope]:[Scope]], "3.03. Fuel- and Energy-Related Emissions",
      tbl_1.01._Emission_Factors[[Fuel]:[Fuel]], tbl_1.01._Calculation[[#This Row],[Fuel]:[Fuel]],
         tbl_1.01._Emission_Factors[[Unit]:[Unit]], tbl_1.01._Calculation[[#This Row],[Unit]:[Unit]]), "")</f>
      </c>
      <c r="J17" s="26" t="s">
        <v>53</v>
      </c>
    </row>
    <row r="18" spans="2:12" s="42" customFormat="1" ht="15" thickBot="1" x14ac:dyDescent="0.4"/>
    <row r="19" spans="2:12" ht="15" thickTop="1" x14ac:dyDescent="0.35"/>
    <row r="20" spans="2:12" ht="29" x14ac:dyDescent="0.35">
      <c r="B20" s="7" t="s">
        <v>36</v>
      </c>
      <c r="C20" s="7" t="s">
        <v>1013</v>
      </c>
      <c r="D20" s="99" t="s">
        <v>826</v>
      </c>
      <c r="E20" s="7" t="s">
        <v>1013</v>
      </c>
      <c r="F20" s="7"/>
      <c r="G20" s="7"/>
      <c r="H20" s="7"/>
      <c r="I20" s="7"/>
      <c r="J20" s="7"/>
      <c r="K20" s="7"/>
      <c r="L20" s="4"/>
    </row>
    <row r="21" spans="2:12" ht="5" customHeight="1" x14ac:dyDescent="0.35"/>
    <row r="22" spans="2:12" x14ac:dyDescent="0.35">
      <c r="B22" s="11" t="s">
        <v>239</v>
      </c>
      <c r="C22" s="45">
        <f>SUM(tbl_Mobile_Combustion_km[Emissions 1.01. (kg CO2e)])</f>
        <v>0</v>
      </c>
      <c r="D22" s="11" t="s">
        <v>82</v>
      </c>
      <c r="E22" s="45">
        <f>SUM(tbl_Mobile_Combustion_km[Emissions 3.03. (kg CO2e)])</f>
        <v>0</v>
      </c>
    </row>
    <row r="23" spans="2:12" x14ac:dyDescent="0.35">
      <c r="B23" s="11" t="s">
        <v>240</v>
      </c>
      <c r="C23" s="45">
        <f>SUM(tbl_HGV_Calculation[Emissions 1.01. (kg CO2e)])</f>
        <v>0</v>
      </c>
      <c r="D23" s="11" t="s">
        <v>240</v>
      </c>
      <c r="E23" s="45">
        <f>SUM(tbl_HGV_Calculation[Emissions 3.03. (kg CO2e)])</f>
        <v>0</v>
      </c>
    </row>
    <row r="24" spans="2:12" x14ac:dyDescent="0.35">
      <c r="B24" s="11" t="s">
        <v>62</v>
      </c>
      <c r="C24" s="45">
        <f>SUM(Table5[Emissions 1.01. (kg CO2e)])</f>
        <v>0</v>
      </c>
      <c r="D24" s="11" t="s">
        <v>62</v>
      </c>
      <c r="E24" s="45">
        <f>SUM(Table5[Emissions 3.03. (kg CO2e)])</f>
        <v>0</v>
      </c>
    </row>
    <row r="26" spans="2:12" ht="25" customHeight="1" x14ac:dyDescent="0.35">
      <c r="B26" s="19" t="s">
        <v>22</v>
      </c>
      <c r="C26" s="20" t="s">
        <v>76</v>
      </c>
      <c r="D26" s="20" t="s">
        <v>40</v>
      </c>
      <c r="E26" s="20" t="s">
        <v>23</v>
      </c>
      <c r="F26" s="20" t="s">
        <v>56</v>
      </c>
      <c r="G26" s="20" t="s">
        <v>57</v>
      </c>
      <c r="H26" s="20" t="s">
        <v>58</v>
      </c>
      <c r="I26" s="20" t="s">
        <v>83</v>
      </c>
      <c r="J26" s="20" t="s">
        <v>60</v>
      </c>
      <c r="K26" s="21" t="s">
        <v>38</v>
      </c>
    </row>
    <row r="27" spans="2:12" ht="20" customHeight="1" x14ac:dyDescent="0.35">
      <c r="B27" s="14" t="s">
        <v>66</v>
      </c>
      <c r="C27" s="15" t="s">
        <v>80</v>
      </c>
      <c r="D27" s="16" t="s">
        <v>72</v>
      </c>
      <c r="E27" s="15">
        <f>INDEX(tbl_1.02._km_Input[Consumption], MATCH(tbl_Mobile_Combustion_km[[#This Row],[Fuel]], tbl_1.02._km_Input[Fuel], 0))</f>
        <v>0</v>
      </c>
      <c r="F27" s="17" cm="1">
        <f t="array" ref="F27">IF(tbl_Mobile_Combustion_km[[#This Row],[Consumption]:[Consumption]] &gt; 0,
tbl_Mobile_Combustion_km[[#This Row],[Consumption]:[Consumption]]
*
SUMIFS(tbl_EF_Cars[kg CO2e/unit],
   tbl_EF_Cars[[Scope]:[Scope]], "1.02. Mobile Combustion",
      tbl_EF_Cars[[Fuel / Load]:[Fuel / Load]], tbl_Mobile_Combustion_km[[#This Row],[Fuel]:[Fuel]],
         tbl_EF_Cars[[Vehicle Type]:[Vehicle Type]], tbl_Mobile_Combustion_km[[#This Row],[Vehicle Type]:[Vehicle Type]]), "")</f>
      </c>
      <c r="G27" s="17" cm="1">
        <f t="array" ref="G27">IF(tbl_Mobile_Combustion_km[[#This Row],[Consumption]:[Consumption]] &gt; 0,
tbl_Mobile_Combustion_km[[#This Row],[Consumption]:[Consumption]]
*
SUMIFS(tbl_EF_Cars[CO2 kg CO2e/unit],
   tbl_EF_Cars[[Scope]:[Scope]], "1.02. Mobile Combustion",
      tbl_EF_Cars[[Fuel / Load]:[Fuel / Load]], tbl_Mobile_Combustion_km[[#This Row],[Fuel]:[Fuel]],
         tbl_EF_Cars[[Vehicle Type]:[Vehicle Type]], tbl_Mobile_Combustion_km[[#This Row],[Vehicle Type]:[Vehicle Type]]), "")</f>
      </c>
      <c r="H27" s="17" cm="1">
        <f t="array" ref="H27">IF(tbl_Mobile_Combustion_km[[#This Row],[Consumption]:[Consumption]] &gt; 0,
tbl_Mobile_Combustion_km[[#This Row],[Consumption]:[Consumption]]
*
SUMIFS(tbl_EF_Cars[CH4 kg CO2e/unit],
   tbl_EF_Cars[[Scope]:[Scope]], "1.02. Mobile Combustion",
      tbl_EF_Cars[[Fuel / Load]:[Fuel / Load]], tbl_Mobile_Combustion_km[[#This Row],[Fuel]:[Fuel]],
         tbl_EF_Cars[[Vehicle Type]:[Vehicle Type]], tbl_Mobile_Combustion_km[[#This Row],[Vehicle Type]:[Vehicle Type]]), "")</f>
      </c>
      <c r="I27" s="17" cm="1">
        <f t="array" ref="I27">IF(tbl_Mobile_Combustion_km[[#This Row],[Consumption]:[Consumption]] &gt; 0,
tbl_Mobile_Combustion_km[[#This Row],[Consumption]:[Consumption]]
*
SUMIFS(tbl_EF_Cars[N2O kg CO2e/unit],
   tbl_EF_Cars[[Scope]:[Scope]], "1.02. Mobile Combustion",
      tbl_EF_Cars[[Fuel / Load]:[Fuel / Load]], tbl_Mobile_Combustion_km[[#This Row],[Fuel]:[Fuel]],
         tbl_EF_Cars[[Vehicle Type]:[Vehicle Type]], tbl_Mobile_Combustion_km[[#This Row],[Vehicle Type]:[Vehicle Type]]), "")</f>
      </c>
      <c r="J27" s="17" cm="1">
        <f t="array" ref="J27">IF(E27 &gt; 0,
tbl_Mobile_Combustion_km[[#This Row],[Consumption]]
*
SUMIFS(tbl_EF_Cars[kg CO2e/unit],
   tbl_EF_Cars[Scope], "3.03. Fuel-and Energy-Related Emissions",
      tbl_EF_Cars[Fuel / Load],tbl_Mobile_Combustion_km[[#This Row],[Fuel]:[Fuel]],
         tbl_EF_Cars[Vehicle Type], tbl_Mobile_Combustion_km[[#This Row],[Vehicle Type]]),
"")</f>
      </c>
      <c r="K27" s="10" t="s">
        <v>53</v>
      </c>
    </row>
    <row r="28" spans="2:12" ht="20" customHeight="1" x14ac:dyDescent="0.35">
      <c r="B28" s="14" t="s">
        <v>67</v>
      </c>
      <c r="C28" s="15" t="s">
        <v>80</v>
      </c>
      <c r="D28" s="14" t="s">
        <v>72</v>
      </c>
      <c r="E28" s="15">
        <f>INDEX(tbl_1.02._km_Input[Consumption], MATCH(tbl_Mobile_Combustion_km[[#This Row],[Fuel]], tbl_1.02._km_Input[Fuel], 0))</f>
        <v>0</v>
      </c>
      <c r="F28" s="17" cm="1">
        <f t="array" ref="F28">IF(tbl_Mobile_Combustion_km[[#This Row],[Consumption]:[Consumption]] &gt; 0,
tbl_Mobile_Combustion_km[[#This Row],[Consumption]:[Consumption]]
*
SUMIFS(tbl_EF_Cars[kg CO2e/unit],
   tbl_EF_Cars[[Scope]:[Scope]], "1.02. Mobile Combustion",
      tbl_EF_Cars[[Fuel / Load]:[Fuel / Load]], tbl_Mobile_Combustion_km[[#This Row],[Fuel]:[Fuel]],
         tbl_EF_Cars[[Vehicle Type]:[Vehicle Type]], tbl_Mobile_Combustion_km[[#This Row],[Vehicle Type]:[Vehicle Type]]), "")</f>
      </c>
      <c r="G28" s="17" cm="1">
        <f t="array" ref="G28">IF(tbl_Mobile_Combustion_km[[#This Row],[Consumption]:[Consumption]] &gt; 0,
tbl_Mobile_Combustion_km[[#This Row],[Consumption]:[Consumption]]
*
SUMIFS(tbl_EF_Cars[CO2 kg CO2e/unit],
   tbl_EF_Cars[[Scope]:[Scope]], "1.02. Mobile Combustion",
      tbl_EF_Cars[[Fuel / Load]:[Fuel / Load]], tbl_Mobile_Combustion_km[[#This Row],[Fuel]:[Fuel]],
         tbl_EF_Cars[[Vehicle Type]:[Vehicle Type]], tbl_Mobile_Combustion_km[[#This Row],[Vehicle Type]:[Vehicle Type]]), "")</f>
      </c>
      <c r="H28" s="17" cm="1">
        <f t="array" ref="H28">IF(tbl_Mobile_Combustion_km[[#This Row],[Consumption]:[Consumption]] &gt; 0,
tbl_Mobile_Combustion_km[[#This Row],[Consumption]:[Consumption]]
*
SUMIFS(tbl_EF_Cars[CH4 kg CO2e/unit],
   tbl_EF_Cars[[Scope]:[Scope]], "1.02. Mobile Combustion",
      tbl_EF_Cars[[Fuel / Load]:[Fuel / Load]], tbl_Mobile_Combustion_km[[#This Row],[Fuel]:[Fuel]],
         tbl_EF_Cars[[Vehicle Type]:[Vehicle Type]], tbl_Mobile_Combustion_km[[#This Row],[Vehicle Type]:[Vehicle Type]]), "")</f>
      </c>
      <c r="I28" s="17" cm="1">
        <f t="array" ref="I28">IF(tbl_Mobile_Combustion_km[[#This Row],[Consumption]:[Consumption]] &gt; 0,
tbl_Mobile_Combustion_km[[#This Row],[Consumption]:[Consumption]]
*
SUMIFS(tbl_EF_Cars[N2O kg CO2e/unit],
   tbl_EF_Cars[[Scope]:[Scope]], "1.02. Mobile Combustion",
      tbl_EF_Cars[[Fuel / Load]:[Fuel / Load]], tbl_Mobile_Combustion_km[[#This Row],[Fuel]:[Fuel]],
         tbl_EF_Cars[[Vehicle Type]:[Vehicle Type]], tbl_Mobile_Combustion_km[[#This Row],[Vehicle Type]:[Vehicle Type]]), "")</f>
      </c>
      <c r="J28" s="17" cm="1">
        <f t="array" ref="J28">IF(E28 &gt; 0,
tbl_Mobile_Combustion_km[[#This Row],[Consumption]]
*
SUMIFS(tbl_EF_Cars[kg CO2e/unit],
   tbl_EF_Cars[Scope], "3.03. Fuel-and Energy-Related Emissions",
      tbl_EF_Cars[Fuel / Load],tbl_Mobile_Combustion_km[[#This Row],[Fuel]:[Fuel]],
         tbl_EF_Cars[Vehicle Type], tbl_Mobile_Combustion_km[[#This Row],[Vehicle Type]]),
"")</f>
      </c>
      <c r="K28" s="10" t="s">
        <v>53</v>
      </c>
    </row>
    <row r="29" spans="2:12" ht="20" customHeight="1" x14ac:dyDescent="0.35">
      <c r="B29" s="14" t="s">
        <v>68</v>
      </c>
      <c r="C29" s="15" t="s">
        <v>80</v>
      </c>
      <c r="D29" s="14" t="s">
        <v>72</v>
      </c>
      <c r="E29" s="15">
        <f>INDEX(tbl_1.02._km_Input[Consumption], MATCH(tbl_Mobile_Combustion_km[[#This Row],[Fuel]], tbl_1.02._km_Input[Fuel], 0))</f>
        <v>0</v>
      </c>
      <c r="F29" s="17" cm="1">
        <f t="array" ref="F29">IF(tbl_Mobile_Combustion_km[[#This Row],[Consumption]:[Consumption]] &gt; 0,
tbl_Mobile_Combustion_km[[#This Row],[Consumption]:[Consumption]]
*
SUMIFS(tbl_EF_Cars[kg CO2e/unit],
   tbl_EF_Cars[[Scope]:[Scope]], "1.02. Mobile Combustion",
      tbl_EF_Cars[[Fuel / Load]:[Fuel / Load]], tbl_Mobile_Combustion_km[[#This Row],[Fuel]:[Fuel]],
         tbl_EF_Cars[[Vehicle Type]:[Vehicle Type]], tbl_Mobile_Combustion_km[[#This Row],[Vehicle Type]:[Vehicle Type]]), "")</f>
      </c>
      <c r="G29" s="17" cm="1">
        <f t="array" ref="G29">IF(tbl_Mobile_Combustion_km[[#This Row],[Consumption]:[Consumption]] &gt; 0,
tbl_Mobile_Combustion_km[[#This Row],[Consumption]:[Consumption]]
*
SUMIFS(tbl_EF_Cars[CO2 kg CO2e/unit],
   tbl_EF_Cars[[Scope]:[Scope]], "1.02. Mobile Combustion",
      tbl_EF_Cars[[Fuel / Load]:[Fuel / Load]], tbl_Mobile_Combustion_km[[#This Row],[Fuel]:[Fuel]],
         tbl_EF_Cars[[Vehicle Type]:[Vehicle Type]], tbl_Mobile_Combustion_km[[#This Row],[Vehicle Type]:[Vehicle Type]]), "")</f>
      </c>
      <c r="H29" s="17" cm="1">
        <f t="array" ref="H29">IF(tbl_Mobile_Combustion_km[[#This Row],[Consumption]:[Consumption]] &gt; 0,
tbl_Mobile_Combustion_km[[#This Row],[Consumption]:[Consumption]]
*
SUMIFS(tbl_EF_Cars[CH4 kg CO2e/unit],
   tbl_EF_Cars[[Scope]:[Scope]], "1.02. Mobile Combustion",
      tbl_EF_Cars[[Fuel / Load]:[Fuel / Load]], tbl_Mobile_Combustion_km[[#This Row],[Fuel]:[Fuel]],
         tbl_EF_Cars[[Vehicle Type]:[Vehicle Type]], tbl_Mobile_Combustion_km[[#This Row],[Vehicle Type]:[Vehicle Type]]), "")</f>
      </c>
      <c r="I29" s="17" cm="1">
        <f t="array" ref="I29">IF(tbl_Mobile_Combustion_km[[#This Row],[Consumption]:[Consumption]] &gt; 0,
tbl_Mobile_Combustion_km[[#This Row],[Consumption]:[Consumption]]
*
SUMIFS(tbl_EF_Cars[N2O kg CO2e/unit],
   tbl_EF_Cars[[Scope]:[Scope]], "1.02. Mobile Combustion",
      tbl_EF_Cars[[Fuel / Load]:[Fuel / Load]], tbl_Mobile_Combustion_km[[#This Row],[Fuel]:[Fuel]],
         tbl_EF_Cars[[Vehicle Type]:[Vehicle Type]], tbl_Mobile_Combustion_km[[#This Row],[Vehicle Type]:[Vehicle Type]]), "")</f>
      </c>
      <c r="J29" s="17" cm="1">
        <f t="array" ref="J29">IF(E29 &gt; 0,
tbl_Mobile_Combustion_km[[#This Row],[Consumption]]
*
SUMIFS(tbl_EF_Cars[kg CO2e/unit],
   tbl_EF_Cars[Scope], "3.03. Fuel-and Energy-Related Emissions",
      tbl_EF_Cars[Fuel / Load],tbl_Mobile_Combustion_km[[#This Row],[Fuel]:[Fuel]],
         tbl_EF_Cars[Vehicle Type], tbl_Mobile_Combustion_km[[#This Row],[Vehicle Type]]),
"")</f>
      </c>
      <c r="K29" s="10" t="s">
        <v>53</v>
      </c>
    </row>
    <row r="30" spans="2:12" ht="20" customHeight="1" x14ac:dyDescent="0.35">
      <c r="B30" s="14" t="s">
        <v>51</v>
      </c>
      <c r="C30" s="15" t="s">
        <v>80</v>
      </c>
      <c r="D30" s="14" t="s">
        <v>72</v>
      </c>
      <c r="E30" s="15">
        <f>INDEX(tbl_1.02._km_Input[Consumption], MATCH(tbl_Mobile_Combustion_km[[#This Row],[Fuel]], tbl_1.02._km_Input[Fuel], 0))</f>
        <v>0</v>
      </c>
      <c r="F30" s="17" cm="1">
        <f t="array" ref="F30">IF(tbl_Mobile_Combustion_km[[#This Row],[Consumption]:[Consumption]] &gt; 0,
tbl_Mobile_Combustion_km[[#This Row],[Consumption]:[Consumption]]
*
SUMIFS(tbl_EF_Cars[kg CO2e/unit],
   tbl_EF_Cars[[Scope]:[Scope]], "1.02. Mobile Combustion",
      tbl_EF_Cars[[Fuel / Load]:[Fuel / Load]], tbl_Mobile_Combustion_km[[#This Row],[Fuel]:[Fuel]],
         tbl_EF_Cars[[Vehicle Type]:[Vehicle Type]], tbl_Mobile_Combustion_km[[#This Row],[Vehicle Type]:[Vehicle Type]]), "")</f>
      </c>
      <c r="G30" s="17" cm="1">
        <f t="array" ref="G30">IF(tbl_Mobile_Combustion_km[[#This Row],[Consumption]:[Consumption]] &gt; 0,
tbl_Mobile_Combustion_km[[#This Row],[Consumption]:[Consumption]]
*
SUMIFS(tbl_EF_Cars[CO2 kg CO2e/unit],
   tbl_EF_Cars[[Scope]:[Scope]], "1.02. Mobile Combustion",
      tbl_EF_Cars[[Fuel / Load]:[Fuel / Load]], tbl_Mobile_Combustion_km[[#This Row],[Fuel]:[Fuel]],
         tbl_EF_Cars[[Vehicle Type]:[Vehicle Type]], tbl_Mobile_Combustion_km[[#This Row],[Vehicle Type]:[Vehicle Type]]), "")</f>
      </c>
      <c r="H30" s="17" cm="1">
        <f t="array" ref="H30">IF(tbl_Mobile_Combustion_km[[#This Row],[Consumption]:[Consumption]] &gt; 0,
tbl_Mobile_Combustion_km[[#This Row],[Consumption]:[Consumption]]
*
SUMIFS(tbl_EF_Cars[CH4 kg CO2e/unit],
   tbl_EF_Cars[[Scope]:[Scope]], "1.02. Mobile Combustion",
      tbl_EF_Cars[[Fuel / Load]:[Fuel / Load]], tbl_Mobile_Combustion_km[[#This Row],[Fuel]:[Fuel]],
         tbl_EF_Cars[[Vehicle Type]:[Vehicle Type]], tbl_Mobile_Combustion_km[[#This Row],[Vehicle Type]:[Vehicle Type]]), "")</f>
      </c>
      <c r="I30" s="17" cm="1">
        <f t="array" ref="I30">IF(tbl_Mobile_Combustion_km[[#This Row],[Consumption]:[Consumption]] &gt; 0,
tbl_Mobile_Combustion_km[[#This Row],[Consumption]:[Consumption]]
*
SUMIFS(tbl_EF_Cars[N2O kg CO2e/unit],
   tbl_EF_Cars[[Scope]:[Scope]], "1.02. Mobile Combustion",
      tbl_EF_Cars[[Fuel / Load]:[Fuel / Load]], tbl_Mobile_Combustion_km[[#This Row],[Fuel]:[Fuel]],
         tbl_EF_Cars[[Vehicle Type]:[Vehicle Type]], tbl_Mobile_Combustion_km[[#This Row],[Vehicle Type]:[Vehicle Type]]), "")</f>
      </c>
      <c r="J30" s="17" cm="1">
        <f t="array" ref="J30">IF(E30 &gt; 0,
tbl_Mobile_Combustion_km[[#This Row],[Consumption]]
*
SUMIFS(tbl_EF_Cars[kg CO2e/unit],
   tbl_EF_Cars[Scope], "3.03. Fuel-and Energy-Related Emissions",
      tbl_EF_Cars[Fuel / Load],tbl_Mobile_Combustion_km[[#This Row],[Fuel]:[Fuel]],
         tbl_EF_Cars[Vehicle Type], tbl_Mobile_Combustion_km[[#This Row],[Vehicle Type]]),
"")</f>
      </c>
      <c r="K30" s="10" t="s">
        <v>53</v>
      </c>
    </row>
    <row r="31" spans="2:12" ht="20" customHeight="1" x14ac:dyDescent="0.35">
      <c r="B31" s="14" t="s">
        <v>1172</v>
      </c>
      <c r="C31" s="15" t="s">
        <v>80</v>
      </c>
      <c r="D31" s="14" t="s">
        <v>72</v>
      </c>
      <c r="E31" s="15">
        <f>INDEX(tbl_1.02._km_Input[Consumption], MATCH(tbl_Mobile_Combustion_km[[#This Row],[Fuel]], tbl_1.02._km_Input[Fuel], 0))</f>
        <v>0</v>
      </c>
      <c r="F31" s="17" cm="1">
        <f t="array" ref="F31">IF(tbl_Mobile_Combustion_km[[#This Row],[Consumption]:[Consumption]] &gt; 0,
tbl_Mobile_Combustion_km[[#This Row],[Consumption]:[Consumption]]
*
SUMIFS(tbl_EF_Cars[kg CO2e/unit],
   tbl_EF_Cars[[Scope]:[Scope]], "1.02. Mobile Combustion",
      tbl_EF_Cars[[Fuel / Load]:[Fuel / Load]], tbl_Mobile_Combustion_km[[#This Row],[Fuel]:[Fuel]],
         tbl_EF_Cars[[Vehicle Type]:[Vehicle Type]], tbl_Mobile_Combustion_km[[#This Row],[Vehicle Type]:[Vehicle Type]]), "")</f>
      </c>
      <c r="G31" s="17" cm="1">
        <f t="array" ref="G31">IF(tbl_Mobile_Combustion_km[[#This Row],[Consumption]:[Consumption]] &gt; 0,
tbl_Mobile_Combustion_km[[#This Row],[Consumption]:[Consumption]]
*
SUMIFS(tbl_EF_Cars[CO2 kg CO2e/unit],
   tbl_EF_Cars[[Scope]:[Scope]], "1.02. Mobile Combustion",
      tbl_EF_Cars[[Fuel / Load]:[Fuel / Load]], tbl_Mobile_Combustion_km[[#This Row],[Fuel]:[Fuel]],
         tbl_EF_Cars[[Vehicle Type]:[Vehicle Type]], tbl_Mobile_Combustion_km[[#This Row],[Vehicle Type]:[Vehicle Type]]), "")</f>
      </c>
      <c r="H31" s="17" cm="1">
        <f t="array" ref="H31">IF(tbl_Mobile_Combustion_km[[#This Row],[Consumption]:[Consumption]] &gt; 0,
tbl_Mobile_Combustion_km[[#This Row],[Consumption]:[Consumption]]
*
SUMIFS(tbl_EF_Cars[CH4 kg CO2e/unit],
   tbl_EF_Cars[[Scope]:[Scope]], "1.02. Mobile Combustion",
      tbl_EF_Cars[[Fuel / Load]:[Fuel / Load]], tbl_Mobile_Combustion_km[[#This Row],[Fuel]:[Fuel]],
         tbl_EF_Cars[[Vehicle Type]:[Vehicle Type]], tbl_Mobile_Combustion_km[[#This Row],[Vehicle Type]:[Vehicle Type]]), "")</f>
      </c>
      <c r="I31" s="17" cm="1">
        <f t="array" ref="I31">IF(tbl_Mobile_Combustion_km[[#This Row],[Consumption]:[Consumption]] &gt; 0,
tbl_Mobile_Combustion_km[[#This Row],[Consumption]:[Consumption]]
*
SUMIFS(tbl_EF_Cars[N2O kg CO2e/unit],
   tbl_EF_Cars[[Scope]:[Scope]], "1.02. Mobile Combustion",
      tbl_EF_Cars[[Fuel / Load]:[Fuel / Load]], tbl_Mobile_Combustion_km[[#This Row],[Fuel]:[Fuel]],
         tbl_EF_Cars[[Vehicle Type]:[Vehicle Type]], tbl_Mobile_Combustion_km[[#This Row],[Vehicle Type]:[Vehicle Type]]), "")</f>
      </c>
      <c r="J31" s="17" cm="1">
        <f t="array" ref="J31">IF(E31 &gt; 0,
tbl_Mobile_Combustion_km[[#This Row],[Consumption]]
*
SUMIFS(tbl_EF_Cars[kg CO2e/unit],
   tbl_EF_Cars[Scope], "3.03. Fuel-and Energy-Related Emissions",
      tbl_EF_Cars[Fuel / Load],tbl_Mobile_Combustion_km[[#This Row],[Fuel]:[Fuel]],
         tbl_EF_Cars[Vehicle Type], tbl_Mobile_Combustion_km[[#This Row],[Vehicle Type]]),
"")</f>
      </c>
      <c r="K31" s="10" t="s">
        <v>53</v>
      </c>
    </row>
    <row r="32" spans="2:12" ht="20" customHeight="1" x14ac:dyDescent="0.35">
      <c r="B32" s="14" t="s">
        <v>69</v>
      </c>
      <c r="C32" s="15" t="s">
        <v>80</v>
      </c>
      <c r="D32" s="14" t="s">
        <v>72</v>
      </c>
      <c r="E32" s="15">
        <f>INDEX(tbl_1.02._km_Input[Consumption], MATCH(tbl_Mobile_Combustion_km[[#This Row],[Fuel]], tbl_1.02._km_Input[Fuel], 0))</f>
        <v>0</v>
      </c>
      <c r="F32" s="17" cm="1">
        <f t="array" ref="F32">IF(tbl_Mobile_Combustion_km[[#This Row],[Consumption]:[Consumption]] &gt; 0,
tbl_Mobile_Combustion_km[[#This Row],[Consumption]:[Consumption]]
*
SUMIFS(tbl_EF_Cars[kg CO2e/unit],
   tbl_EF_Cars[[Scope]:[Scope]], "1.02. Mobile Combustion",
      tbl_EF_Cars[[Fuel / Load]:[Fuel / Load]], tbl_Mobile_Combustion_km[[#This Row],[Fuel]:[Fuel]],
         tbl_EF_Cars[[Vehicle Type]:[Vehicle Type]], tbl_Mobile_Combustion_km[[#This Row],[Vehicle Type]:[Vehicle Type]]), "")</f>
      </c>
      <c r="G32" s="17" cm="1">
        <f t="array" ref="G32">IF(tbl_Mobile_Combustion_km[[#This Row],[Consumption]:[Consumption]] &gt; 0,
tbl_Mobile_Combustion_km[[#This Row],[Consumption]:[Consumption]]
*
SUMIFS(tbl_EF_Cars[CO2 kg CO2e/unit],
   tbl_EF_Cars[[Scope]:[Scope]], "1.02. Mobile Combustion",
      tbl_EF_Cars[[Fuel / Load]:[Fuel / Load]], tbl_Mobile_Combustion_km[[#This Row],[Fuel]:[Fuel]],
         tbl_EF_Cars[[Vehicle Type]:[Vehicle Type]], tbl_Mobile_Combustion_km[[#This Row],[Vehicle Type]:[Vehicle Type]]), "")</f>
      </c>
      <c r="H32" s="17" cm="1">
        <f t="array" ref="H32">IF(tbl_Mobile_Combustion_km[[#This Row],[Consumption]:[Consumption]] &gt; 0,
tbl_Mobile_Combustion_km[[#This Row],[Consumption]:[Consumption]]
*
SUMIFS(tbl_EF_Cars[CH4 kg CO2e/unit],
   tbl_EF_Cars[[Scope]:[Scope]], "1.02. Mobile Combustion",
      tbl_EF_Cars[[Fuel / Load]:[Fuel / Load]], tbl_Mobile_Combustion_km[[#This Row],[Fuel]:[Fuel]],
         tbl_EF_Cars[[Vehicle Type]:[Vehicle Type]], tbl_Mobile_Combustion_km[[#This Row],[Vehicle Type]:[Vehicle Type]]), "")</f>
      </c>
      <c r="I32" s="17" cm="1">
        <f t="array" ref="I32">IF(tbl_Mobile_Combustion_km[[#This Row],[Consumption]:[Consumption]] &gt; 0,
tbl_Mobile_Combustion_km[[#This Row],[Consumption]:[Consumption]]
*
SUMIFS(tbl_EF_Cars[N2O kg CO2e/unit],
   tbl_EF_Cars[[Scope]:[Scope]], "1.02. Mobile Combustion",
      tbl_EF_Cars[[Fuel / Load]:[Fuel / Load]], tbl_Mobile_Combustion_km[[#This Row],[Fuel]:[Fuel]],
         tbl_EF_Cars[[Vehicle Type]:[Vehicle Type]], tbl_Mobile_Combustion_km[[#This Row],[Vehicle Type]:[Vehicle Type]]), "")</f>
      </c>
      <c r="J32" s="17" cm="1">
        <f t="array" ref="J32">IF(E32 &gt; 0,
tbl_Mobile_Combustion_km[[#This Row],[Consumption]]
*
SUMIFS(tbl_EF_Cars[kg CO2e/unit],
   tbl_EF_Cars[Scope], "3.03. Fuel-and Energy-Related Emissions",
      tbl_EF_Cars[Fuel / Load],tbl_Mobile_Combustion_km[[#This Row],[Fuel]:[Fuel]],
         tbl_EF_Cars[Vehicle Type], tbl_Mobile_Combustion_km[[#This Row],[Vehicle Type]]),
"")</f>
      </c>
      <c r="K32" s="10" t="s">
        <v>53</v>
      </c>
    </row>
    <row r="33" spans="1:11" ht="20" customHeight="1" x14ac:dyDescent="0.35">
      <c r="B33" s="14" t="s">
        <v>70</v>
      </c>
      <c r="C33" s="15" t="s">
        <v>80</v>
      </c>
      <c r="D33" s="14" t="s">
        <v>72</v>
      </c>
      <c r="E33" s="15">
        <f>INDEX(tbl_1.02._km_Input[Consumption], MATCH(tbl_Mobile_Combustion_km[[#This Row],[Fuel]], tbl_1.02._km_Input[Fuel], 0))</f>
        <v>0</v>
      </c>
      <c r="F33" s="17" cm="1">
        <f t="array" ref="F33">IF(tbl_Mobile_Combustion_km[[#This Row],[Consumption]:[Consumption]] &gt; 0,
tbl_Mobile_Combustion_km[[#This Row],[Consumption]:[Consumption]]
*
SUMIFS(tbl_EF_Cars[kg CO2e/unit],
   tbl_EF_Cars[[Scope]:[Scope]], "1.02. Mobile Combustion",
      tbl_EF_Cars[[Fuel / Load]:[Fuel / Load]], tbl_Mobile_Combustion_km[[#This Row],[Fuel]:[Fuel]],
         tbl_EF_Cars[[Vehicle Type]:[Vehicle Type]], tbl_Mobile_Combustion_km[[#This Row],[Vehicle Type]:[Vehicle Type]]), "")</f>
      </c>
      <c r="G33" s="17" cm="1">
        <f t="array" ref="G33">IF(tbl_Mobile_Combustion_km[[#This Row],[Consumption]:[Consumption]] &gt; 0,
tbl_Mobile_Combustion_km[[#This Row],[Consumption]:[Consumption]]
*
SUMIFS(tbl_EF_Cars[CO2 kg CO2e/unit],
   tbl_EF_Cars[[Scope]:[Scope]], "1.02. Mobile Combustion",
      tbl_EF_Cars[[Fuel / Load]:[Fuel / Load]], tbl_Mobile_Combustion_km[[#This Row],[Fuel]:[Fuel]],
         tbl_EF_Cars[[Vehicle Type]:[Vehicle Type]], tbl_Mobile_Combustion_km[[#This Row],[Vehicle Type]:[Vehicle Type]]), "")</f>
      </c>
      <c r="H33" s="17" cm="1">
        <f t="array" ref="H33">IF(tbl_Mobile_Combustion_km[[#This Row],[Consumption]:[Consumption]] &gt; 0,
tbl_Mobile_Combustion_km[[#This Row],[Consumption]:[Consumption]]
*
SUMIFS(tbl_EF_Cars[CH4 kg CO2e/unit],
   tbl_EF_Cars[[Scope]:[Scope]], "1.02. Mobile Combustion",
      tbl_EF_Cars[[Fuel / Load]:[Fuel / Load]], tbl_Mobile_Combustion_km[[#This Row],[Fuel]:[Fuel]],
         tbl_EF_Cars[[Vehicle Type]:[Vehicle Type]], tbl_Mobile_Combustion_km[[#This Row],[Vehicle Type]:[Vehicle Type]]), "")</f>
      </c>
      <c r="I33" s="17" cm="1">
        <f t="array" ref="I33">IF(tbl_Mobile_Combustion_km[[#This Row],[Consumption]:[Consumption]] &gt; 0,
tbl_Mobile_Combustion_km[[#This Row],[Consumption]:[Consumption]]
*
SUMIFS(tbl_EF_Cars[N2O kg CO2e/unit],
   tbl_EF_Cars[[Scope]:[Scope]], "1.02. Mobile Combustion",
      tbl_EF_Cars[[Fuel / Load]:[Fuel / Load]], tbl_Mobile_Combustion_km[[#This Row],[Fuel]:[Fuel]],
         tbl_EF_Cars[[Vehicle Type]:[Vehicle Type]], tbl_Mobile_Combustion_km[[#This Row],[Vehicle Type]:[Vehicle Type]]), "")</f>
      </c>
      <c r="J33" s="17" cm="1">
        <f t="array" ref="J33">IF(E33 &gt; 0,
tbl_Mobile_Combustion_km[[#This Row],[Consumption]]
*
SUMIFS(tbl_EF_Cars[kg CO2e/unit],
   tbl_EF_Cars[Scope], "3.03. Fuel-and Energy-Related Emissions",
      tbl_EF_Cars[Fuel / Load],tbl_Mobile_Combustion_km[[#This Row],[Fuel]:[Fuel]],
         tbl_EF_Cars[Vehicle Type], tbl_Mobile_Combustion_km[[#This Row],[Vehicle Type]]),
"")</f>
      </c>
      <c r="K33" s="10" t="s">
        <v>53</v>
      </c>
    </row>
    <row r="35" spans="1:11" ht="25" customHeight="1" x14ac:dyDescent="0.35">
      <c r="B35" s="19" t="s">
        <v>22</v>
      </c>
      <c r="C35" s="20" t="s">
        <v>40</v>
      </c>
      <c r="D35" s="20" t="s">
        <v>23</v>
      </c>
      <c r="E35" s="20" t="s">
        <v>56</v>
      </c>
      <c r="F35" s="20" t="s">
        <v>57</v>
      </c>
      <c r="G35" s="20" t="s">
        <v>58</v>
      </c>
      <c r="H35" s="21" t="s">
        <v>59</v>
      </c>
      <c r="I35" s="34" t="s">
        <v>60</v>
      </c>
      <c r="J35" s="21" t="s">
        <v>38</v>
      </c>
    </row>
    <row r="36" spans="1:11" ht="20" customHeight="1" x14ac:dyDescent="0.35">
      <c r="B36" s="9" t="s">
        <v>66</v>
      </c>
      <c r="C36" s="15" t="s">
        <v>37</v>
      </c>
      <c r="D36" s="16">
        <f>INDEX(tbl_1.02._Input[Consumption], MATCH(Table5[[#This Row],[Fuel]], tbl_1.02._Input[Fuel], 0))</f>
        <v>0</v>
      </c>
      <c r="E36" s="52" cm="1">
        <f t="array" ref="E36">Table5[[#This Row],[Consumption]:[Consumption]]
*
SUMIFS(tbl_1.01._Emission_Factors[kg CO2e/unit],
   tbl_1.01._Emission_Factors[[Scope]:[Scope]], "1.01. Stationary Combustion",
      tbl_1.01._Emission_Factors[[Unit]:[Unit]], Table5[[#This Row],[Unit]:[Unit]],
         tbl_1.01._Emission_Factors[[Fuel]:[Fuel]], Table5[[#This Row],[Fuel]:[Fuel]])</f>
        <v>0</v>
      </c>
      <c r="F36" s="52" cm="1">
        <f t="array" ref="F36">Table5[[#This Row],[Consumption]:[Consumption]]
*
SUMIFS(tbl_1.01._Emission_Factors[CO2 kg CO2e/unit],
   tbl_1.01._Emission_Factors[[Scope]:[Scope]], "1.01. Stationary Combustion",
      tbl_1.01._Emission_Factors[[Unit]:[Unit]], Table5[[#This Row],[Unit]:[Unit]],
         tbl_1.01._Emission_Factors[[Fuel]:[Fuel]], Table5[[#This Row],[Fuel]:[Fuel]])</f>
        <v>0</v>
      </c>
      <c r="G36" s="52" cm="1">
        <f t="array" ref="G36">Table5[[#This Row],[Consumption]:[Consumption]]
*
SUMIFS(tbl_1.01._Emission_Factors[CH4 kg CO2e/unit],
   tbl_1.01._Emission_Factors[[Scope]:[Scope]], "1.01. Stationary Combustion",
      tbl_1.01._Emission_Factors[[Unit]:[Unit]], Table5[[#This Row],[Unit]:[Unit]],
         tbl_1.01._Emission_Factors[[Fuel]:[Fuel]], Table5[[#This Row],[Fuel]:[Fuel]])</f>
        <v>0</v>
      </c>
      <c r="H36" s="52" cm="1">
        <f t="array" ref="H36">Table5[[#This Row],[Consumption]:[Consumption]]
*
SUMIFS(tbl_1.01._Emission_Factors[N2O kg CO2e/unit],
   tbl_1.01._Emission_Factors[[Scope]:[Scope]], "1.01. Stationary Combustion",
      tbl_1.01._Emission_Factors[[Unit]:[Unit]], Table5[[#This Row],[Unit]:[Unit]],
         tbl_1.01._Emission_Factors[[Fuel]:[Fuel]], Table5[[#This Row],[Fuel]:[Fuel]])</f>
        <v>0</v>
      </c>
      <c r="I36" s="52" cm="1">
        <f t="array" ref="I36">Table5[[#This Row],[Consumption]:[Consumption]]
*
SUMIFS(tbl_1.01._Emission_Factors[kg CO2e/unit],
   tbl_1.01._Emission_Factors[[Scope]:[Scope]], "3.03. Fuel- and Energy-Related Emissions",
      tbl_1.01._Emission_Factors[[Unit]:[Unit]], Table5[[#This Row],[Unit]:[Unit]],
         tbl_1.01._Emission_Factors[[Fuel]:[Fuel]], Table5[[#This Row],[Fuel]:[Fuel]])</f>
        <v>0</v>
      </c>
      <c r="J36" s="9" t="s">
        <v>53</v>
      </c>
    </row>
    <row r="37" spans="1:11" ht="20" customHeight="1" x14ac:dyDescent="0.35">
      <c r="B37" s="9" t="s">
        <v>67</v>
      </c>
      <c r="C37" s="15" t="s">
        <v>37</v>
      </c>
      <c r="D37" s="16">
        <f>INDEX(tbl_1.02._Input[Consumption], MATCH(Table5[[#This Row],[Fuel]], tbl_1.02._Input[Fuel], 0))</f>
        <v>0</v>
      </c>
      <c r="E37" s="52" cm="1">
        <f t="array" ref="E37">Table5[[#This Row],[Consumption]:[Consumption]]
*
SUMIFS(tbl_1.01._Emission_Factors[kg CO2e/unit],
   tbl_1.01._Emission_Factors[[Scope]:[Scope]], "1.01. Stationary Combustion",
      tbl_1.01._Emission_Factors[[Unit]:[Unit]], Table5[[#This Row],[Unit]:[Unit]],
         tbl_1.01._Emission_Factors[[Fuel]:[Fuel]], Table5[[#This Row],[Fuel]:[Fuel]])</f>
        <v>0</v>
      </c>
      <c r="F37" s="52" cm="1">
        <f t="array" ref="F37">Table5[[#This Row],[Consumption]:[Consumption]]
*
SUMIFS(tbl_1.01._Emission_Factors[CO2 kg CO2e/unit],
   tbl_1.01._Emission_Factors[[Scope]:[Scope]], "1.01. Stationary Combustion",
      tbl_1.01._Emission_Factors[[Unit]:[Unit]], Table5[[#This Row],[Unit]:[Unit]],
         tbl_1.01._Emission_Factors[[Fuel]:[Fuel]], Table5[[#This Row],[Fuel]:[Fuel]])</f>
        <v>0</v>
      </c>
      <c r="G37" s="52" cm="1">
        <f t="array" ref="G37">Table5[[#This Row],[Consumption]:[Consumption]]
*
SUMIFS(tbl_1.01._Emission_Factors[CH4 kg CO2e/unit],
   tbl_1.01._Emission_Factors[[Scope]:[Scope]], "1.01. Stationary Combustion",
      tbl_1.01._Emission_Factors[[Unit]:[Unit]], Table5[[#This Row],[Unit]:[Unit]],
         tbl_1.01._Emission_Factors[[Fuel]:[Fuel]], Table5[[#This Row],[Fuel]:[Fuel]])</f>
        <v>0</v>
      </c>
      <c r="H37" s="52" cm="1">
        <f t="array" ref="H37">Table5[[#This Row],[Consumption]:[Consumption]]
*
SUMIFS(tbl_1.01._Emission_Factors[N2O kg CO2e/unit],
   tbl_1.01._Emission_Factors[[Scope]:[Scope]], "1.01. Stationary Combustion",
      tbl_1.01._Emission_Factors[[Unit]:[Unit]], Table5[[#This Row],[Unit]:[Unit]],
         tbl_1.01._Emission_Factors[[Fuel]:[Fuel]], Table5[[#This Row],[Fuel]:[Fuel]])</f>
        <v>0</v>
      </c>
      <c r="I37" s="52" cm="1">
        <f t="array" ref="I37">Table5[[#This Row],[Consumption]:[Consumption]]
*
SUMIFS(tbl_1.01._Emission_Factors[kg CO2e/unit],
   tbl_1.01._Emission_Factors[[Scope]:[Scope]], "3.03. Fuel- and Energy-Related Emissions",
      tbl_1.01._Emission_Factors[[Unit]:[Unit]], Table5[[#This Row],[Unit]:[Unit]],
         tbl_1.01._Emission_Factors[[Fuel]:[Fuel]], Table5[[#This Row],[Fuel]:[Fuel]])</f>
        <v>0</v>
      </c>
      <c r="J37" s="9" t="s">
        <v>53</v>
      </c>
    </row>
    <row r="38" spans="1:11" ht="20" customHeight="1" x14ac:dyDescent="0.35">
      <c r="B38" s="9" t="s">
        <v>27</v>
      </c>
      <c r="C38" s="15" t="s">
        <v>37</v>
      </c>
      <c r="D38" s="16">
        <f>INDEX(tbl_1.02._Input[Consumption], MATCH(Table5[[#This Row],[Fuel]], tbl_1.02._Input[Fuel], 0))</f>
        <v>0</v>
      </c>
      <c r="E38" s="52" cm="1">
        <f t="array" ref="E38">Table5[[#This Row],[Consumption]:[Consumption]]
*
SUMIFS(tbl_1.01._Emission_Factors[kg CO2e/unit],
   tbl_1.01._Emission_Factors[[Scope]:[Scope]], "1.01. Stationary Combustion",
      tbl_1.01._Emission_Factors[[Unit]:[Unit]], Table5[[#This Row],[Unit]:[Unit]],
         tbl_1.01._Emission_Factors[[Fuel]:[Fuel]], Table5[[#This Row],[Fuel]:[Fuel]])</f>
        <v>0</v>
      </c>
      <c r="F38" s="52" cm="1">
        <f t="array" ref="F38">Table5[[#This Row],[Consumption]:[Consumption]]
*
SUMIFS(tbl_1.01._Emission_Factors[CO2 kg CO2e/unit],
   tbl_1.01._Emission_Factors[[Scope]:[Scope]], "1.01. Stationary Combustion",
      tbl_1.01._Emission_Factors[[Unit]:[Unit]], Table5[[#This Row],[Unit]:[Unit]],
         tbl_1.01._Emission_Factors[[Fuel]:[Fuel]], Table5[[#This Row],[Fuel]:[Fuel]])</f>
        <v>0</v>
      </c>
      <c r="G38" s="52" cm="1">
        <f t="array" ref="G38">Table5[[#This Row],[Consumption]:[Consumption]]
*
SUMIFS(tbl_1.01._Emission_Factors[CH4 kg CO2e/unit],
   tbl_1.01._Emission_Factors[[Scope]:[Scope]], "1.01. Stationary Combustion",
      tbl_1.01._Emission_Factors[[Unit]:[Unit]], Table5[[#This Row],[Unit]:[Unit]],
         tbl_1.01._Emission_Factors[[Fuel]:[Fuel]], Table5[[#This Row],[Fuel]:[Fuel]])</f>
        <v>0</v>
      </c>
      <c r="H38" s="52" cm="1">
        <f t="array" ref="H38">Table5[[#This Row],[Consumption]:[Consumption]]
*
SUMIFS(tbl_1.01._Emission_Factors[N2O kg CO2e/unit],
   tbl_1.01._Emission_Factors[[Scope]:[Scope]], "1.01. Stationary Combustion",
      tbl_1.01._Emission_Factors[[Unit]:[Unit]], Table5[[#This Row],[Unit]:[Unit]],
         tbl_1.01._Emission_Factors[[Fuel]:[Fuel]], Table5[[#This Row],[Fuel]:[Fuel]])</f>
        <v>0</v>
      </c>
      <c r="I38" s="52" cm="1">
        <f t="array" ref="I38">Table5[[#This Row],[Consumption]:[Consumption]]
*
SUMIFS(tbl_1.01._Emission_Factors[kg CO2e/unit],
   tbl_1.01._Emission_Factors[[Scope]:[Scope]], "3.03. Fuel- and Energy-Related Emissions",
      tbl_1.01._Emission_Factors[[Unit]:[Unit]], Table5[[#This Row],[Unit]:[Unit]],
         tbl_1.01._Emission_Factors[[Fuel]:[Fuel]], Table5[[#This Row],[Fuel]:[Fuel]])</f>
        <v>0</v>
      </c>
      <c r="J38" s="9" t="s">
        <v>53</v>
      </c>
    </row>
    <row r="39" spans="1:11" customFormat="1" ht="20" customHeight="1" x14ac:dyDescent="0.35">
      <c r="A39" s="2"/>
    </row>
    <row r="40" spans="1:11" customFormat="1" ht="20" customHeight="1" x14ac:dyDescent="0.35">
      <c r="A40" s="2"/>
      <c r="B40" s="19" t="s">
        <v>229</v>
      </c>
      <c r="C40" s="20" t="s">
        <v>238</v>
      </c>
      <c r="D40" s="20" t="s">
        <v>40</v>
      </c>
      <c r="E40" s="20" t="s">
        <v>23</v>
      </c>
      <c r="F40" s="20" t="s">
        <v>56</v>
      </c>
      <c r="G40" s="20" t="s">
        <v>57</v>
      </c>
      <c r="H40" s="20" t="s">
        <v>58</v>
      </c>
      <c r="I40" s="20" t="s">
        <v>83</v>
      </c>
      <c r="J40" s="20" t="s">
        <v>60</v>
      </c>
      <c r="K40" s="21" t="s">
        <v>38</v>
      </c>
    </row>
    <row r="41" spans="1:11" customFormat="1" ht="20" customHeight="1" x14ac:dyDescent="0.35">
      <c r="A41" s="2"/>
      <c r="B41" s="15" t="s">
        <v>230</v>
      </c>
      <c r="C41" s="59" t="s">
        <v>80</v>
      </c>
      <c r="D41" s="16" t="s">
        <v>72</v>
      </c>
      <c r="E41" s="16">
        <f>INDEX(tbl_1.02._HGV_Inputs[Consumption], MATCH(tbl_HGV_Calculation[[#This Row],[HGV ]], tbl_1.02._HGV_Inputs[Vehicle], 0))</f>
        <v>0</v>
      </c>
      <c r="F41" s="17" cm="1">
        <f t="array" ref="F41">IF(tbl_HGV_Calculation[[#This Row],[Consumption]:[Consumption]] &gt; 0,
tbl_HGV_Calculation[[#This Row],[Consumption]:[Consumption]]
*
SUMIFS(tbl_EF_Cars[kg CO2e/unit],
   tbl_EF_Cars[[Scope]:[Scope]], "1.02. Mobile Combustion",
      tbl_EF_Cars[[Fuel / Load]:[Fuel / Load]], tbl_HGV_Calculation[[#This Row],[Freight Type]:[Freight Type]],
         tbl_EF_Cars[[Vehicle Type]:[Vehicle Type]], tbl_HGV_Calculation[[#This Row],[HGV ]:[HGV ]]),
"")</f>
      </c>
      <c r="G41" s="17" cm="1">
        <f t="array" ref="G41">IF(tbl_HGV_Calculation[[#This Row],[Consumption]:[Consumption]] &gt; 0,
tbl_HGV_Calculation[[#This Row],[Consumption]:[Consumption]]
*
SUMIFS(tbl_EF_Cars[CO2 kg CO2e/unit],
   tbl_EF_Cars[[Scope]:[Scope]], "1.02. Mobile Combustion",
      tbl_EF_Cars[[Fuel / Load]:[Fuel / Load]], tbl_HGV_Calculation[[#This Row],[Freight Type]:[Freight Type]],
         tbl_EF_Cars[[Vehicle Type]:[Vehicle Type]], tbl_HGV_Calculation[[#This Row],[HGV ]:[HGV ]]),
"")</f>
      </c>
      <c r="H41" s="17" cm="1">
        <f t="array" ref="H41">IF(tbl_HGV_Calculation[[#This Row],[Consumption]:[Consumption]] &gt; 0,
tbl_HGV_Calculation[[#This Row],[Consumption]:[Consumption]]
*
SUMIFS(tbl_EF_Cars[CH4 kg CO2e/unit],
   tbl_EF_Cars[[Scope]:[Scope]], "1.02. Mobile Combustion",
      tbl_EF_Cars[[Fuel / Load]:[Fuel / Load]], tbl_HGV_Calculation[[#This Row],[Freight Type]:[Freight Type]],
         tbl_EF_Cars[[Vehicle Type]:[Vehicle Type]], tbl_HGV_Calculation[[#This Row],[HGV ]:[HGV ]]),
"")</f>
      </c>
      <c r="I41" s="17" cm="1">
        <f t="array" ref="I41">IF(tbl_HGV_Calculation[[#This Row],[Consumption]:[Consumption]] &gt; 0,
tbl_HGV_Calculation[[#This Row],[Consumption]:[Consumption]]
*
SUMIFS(tbl_EF_Cars[N2O kg CO2e/unit],
   tbl_EF_Cars[[Scope]:[Scope]], "1.02. Mobile Combustion",
      tbl_EF_Cars[[Fuel / Load]:[Fuel / Load]], tbl_HGV_Calculation[[#This Row],[Freight Type]:[Freight Type]],
         tbl_EF_Cars[[Vehicle Type]:[Vehicle Type]], tbl_HGV_Calculation[[#This Row],[HGV ]:[HGV ]]),
"")</f>
      </c>
      <c r="J41" s="17" cm="1">
        <f t="array" ref="J41">IF(tbl_HGV_Calculation[[#This Row],[Consumption]:[Consumption]] &gt; 0,
tbl_HGV_Calculation[[#This Row],[Consumption]:[Consumption]]
*
SUMIFS(tbl_EF_Cars[kg CO2e/unit],
   tbl_EF_Cars[[Scope]:[Scope]], "3.03. Fuel-and Energy-Related Emissions",
      tbl_EF_Cars[[Fuel / Load]:[Fuel / Load]], tbl_HGV_Calculation[[#This Row],[Freight Type]:[Freight Type]],
         tbl_EF_Cars[[Vehicle Type]:[Vehicle Type]], tbl_HGV_Calculation[[#This Row],[HGV ]]),
"")</f>
      </c>
      <c r="K41" s="10" t="s">
        <v>53</v>
      </c>
    </row>
    <row r="42" spans="1:11" customFormat="1" ht="20" customHeight="1" x14ac:dyDescent="0.35">
      <c r="A42" s="2"/>
      <c r="B42" s="15" t="s">
        <v>232</v>
      </c>
      <c r="C42" s="59" t="s">
        <v>80</v>
      </c>
      <c r="D42" s="14" t="s">
        <v>72</v>
      </c>
      <c r="E42" s="15">
        <f>INDEX(tbl_1.02._HGV_Inputs[Consumption], MATCH(tbl_HGV_Calculation[[#This Row],[HGV ]], tbl_1.02._HGV_Inputs[Vehicle], 0))</f>
        <v>0</v>
      </c>
      <c r="F42" s="17" cm="1">
        <f t="array" ref="F42">IF(tbl_HGV_Calculation[[#This Row],[Consumption]:[Consumption]] &gt; 0,
tbl_HGV_Calculation[[#This Row],[Consumption]:[Consumption]]
*
SUMIFS(tbl_EF_Cars[kg CO2e/unit],
   tbl_EF_Cars[[Scope]:[Scope]], "1.02. Mobile Combustion",
      tbl_EF_Cars[[Fuel / Load]:[Fuel / Load]], tbl_HGV_Calculation[[#This Row],[Freight Type]:[Freight Type]],
         tbl_EF_Cars[[Vehicle Type]:[Vehicle Type]], tbl_HGV_Calculation[[#This Row],[HGV ]:[HGV ]]),
"")</f>
      </c>
      <c r="G42" s="17" cm="1">
        <f t="array" ref="G42">IF(tbl_HGV_Calculation[[#This Row],[Consumption]:[Consumption]] &gt; 0,
tbl_HGV_Calculation[[#This Row],[Consumption]:[Consumption]]
*
SUMIFS(tbl_EF_Cars[CO2 kg CO2e/unit],
   tbl_EF_Cars[[Scope]:[Scope]], "1.02. Mobile Combustion",
      tbl_EF_Cars[[Fuel / Load]:[Fuel / Load]], tbl_HGV_Calculation[[#This Row],[Freight Type]:[Freight Type]],
         tbl_EF_Cars[[Vehicle Type]:[Vehicle Type]], tbl_HGV_Calculation[[#This Row],[HGV ]:[HGV ]]),
"")</f>
      </c>
      <c r="H42" s="17" cm="1">
        <f t="array" ref="H42">IF(tbl_HGV_Calculation[[#This Row],[Consumption]:[Consumption]] &gt; 0,
tbl_HGV_Calculation[[#This Row],[Consumption]:[Consumption]]
*
SUMIFS(tbl_EF_Cars[CH4 kg CO2e/unit],
   tbl_EF_Cars[[Scope]:[Scope]], "1.02. Mobile Combustion",
      tbl_EF_Cars[[Fuel / Load]:[Fuel / Load]], tbl_HGV_Calculation[[#This Row],[Freight Type]:[Freight Type]],
         tbl_EF_Cars[[Vehicle Type]:[Vehicle Type]], tbl_HGV_Calculation[[#This Row],[HGV ]:[HGV ]]),
"")</f>
      </c>
      <c r="I42" s="17" cm="1">
        <f t="array" ref="I42">IF(tbl_HGV_Calculation[[#This Row],[Consumption]:[Consumption]] &gt; 0,
tbl_HGV_Calculation[[#This Row],[Consumption]:[Consumption]]
*
SUMIFS(tbl_EF_Cars[N2O kg CO2e/unit],
   tbl_EF_Cars[[Scope]:[Scope]], "1.02. Mobile Combustion",
      tbl_EF_Cars[[Fuel / Load]:[Fuel / Load]], tbl_HGV_Calculation[[#This Row],[Freight Type]:[Freight Type]],
         tbl_EF_Cars[[Vehicle Type]:[Vehicle Type]], tbl_HGV_Calculation[[#This Row],[HGV ]:[HGV ]]),
"")</f>
      </c>
      <c r="J42" s="17" cm="1">
        <f t="array" ref="J42">IF(tbl_HGV_Calculation[[#This Row],[Consumption]:[Consumption]] &gt; 0,
tbl_HGV_Calculation[[#This Row],[Consumption]:[Consumption]]
*
SUMIFS(tbl_EF_Cars[kg CO2e/unit],
   tbl_EF_Cars[[Scope]:[Scope]], "3.03. Fuel-and Energy-Related Emissions",
      tbl_EF_Cars[[Fuel / Load]:[Fuel / Load]], tbl_HGV_Calculation[[#This Row],[Freight Type]:[Freight Type]],
         tbl_EF_Cars[[Vehicle Type]:[Vehicle Type]], tbl_HGV_Calculation[[#This Row],[HGV ]]),
"")</f>
      </c>
      <c r="K42" s="10" t="s">
        <v>53</v>
      </c>
    </row>
    <row r="43" spans="1:11" customFormat="1" ht="20" customHeight="1" x14ac:dyDescent="0.35">
      <c r="A43" s="2"/>
      <c r="B43" s="15" t="s">
        <v>233</v>
      </c>
      <c r="C43" s="59" t="s">
        <v>80</v>
      </c>
      <c r="D43" s="14" t="s">
        <v>72</v>
      </c>
      <c r="E43" s="15">
        <f>INDEX(tbl_1.02._HGV_Inputs[Consumption], MATCH(tbl_HGV_Calculation[[#This Row],[HGV ]], tbl_1.02._HGV_Inputs[Vehicle], 0))</f>
        <v>0</v>
      </c>
      <c r="F43" s="17" cm="1">
        <f t="array" ref="F43">IF(tbl_HGV_Calculation[[#This Row],[Consumption]:[Consumption]] &gt; 0,
tbl_HGV_Calculation[[#This Row],[Consumption]:[Consumption]]
*
SUMIFS(tbl_EF_Cars[kg CO2e/unit],
   tbl_EF_Cars[[Scope]:[Scope]], "1.02. Mobile Combustion",
      tbl_EF_Cars[[Fuel / Load]:[Fuel / Load]], tbl_HGV_Calculation[[#This Row],[Freight Type]:[Freight Type]],
         tbl_EF_Cars[[Vehicle Type]:[Vehicle Type]], tbl_HGV_Calculation[[#This Row],[HGV ]:[HGV ]]),
"")</f>
      </c>
      <c r="G43" s="17" cm="1">
        <f t="array" ref="G43">IF(tbl_HGV_Calculation[[#This Row],[Consumption]:[Consumption]] &gt; 0,
tbl_HGV_Calculation[[#This Row],[Consumption]:[Consumption]]
*
SUMIFS(tbl_EF_Cars[CO2 kg CO2e/unit],
   tbl_EF_Cars[[Scope]:[Scope]], "1.02. Mobile Combustion",
      tbl_EF_Cars[[Fuel / Load]:[Fuel / Load]], tbl_HGV_Calculation[[#This Row],[Freight Type]:[Freight Type]],
         tbl_EF_Cars[[Vehicle Type]:[Vehicle Type]], tbl_HGV_Calculation[[#This Row],[HGV ]:[HGV ]]),
"")</f>
      </c>
      <c r="H43" s="17" cm="1">
        <f t="array" ref="H43">IF(tbl_HGV_Calculation[[#This Row],[Consumption]:[Consumption]] &gt; 0,
tbl_HGV_Calculation[[#This Row],[Consumption]:[Consumption]]
*
SUMIFS(tbl_EF_Cars[CH4 kg CO2e/unit],
   tbl_EF_Cars[[Scope]:[Scope]], "1.02. Mobile Combustion",
      tbl_EF_Cars[[Fuel / Load]:[Fuel / Load]], tbl_HGV_Calculation[[#This Row],[Freight Type]:[Freight Type]],
         tbl_EF_Cars[[Vehicle Type]:[Vehicle Type]], tbl_HGV_Calculation[[#This Row],[HGV ]:[HGV ]]),
"")</f>
      </c>
      <c r="I43" s="17" cm="1">
        <f t="array" ref="I43">IF(tbl_HGV_Calculation[[#This Row],[Consumption]:[Consumption]] &gt; 0,
tbl_HGV_Calculation[[#This Row],[Consumption]:[Consumption]]
*
SUMIFS(tbl_EF_Cars[N2O kg CO2e/unit],
   tbl_EF_Cars[[Scope]:[Scope]], "1.02. Mobile Combustion",
      tbl_EF_Cars[[Fuel / Load]:[Fuel / Load]], tbl_HGV_Calculation[[#This Row],[Freight Type]:[Freight Type]],
         tbl_EF_Cars[[Vehicle Type]:[Vehicle Type]], tbl_HGV_Calculation[[#This Row],[HGV ]:[HGV ]]),
"")</f>
      </c>
      <c r="J43" s="17" cm="1">
        <f t="array" ref="J43">IF(tbl_HGV_Calculation[[#This Row],[Consumption]:[Consumption]] &gt; 0,
tbl_HGV_Calculation[[#This Row],[Consumption]:[Consumption]]
*
SUMIFS(tbl_EF_Cars[kg CO2e/unit],
   tbl_EF_Cars[[Scope]:[Scope]], "3.03. Fuel-and Energy-Related Emissions",
      tbl_EF_Cars[[Fuel / Load]:[Fuel / Load]], tbl_HGV_Calculation[[#This Row],[Freight Type]:[Freight Type]],
         tbl_EF_Cars[[Vehicle Type]:[Vehicle Type]], tbl_HGV_Calculation[[#This Row],[HGV ]]),
"")</f>
      </c>
      <c r="K43" s="10" t="s">
        <v>53</v>
      </c>
    </row>
    <row r="44" spans="1:11" customFormat="1" ht="20" customHeight="1" x14ac:dyDescent="0.35">
      <c r="A44" s="2"/>
      <c r="B44" s="15" t="s">
        <v>234</v>
      </c>
      <c r="C44" s="59" t="s">
        <v>80</v>
      </c>
      <c r="D44" s="14" t="s">
        <v>72</v>
      </c>
      <c r="E44" s="15">
        <f>INDEX(tbl_1.02._HGV_Inputs[Consumption], MATCH(tbl_HGV_Calculation[[#This Row],[HGV ]], tbl_1.02._HGV_Inputs[Vehicle], 0))</f>
        <v>0</v>
      </c>
      <c r="F44" s="17" cm="1">
        <f t="array" ref="F44">IF(tbl_HGV_Calculation[[#This Row],[Consumption]:[Consumption]] &gt; 0,
tbl_HGV_Calculation[[#This Row],[Consumption]:[Consumption]]
*
SUMIFS(tbl_EF_Cars[kg CO2e/unit],
   tbl_EF_Cars[[Scope]:[Scope]], "1.02. Mobile Combustion",
      tbl_EF_Cars[[Fuel / Load]:[Fuel / Load]], tbl_HGV_Calculation[[#This Row],[Freight Type]:[Freight Type]],
         tbl_EF_Cars[[Vehicle Type]:[Vehicle Type]], tbl_HGV_Calculation[[#This Row],[HGV ]:[HGV ]]),
"")</f>
      </c>
      <c r="G44" s="17" cm="1">
        <f t="array" ref="G44">IF(tbl_HGV_Calculation[[#This Row],[Consumption]:[Consumption]] &gt; 0,
tbl_HGV_Calculation[[#This Row],[Consumption]:[Consumption]]
*
SUMIFS(tbl_EF_Cars[CO2 kg CO2e/unit],
   tbl_EF_Cars[[Scope]:[Scope]], "1.02. Mobile Combustion",
      tbl_EF_Cars[[Fuel / Load]:[Fuel / Load]], tbl_HGV_Calculation[[#This Row],[Freight Type]:[Freight Type]],
         tbl_EF_Cars[[Vehicle Type]:[Vehicle Type]], tbl_HGV_Calculation[[#This Row],[HGV ]:[HGV ]]),
"")</f>
      </c>
      <c r="H44" s="17" cm="1">
        <f t="array" ref="H44">IF(tbl_HGV_Calculation[[#This Row],[Consumption]:[Consumption]] &gt; 0,
tbl_HGV_Calculation[[#This Row],[Consumption]:[Consumption]]
*
SUMIFS(tbl_EF_Cars[CH4 kg CO2e/unit],
   tbl_EF_Cars[[Scope]:[Scope]], "1.02. Mobile Combustion",
      tbl_EF_Cars[[Fuel / Load]:[Fuel / Load]], tbl_HGV_Calculation[[#This Row],[Freight Type]:[Freight Type]],
         tbl_EF_Cars[[Vehicle Type]:[Vehicle Type]], tbl_HGV_Calculation[[#This Row],[HGV ]:[HGV ]]),
"")</f>
      </c>
      <c r="I44" s="17" cm="1">
        <f t="array" ref="I44">IF(tbl_HGV_Calculation[[#This Row],[Consumption]:[Consumption]] &gt; 0,
tbl_HGV_Calculation[[#This Row],[Consumption]:[Consumption]]
*
SUMIFS(tbl_EF_Cars[N2O kg CO2e/unit],
   tbl_EF_Cars[[Scope]:[Scope]], "1.02. Mobile Combustion",
      tbl_EF_Cars[[Fuel / Load]:[Fuel / Load]], tbl_HGV_Calculation[[#This Row],[Freight Type]:[Freight Type]],
         tbl_EF_Cars[[Vehicle Type]:[Vehicle Type]], tbl_HGV_Calculation[[#This Row],[HGV ]:[HGV ]]),
"")</f>
      </c>
      <c r="J44" s="17" cm="1">
        <f t="array" ref="J44">IF(tbl_HGV_Calculation[[#This Row],[Consumption]:[Consumption]] &gt; 0,
tbl_HGV_Calculation[[#This Row],[Consumption]:[Consumption]]
*
SUMIFS(tbl_EF_Cars[kg CO2e/unit],
   tbl_EF_Cars[[Scope]:[Scope]], "3.03. Fuel-and Energy-Related Emissions",
      tbl_EF_Cars[[Fuel / Load]:[Fuel / Load]], tbl_HGV_Calculation[[#This Row],[Freight Type]:[Freight Type]],
         tbl_EF_Cars[[Vehicle Type]:[Vehicle Type]], tbl_HGV_Calculation[[#This Row],[HGV ]]),
"")</f>
      </c>
      <c r="K44" s="10" t="s">
        <v>53</v>
      </c>
    </row>
    <row r="45" spans="1:11" customFormat="1" ht="20" customHeight="1" x14ac:dyDescent="0.35">
      <c r="A45" s="2"/>
      <c r="B45" s="15" t="s">
        <v>1309</v>
      </c>
      <c r="C45" s="59" t="s">
        <v>80</v>
      </c>
      <c r="D45" s="14" t="s">
        <v>72</v>
      </c>
      <c r="E45" s="15">
        <f>INDEX(tbl_1.02._HGV_Inputs[Consumption], MATCH(tbl_HGV_Calculation[[#This Row],[HGV ]], tbl_1.02._HGV_Inputs[Vehicle], 0))</f>
        <v>0</v>
      </c>
      <c r="F45" s="17" cm="1">
        <f t="array" ref="F45">IF(tbl_HGV_Calculation[[#This Row],[Consumption]:[Consumption]] &gt; 0,
tbl_HGV_Calculation[[#This Row],[Consumption]:[Consumption]]
*
SUMIFS(tbl_EF_Cars[kg CO2e/unit],
   tbl_EF_Cars[[Scope]:[Scope]], "1.02. Mobile Combustion",
      tbl_EF_Cars[[Fuel / Load]:[Fuel / Load]], tbl_HGV_Calculation[[#This Row],[Freight Type]:[Freight Type]],
         tbl_EF_Cars[[Vehicle Type]:[Vehicle Type]], tbl_HGV_Calculation[[#This Row],[HGV ]:[HGV ]]),
"")</f>
      </c>
      <c r="G45" s="17" cm="1">
        <f t="array" ref="G45">IF(tbl_HGV_Calculation[[#This Row],[Consumption]:[Consumption]] &gt; 0,
tbl_HGV_Calculation[[#This Row],[Consumption]:[Consumption]]
*
SUMIFS(tbl_EF_Cars[CO2 kg CO2e/unit],
   tbl_EF_Cars[[Scope]:[Scope]], "1.02. Mobile Combustion",
      tbl_EF_Cars[[Fuel / Load]:[Fuel / Load]], tbl_HGV_Calculation[[#This Row],[Freight Type]:[Freight Type]],
         tbl_EF_Cars[[Vehicle Type]:[Vehicle Type]], tbl_HGV_Calculation[[#This Row],[HGV ]:[HGV ]]),
"")</f>
      </c>
      <c r="H45" s="17" cm="1">
        <f t="array" ref="H45">IF(tbl_HGV_Calculation[[#This Row],[Consumption]:[Consumption]] &gt; 0,
tbl_HGV_Calculation[[#This Row],[Consumption]:[Consumption]]
*
SUMIFS(tbl_EF_Cars[CH4 kg CO2e/unit],
   tbl_EF_Cars[[Scope]:[Scope]], "1.02. Mobile Combustion",
      tbl_EF_Cars[[Fuel / Load]:[Fuel / Load]], tbl_HGV_Calculation[[#This Row],[Freight Type]:[Freight Type]],
         tbl_EF_Cars[[Vehicle Type]:[Vehicle Type]], tbl_HGV_Calculation[[#This Row],[HGV ]:[HGV ]]),
"")</f>
      </c>
      <c r="I45" s="17" cm="1">
        <f t="array" ref="I45">IF(tbl_HGV_Calculation[[#This Row],[Consumption]:[Consumption]] &gt; 0,
tbl_HGV_Calculation[[#This Row],[Consumption]:[Consumption]]
*
SUMIFS(tbl_EF_Cars[N2O kg CO2e/unit],
   tbl_EF_Cars[[Scope]:[Scope]], "1.02. Mobile Combustion",
      tbl_EF_Cars[[Fuel / Load]:[Fuel / Load]], tbl_HGV_Calculation[[#This Row],[Freight Type]:[Freight Type]],
         tbl_EF_Cars[[Vehicle Type]:[Vehicle Type]], tbl_HGV_Calculation[[#This Row],[HGV ]:[HGV ]]),
"")</f>
      </c>
      <c r="J45" s="17" cm="1">
        <f t="array" ref="J45">IF(tbl_HGV_Calculation[[#This Row],[Consumption]:[Consumption]] &gt; 0,
tbl_HGV_Calculation[[#This Row],[Consumption]:[Consumption]]
*
SUMIFS(tbl_EF_Cars[kg CO2e/unit],
   tbl_EF_Cars[[Scope]:[Scope]], "3.03. Fuel-and Energy-Related Emissions",
      tbl_EF_Cars[[Fuel / Load]:[Fuel / Load]], tbl_HGV_Calculation[[#This Row],[Freight Type]:[Freight Type]],
         tbl_EF_Cars[[Vehicle Type]:[Vehicle Type]], tbl_HGV_Calculation[[#This Row],[HGV ]]),
"")</f>
      </c>
      <c r="K45" s="10" t="s">
        <v>53</v>
      </c>
    </row>
    <row r="46" spans="1:11" customFormat="1" ht="20" customHeight="1" x14ac:dyDescent="0.35">
      <c r="A46" s="2"/>
      <c r="B46" s="15" t="s">
        <v>235</v>
      </c>
      <c r="C46" s="59" t="s">
        <v>80</v>
      </c>
      <c r="D46" s="14" t="s">
        <v>72</v>
      </c>
      <c r="E46" s="15">
        <f>INDEX(tbl_1.02._HGV_Inputs[Consumption], MATCH(tbl_HGV_Calculation[[#This Row],[HGV ]], tbl_1.02._HGV_Inputs[Vehicle], 0))</f>
        <v>0</v>
      </c>
      <c r="F46" s="17" cm="1">
        <f t="array" ref="F46">IF(tbl_HGV_Calculation[[#This Row],[Consumption]:[Consumption]] &gt; 0,
tbl_HGV_Calculation[[#This Row],[Consumption]:[Consumption]]
*
SUMIFS(tbl_EF_Cars[kg CO2e/unit],
   tbl_EF_Cars[[Scope]:[Scope]], "1.02. Mobile Combustion",
      tbl_EF_Cars[[Fuel / Load]:[Fuel / Load]], tbl_HGV_Calculation[[#This Row],[Freight Type]:[Freight Type]],
         tbl_EF_Cars[[Vehicle Type]:[Vehicle Type]], tbl_HGV_Calculation[[#This Row],[HGV ]:[HGV ]]),
"")</f>
      </c>
      <c r="G46" s="17" cm="1">
        <f t="array" ref="G46">IF(tbl_HGV_Calculation[[#This Row],[Consumption]:[Consumption]] &gt; 0,
tbl_HGV_Calculation[[#This Row],[Consumption]:[Consumption]]
*
SUMIFS(tbl_EF_Cars[CO2 kg CO2e/unit],
   tbl_EF_Cars[[Scope]:[Scope]], "1.02. Mobile Combustion",
      tbl_EF_Cars[[Fuel / Load]:[Fuel / Load]], tbl_HGV_Calculation[[#This Row],[Freight Type]:[Freight Type]],
         tbl_EF_Cars[[Vehicle Type]:[Vehicle Type]], tbl_HGV_Calculation[[#This Row],[HGV ]:[HGV ]]),
"")</f>
      </c>
      <c r="H46" s="17" cm="1">
        <f t="array" ref="H46">IF(tbl_HGV_Calculation[[#This Row],[Consumption]:[Consumption]] &gt; 0,
tbl_HGV_Calculation[[#This Row],[Consumption]:[Consumption]]
*
SUMIFS(tbl_EF_Cars[CH4 kg CO2e/unit],
   tbl_EF_Cars[[Scope]:[Scope]], "1.02. Mobile Combustion",
      tbl_EF_Cars[[Fuel / Load]:[Fuel / Load]], tbl_HGV_Calculation[[#This Row],[Freight Type]:[Freight Type]],
         tbl_EF_Cars[[Vehicle Type]:[Vehicle Type]], tbl_HGV_Calculation[[#This Row],[HGV ]:[HGV ]]),
"")</f>
      </c>
      <c r="I46" s="17" cm="1">
        <f t="array" ref="I46">IF(tbl_HGV_Calculation[[#This Row],[Consumption]:[Consumption]] &gt; 0,
tbl_HGV_Calculation[[#This Row],[Consumption]:[Consumption]]
*
SUMIFS(tbl_EF_Cars[N2O kg CO2e/unit],
   tbl_EF_Cars[[Scope]:[Scope]], "1.02. Mobile Combustion",
      tbl_EF_Cars[[Fuel / Load]:[Fuel / Load]], tbl_HGV_Calculation[[#This Row],[Freight Type]:[Freight Type]],
         tbl_EF_Cars[[Vehicle Type]:[Vehicle Type]], tbl_HGV_Calculation[[#This Row],[HGV ]:[HGV ]]),
"")</f>
      </c>
      <c r="J46" s="17" cm="1">
        <f t="array" ref="J46">IF(tbl_HGV_Calculation[[#This Row],[Consumption]:[Consumption]] &gt; 0,
tbl_HGV_Calculation[[#This Row],[Consumption]:[Consumption]]
*
SUMIFS(tbl_EF_Cars[kg CO2e/unit],
   tbl_EF_Cars[[Scope]:[Scope]], "3.03. Fuel-and Energy-Related Emissions",
      tbl_EF_Cars[[Fuel / Load]:[Fuel / Load]], tbl_HGV_Calculation[[#This Row],[Freight Type]:[Freight Type]],
         tbl_EF_Cars[[Vehicle Type]:[Vehicle Type]], tbl_HGV_Calculation[[#This Row],[HGV ]]),
"")</f>
      </c>
      <c r="K46" s="10" t="s">
        <v>53</v>
      </c>
    </row>
    <row r="47" spans="1:11" customFormat="1" ht="20" customHeight="1" x14ac:dyDescent="0.35">
      <c r="A47" s="2"/>
      <c r="B47" s="15" t="s">
        <v>236</v>
      </c>
      <c r="C47" s="59" t="s">
        <v>80</v>
      </c>
      <c r="D47" s="14" t="s">
        <v>72</v>
      </c>
      <c r="E47" s="15">
        <f>INDEX(tbl_1.02._HGV_Inputs[Consumption], MATCH(tbl_HGV_Calculation[[#This Row],[HGV ]], tbl_1.02._HGV_Inputs[Vehicle], 0))</f>
        <v>0</v>
      </c>
      <c r="F47" s="17" cm="1">
        <f t="array" ref="F47">IF(tbl_HGV_Calculation[[#This Row],[Consumption]:[Consumption]] &gt; 0,
tbl_HGV_Calculation[[#This Row],[Consumption]:[Consumption]]
*
SUMIFS(tbl_EF_Cars[kg CO2e/unit],
   tbl_EF_Cars[[Scope]:[Scope]], "1.02. Mobile Combustion",
      tbl_EF_Cars[[Fuel / Load]:[Fuel / Load]], tbl_HGV_Calculation[[#This Row],[Freight Type]:[Freight Type]],
         tbl_EF_Cars[[Vehicle Type]:[Vehicle Type]], tbl_HGV_Calculation[[#This Row],[HGV ]:[HGV ]]),
"")</f>
      </c>
      <c r="G47" s="17" cm="1">
        <f t="array" ref="G47">IF(tbl_HGV_Calculation[[#This Row],[Consumption]:[Consumption]] &gt; 0,
tbl_HGV_Calculation[[#This Row],[Consumption]:[Consumption]]
*
SUMIFS(tbl_EF_Cars[CO2 kg CO2e/unit],
   tbl_EF_Cars[[Scope]:[Scope]], "1.02. Mobile Combustion",
      tbl_EF_Cars[[Fuel / Load]:[Fuel / Load]], tbl_HGV_Calculation[[#This Row],[Freight Type]:[Freight Type]],
         tbl_EF_Cars[[Vehicle Type]:[Vehicle Type]], tbl_HGV_Calculation[[#This Row],[HGV ]:[HGV ]]),
"")</f>
      </c>
      <c r="H47" s="17" cm="1">
        <f t="array" ref="H47">IF(tbl_HGV_Calculation[[#This Row],[Consumption]:[Consumption]] &gt; 0,
tbl_HGV_Calculation[[#This Row],[Consumption]:[Consumption]]
*
SUMIFS(tbl_EF_Cars[CH4 kg CO2e/unit],
   tbl_EF_Cars[[Scope]:[Scope]], "1.02. Mobile Combustion",
      tbl_EF_Cars[[Fuel / Load]:[Fuel / Load]], tbl_HGV_Calculation[[#This Row],[Freight Type]:[Freight Type]],
         tbl_EF_Cars[[Vehicle Type]:[Vehicle Type]], tbl_HGV_Calculation[[#This Row],[HGV ]:[HGV ]]),
"")</f>
      </c>
      <c r="I47" s="17" cm="1">
        <f t="array" ref="I47">IF(tbl_HGV_Calculation[[#This Row],[Consumption]:[Consumption]] &gt; 0,
tbl_HGV_Calculation[[#This Row],[Consumption]:[Consumption]]
*
SUMIFS(tbl_EF_Cars[N2O kg CO2e/unit],
   tbl_EF_Cars[[Scope]:[Scope]], "1.02. Mobile Combustion",
      tbl_EF_Cars[[Fuel / Load]:[Fuel / Load]], tbl_HGV_Calculation[[#This Row],[Freight Type]:[Freight Type]],
         tbl_EF_Cars[[Vehicle Type]:[Vehicle Type]], tbl_HGV_Calculation[[#This Row],[HGV ]:[HGV ]]),
"")</f>
      </c>
      <c r="J47" s="17" cm="1">
        <f t="array" ref="J47">IF(tbl_HGV_Calculation[[#This Row],[Consumption]:[Consumption]] &gt; 0,
tbl_HGV_Calculation[[#This Row],[Consumption]:[Consumption]]
*
SUMIFS(tbl_EF_Cars[kg CO2e/unit],
   tbl_EF_Cars[[Scope]:[Scope]], "3.03. Fuel-and Energy-Related Emissions",
      tbl_EF_Cars[[Fuel / Load]:[Fuel / Load]], tbl_HGV_Calculation[[#This Row],[Freight Type]:[Freight Type]],
         tbl_EF_Cars[[Vehicle Type]:[Vehicle Type]], tbl_HGV_Calculation[[#This Row],[HGV ]]),
"")</f>
      </c>
      <c r="K47" s="10" t="s">
        <v>53</v>
      </c>
    </row>
    <row r="48" spans="1:11" customFormat="1" ht="20" customHeight="1" x14ac:dyDescent="0.35">
      <c r="A48" s="2"/>
      <c r="B48" s="15" t="s">
        <v>237</v>
      </c>
      <c r="C48" s="59" t="s">
        <v>80</v>
      </c>
      <c r="D48" s="14" t="s">
        <v>72</v>
      </c>
      <c r="E48" s="15">
        <f>INDEX(tbl_1.02._HGV_Inputs[Consumption], MATCH(tbl_HGV_Calculation[[#This Row],[HGV ]], tbl_1.02._HGV_Inputs[Vehicle], 0))</f>
        <v>0</v>
      </c>
      <c r="F48" s="17" cm="1">
        <f t="array" ref="F48">IF(tbl_HGV_Calculation[[#This Row],[Consumption]:[Consumption]] &gt; 0,
tbl_HGV_Calculation[[#This Row],[Consumption]:[Consumption]]
*
SUMIFS(tbl_EF_Cars[kg CO2e/unit],
   tbl_EF_Cars[[Scope]:[Scope]], "1.02. Mobile Combustion",
      tbl_EF_Cars[[Fuel / Load]:[Fuel / Load]], tbl_HGV_Calculation[[#This Row],[Freight Type]:[Freight Type]],
         tbl_EF_Cars[[Vehicle Type]:[Vehicle Type]], tbl_HGV_Calculation[[#This Row],[HGV ]:[HGV ]]),
"")</f>
      </c>
      <c r="G48" s="17" cm="1">
        <f t="array" ref="G48">IF(tbl_HGV_Calculation[[#This Row],[Consumption]:[Consumption]] &gt; 0,
tbl_HGV_Calculation[[#This Row],[Consumption]:[Consumption]]
*
SUMIFS(tbl_EF_Cars[CO2 kg CO2e/unit],
   tbl_EF_Cars[[Scope]:[Scope]], "1.02. Mobile Combustion",
      tbl_EF_Cars[[Fuel / Load]:[Fuel / Load]], tbl_HGV_Calculation[[#This Row],[Freight Type]:[Freight Type]],
         tbl_EF_Cars[[Vehicle Type]:[Vehicle Type]], tbl_HGV_Calculation[[#This Row],[HGV ]:[HGV ]]),
"")</f>
      </c>
      <c r="H48" s="17" cm="1">
        <f t="array" ref="H48">IF(tbl_HGV_Calculation[[#This Row],[Consumption]:[Consumption]] &gt; 0,
tbl_HGV_Calculation[[#This Row],[Consumption]:[Consumption]]
*
SUMIFS(tbl_EF_Cars[CH4 kg CO2e/unit],
   tbl_EF_Cars[[Scope]:[Scope]], "1.02. Mobile Combustion",
      tbl_EF_Cars[[Fuel / Load]:[Fuel / Load]], tbl_HGV_Calculation[[#This Row],[Freight Type]:[Freight Type]],
         tbl_EF_Cars[[Vehicle Type]:[Vehicle Type]], tbl_HGV_Calculation[[#This Row],[HGV ]:[HGV ]]),
"")</f>
      </c>
      <c r="I48" s="17" cm="1">
        <f t="array" ref="I48">IF(tbl_HGV_Calculation[[#This Row],[Consumption]:[Consumption]] &gt; 0,
tbl_HGV_Calculation[[#This Row],[Consumption]:[Consumption]]
*
SUMIFS(tbl_EF_Cars[N2O kg CO2e/unit],
   tbl_EF_Cars[[Scope]:[Scope]], "1.02. Mobile Combustion",
      tbl_EF_Cars[[Fuel / Load]:[Fuel / Load]], tbl_HGV_Calculation[[#This Row],[Freight Type]:[Freight Type]],
         tbl_EF_Cars[[Vehicle Type]:[Vehicle Type]], tbl_HGV_Calculation[[#This Row],[HGV ]:[HGV ]]),
"")</f>
      </c>
      <c r="J48" s="17" cm="1">
        <f t="array" ref="J48">IF(tbl_HGV_Calculation[[#This Row],[Consumption]:[Consumption]] &gt; 0,
tbl_HGV_Calculation[[#This Row],[Consumption]:[Consumption]]
*
SUMIFS(tbl_EF_Cars[kg CO2e/unit],
   tbl_EF_Cars[[Scope]:[Scope]], "3.03. Fuel-and Energy-Related Emissions",
      tbl_EF_Cars[[Fuel / Load]:[Fuel / Load]], tbl_HGV_Calculation[[#This Row],[Freight Type]:[Freight Type]],
         tbl_EF_Cars[[Vehicle Type]:[Vehicle Type]], tbl_HGV_Calculation[[#This Row],[HGV ]]),
"")</f>
      </c>
      <c r="K48" s="10" t="s">
        <v>53</v>
      </c>
    </row>
    <row r="49" spans="1:6" customFormat="1" ht="20" customHeight="1" x14ac:dyDescent="0.35">
      <c r="A49" s="2"/>
    </row>
    <row r="50" spans="1:6" s="42" customFormat="1" ht="15" thickBot="1" x14ac:dyDescent="0.4"/>
    <row r="51" spans="1:6" ht="15" thickTop="1" x14ac:dyDescent="0.35"/>
    <row r="52" spans="1:6" x14ac:dyDescent="0.35">
      <c r="B52" s="7" t="s">
        <v>85</v>
      </c>
      <c r="C52" s="7" t="s">
        <v>245</v>
      </c>
    </row>
    <row r="53" spans="1:6" ht="5" customHeight="1" x14ac:dyDescent="0.35"/>
    <row r="54" spans="1:6" x14ac:dyDescent="0.35">
      <c r="B54" s="11" t="s">
        <v>63</v>
      </c>
      <c r="C54" s="45">
        <f>SUM(Table8[Emissions 1.04. (kg CO2e)])</f>
        <v>0</v>
      </c>
    </row>
    <row r="56" spans="1:6" ht="25" customHeight="1" x14ac:dyDescent="0.35">
      <c r="B56" s="20" t="s">
        <v>87</v>
      </c>
      <c r="C56" s="20" t="s">
        <v>40</v>
      </c>
      <c r="D56" s="20" t="s">
        <v>23</v>
      </c>
      <c r="E56" s="20" t="s">
        <v>1264</v>
      </c>
      <c r="F56" s="21" t="s">
        <v>38</v>
      </c>
    </row>
    <row r="57" spans="1:6" ht="20" customHeight="1" x14ac:dyDescent="0.35">
      <c r="B57" s="9" t="s">
        <v>98</v>
      </c>
      <c r="C57" s="15" t="s">
        <v>90</v>
      </c>
      <c r="D57" s="15">
        <f>INDEX(tbl_1.04._Inputs[Consumption], MATCH(Table8[[#This Row],[Cooling Liquid]], tbl_1.04._Inputs[Coolant], 0))</f>
        <v>0</v>
      </c>
      <c r="E57" s="17">
        <f>IF(Table8[[#This Row],[Consumption]] &gt; 0, Table8[[#This Row],[Consumption]] * SUMIFS(tbl_EF_1.04.[kg CO2e/Unit], tbl_EF_1.04.[Cooling Liquid], Table8[[#This Row],[Cooling Liquid]]), "")</f>
      </c>
      <c r="F57" s="10" t="s">
        <v>53</v>
      </c>
    </row>
    <row r="58" spans="1:6" ht="20" customHeight="1" x14ac:dyDescent="0.35">
      <c r="B58" s="9" t="s">
        <v>142</v>
      </c>
      <c r="C58" s="9" t="s">
        <v>90</v>
      </c>
      <c r="D58" s="15">
        <f>INDEX(tbl_1.04._Inputs[Consumption], MATCH(Table8[[#This Row],[Cooling Liquid]], tbl_1.04._Inputs[Coolant], 0))</f>
        <v>0</v>
      </c>
      <c r="E58" s="17">
        <f>IF(Table8[[#This Row],[Consumption]] &gt; 0, Table8[[#This Row],[Consumption]] * SUMIFS(tbl_EF_1.04.[kg CO2e/Unit], tbl_EF_1.04.[Cooling Liquid], Table8[[#This Row],[Cooling Liquid]]), "")</f>
      </c>
      <c r="F58" s="10" t="s">
        <v>53</v>
      </c>
    </row>
    <row r="59" spans="1:6" ht="20" customHeight="1" x14ac:dyDescent="0.35">
      <c r="B59" s="9" t="s">
        <v>130</v>
      </c>
      <c r="C59" s="9" t="s">
        <v>90</v>
      </c>
      <c r="D59" s="15">
        <f>INDEX(tbl_1.04._Inputs[Consumption], MATCH(Table8[[#This Row],[Cooling Liquid]], tbl_1.04._Inputs[Coolant], 0))</f>
        <v>0</v>
      </c>
      <c r="E59" s="17">
        <f>IF(Table8[[#This Row],[Consumption]] &gt; 0, Table8[[#This Row],[Consumption]] * SUMIFS(tbl_EF_1.04.[kg CO2e/Unit], tbl_EF_1.04.[Cooling Liquid], Table8[[#This Row],[Cooling Liquid]]), "")</f>
      </c>
      <c r="F59" s="10" t="s">
        <v>53</v>
      </c>
    </row>
    <row r="60" spans="1:6" ht="20" customHeight="1" x14ac:dyDescent="0.35">
      <c r="B60" s="9" t="s">
        <v>219</v>
      </c>
      <c r="C60" s="9" t="s">
        <v>90</v>
      </c>
      <c r="D60" s="15">
        <f>INDEX(tbl_1.04._Inputs[Consumption], MATCH(Table8[[#This Row],[Cooling Liquid]], tbl_1.04._Inputs[Coolant], 0))</f>
        <v>0</v>
      </c>
      <c r="E60" s="17">
        <f>IF(Table8[[#This Row],[Consumption]] &gt; 0, Table8[[#This Row],[Consumption]] * SUMIFS(tbl_EF_1.04.[kg CO2e/Unit], tbl_EF_1.04.[Cooling Liquid], Table8[[#This Row],[Cooling Liquid]]), "")</f>
      </c>
      <c r="F60" s="10" t="s">
        <v>53</v>
      </c>
    </row>
    <row r="61" spans="1:6" ht="20" customHeight="1" x14ac:dyDescent="0.35">
      <c r="B61" s="9" t="s">
        <v>94</v>
      </c>
      <c r="C61" s="9" t="s">
        <v>90</v>
      </c>
      <c r="D61" s="15">
        <f>INDEX(tbl_1.04._Inputs[Consumption], MATCH(Table8[[#This Row],[Cooling Liquid]], tbl_1.04._Inputs[Coolant], 0))</f>
        <v>0</v>
      </c>
      <c r="E61" s="17">
        <f>IF(Table8[[#This Row],[Consumption]] &gt; 0, Table8[[#This Row],[Consumption]] * SUMIFS(tbl_EF_1.04.[kg CO2e/Unit], tbl_EF_1.04.[Cooling Liquid], Table8[[#This Row],[Cooling Liquid]]), "")</f>
      </c>
      <c r="F61" s="10" t="s">
        <v>53</v>
      </c>
    </row>
    <row r="62" spans="1:6" ht="20" customHeight="1" x14ac:dyDescent="0.35">
      <c r="B62" s="9" t="s">
        <v>135</v>
      </c>
      <c r="C62" s="9" t="s">
        <v>90</v>
      </c>
      <c r="D62" s="15">
        <f>INDEX(tbl_1.04._Inputs[Consumption], MATCH(Table8[[#This Row],[Cooling Liquid]], tbl_1.04._Inputs[Coolant], 0))</f>
        <v>0</v>
      </c>
      <c r="E62" s="17">
        <f>IF(Table8[[#This Row],[Consumption]] &gt; 0, Table8[[#This Row],[Consumption]] * SUMIFS(tbl_EF_1.04.[kg CO2e/Unit], tbl_EF_1.04.[Cooling Liquid], Table8[[#This Row],[Cooling Liquid]]), "")</f>
      </c>
      <c r="F62" s="10" t="s">
        <v>53</v>
      </c>
    </row>
    <row r="63" spans="1:6" ht="20" customHeight="1" x14ac:dyDescent="0.35">
      <c r="B63" s="9" t="s">
        <v>200</v>
      </c>
      <c r="C63" s="9" t="s">
        <v>90</v>
      </c>
      <c r="D63" s="15">
        <f>INDEX(tbl_1.04._Inputs[Consumption], MATCH(Table8[[#This Row],[Cooling Liquid]], tbl_1.04._Inputs[Coolant], 0))</f>
        <v>0</v>
      </c>
      <c r="E63" s="17">
        <f>IF(Table8[[#This Row],[Consumption]] &gt; 0, Table8[[#This Row],[Consumption]] * SUMIFS(tbl_EF_1.04.[kg CO2e/Unit], tbl_EF_1.04.[Cooling Liquid], Table8[[#This Row],[Cooling Liquid]]), "")</f>
      </c>
      <c r="F63" s="10" t="s">
        <v>53</v>
      </c>
    </row>
    <row r="64" spans="1:6" ht="20" customHeight="1" x14ac:dyDescent="0.35">
      <c r="B64" s="9" t="s">
        <v>220</v>
      </c>
      <c r="C64" s="9" t="s">
        <v>90</v>
      </c>
      <c r="D64" s="15">
        <f>INDEX(tbl_1.04._Inputs[Consumption], MATCH(Table8[[#This Row],[Cooling Liquid]], tbl_1.04._Inputs[Coolant], 0))</f>
        <v>0</v>
      </c>
      <c r="E64" s="17">
        <f>IF(Table8[[#This Row],[Consumption]] &gt; 0, Table8[[#This Row],[Consumption]] * SUMIFS(tbl_EF_1.04.[kg CO2e/Unit], tbl_EF_1.04.[Cooling Liquid], Table8[[#This Row],[Cooling Liquid]]), "")</f>
      </c>
      <c r="F64" s="10" t="s">
        <v>53</v>
      </c>
    </row>
    <row r="65" spans="2:6" ht="20" customHeight="1" x14ac:dyDescent="0.35">
      <c r="B65" s="9" t="s">
        <v>1312</v>
      </c>
      <c r="C65" s="9" t="s">
        <v>90</v>
      </c>
      <c r="D65" s="15">
        <f>INDEX(tbl_1.04._Inputs[Consumption], MATCH(Table8[[#This Row],[Cooling Liquid]], tbl_1.04._Inputs[Coolant], 0))</f>
        <v>0</v>
      </c>
      <c r="E65" s="17">
        <f>IF(Table8[[#This Row],[Consumption]] &gt; 0, Table8[[#This Row],[Consumption]] * SUMIFS(tbl_EF_1.04.[kg CO2e/Unit], tbl_EF_1.04.[Cooling Liquid], Table8[[#This Row],[Cooling Liquid]]), "")</f>
      </c>
      <c r="F65" s="10" t="s">
        <v>53</v>
      </c>
    </row>
    <row r="66" spans="2:6" ht="20" customHeight="1" x14ac:dyDescent="0.35">
      <c r="B66" s="23" t="s">
        <v>96</v>
      </c>
      <c r="C66" s="55" t="s">
        <v>90</v>
      </c>
      <c r="D66" s="23">
        <f>INDEX(tbl_1.04._Inputs[Consumption], MATCH(Table8[[#This Row],[Cooling Liquid]], tbl_1.04._Inputs[Coolant], 0))</f>
        <v>0</v>
      </c>
      <c r="E66" s="36">
        <f>IF(Table8[[#This Row],[Consumption]] &gt; 0, Table8[[#This Row],[Consumption]] * SUMIFS(tbl_EF_1.04.[kg CO2e/Unit], tbl_EF_1.04.[Cooling Liquid], Table8[[#This Row],[Cooling Liquid]]), "")</f>
      </c>
      <c r="F66" s="26" t="s">
        <v>53</v>
      </c>
    </row>
  </sheetData>
  <phoneticPr fontId="22" type="noConversion"/>
  <pageMargins left="0.7" right="0.7" top="0.75" bottom="0.75" header="0.3" footer="0.3"/>
  <tableParts count="5">
    <tablePart r:id="rId1"/>
    <tablePart r:id="rId2"/>
    <tablePart r:id="rId3"/>
    <tablePart r:id="rId4"/>
    <tablePart r:id="rId5"/>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9AEF5-0886-4B4F-8B44-BD4F59AD1C02}">
  <sheetPr>
    <tabColor rgb="FFE7EEEE"/>
  </sheetPr>
  <dimension ref="A1:AJ35"/>
  <sheetViews>
    <sheetView showGridLines="0" zoomScale="80" zoomScaleNormal="80" workbookViewId="0">
      <selection activeCell="F13" sqref="F13"/>
    </sheetView>
  </sheetViews>
  <sheetFormatPr defaultRowHeight="14.5" x14ac:dyDescent="0.35"/>
  <cols>
    <col min="1" max="1" width="2.6328125" style="2" customWidth="1"/>
    <col min="2" max="14" width="30.6328125" style="2" customWidth="1"/>
    <col min="15" max="15" width="36" style="2" bestFit="1" customWidth="1"/>
    <col min="16" max="19" width="30.6328125" style="2" customWidth="1"/>
    <col min="20" max="20" width="35.7265625" style="2" bestFit="1" customWidth="1"/>
    <col min="21" max="21" width="35" style="2" bestFit="1" customWidth="1"/>
    <col min="22" max="22" width="36.26953125" style="2" bestFit="1" customWidth="1"/>
    <col min="23" max="25" width="30.6328125" style="2" customWidth="1"/>
    <col min="26" max="26" width="36" style="2" bestFit="1" customWidth="1"/>
    <col min="27" max="31" width="30.6328125" style="2" customWidth="1"/>
    <col min="32" max="32" width="35.453125" style="2" bestFit="1" customWidth="1"/>
    <col min="33" max="33" width="36.81640625" style="2" bestFit="1" customWidth="1"/>
    <col min="34" max="34" width="33.7265625" style="2" bestFit="1" customWidth="1"/>
    <col min="35" max="16384" width="8.7265625" style="2"/>
  </cols>
  <sheetData>
    <row r="1" spans="2:36" s="1" customFormat="1" x14ac:dyDescent="0.35">
      <c r="B1" s="147" t="str">
        <f>const_Company_Name &amp; " Corporate Carbon Footprint Calculation"</f>
        <v>[Ihr Unternehmen] Corporate Carbon Footprint Calculation</v>
      </c>
    </row>
    <row r="2" spans="2:36" s="1" customFormat="1" x14ac:dyDescent="0.35">
      <c r="B2" s="147" t="str">
        <f>"01/01/" &amp; const_Reporting_Year &amp; " - 31/12/" &amp; const_Reporting_Year</f>
        <v>01/01/2025 - 31/12/2025</v>
      </c>
    </row>
    <row r="4" spans="2:36" x14ac:dyDescent="0.35">
      <c r="B4" s="7" t="s">
        <v>825</v>
      </c>
      <c r="C4" s="7"/>
      <c r="D4" s="7" t="s">
        <v>826</v>
      </c>
      <c r="E4" s="7"/>
      <c r="F4" s="67"/>
      <c r="G4" s="67"/>
      <c r="H4" s="67"/>
      <c r="I4" s="67"/>
      <c r="J4" s="67"/>
      <c r="K4" s="67"/>
      <c r="L4" s="67"/>
      <c r="M4" s="67"/>
      <c r="N4" s="67"/>
      <c r="O4" s="67"/>
      <c r="P4" s="67"/>
      <c r="Q4" s="67"/>
      <c r="R4" s="67"/>
      <c r="S4" s="67"/>
      <c r="T4" s="67"/>
      <c r="U4" s="67"/>
      <c r="V4" s="67"/>
    </row>
    <row r="5" spans="2:36" ht="5" customHeight="1" x14ac:dyDescent="0.35">
      <c r="B5" s="4"/>
      <c r="C5" s="4"/>
      <c r="D5" s="4"/>
      <c r="E5" s="4"/>
    </row>
    <row r="6" x14ac:dyDescent="0.35">
      <c r="B6" s="11" t="s">
        <v>1012</v>
      </c>
      <c r="C6" s="45">
        <f>SUM(tbl_Electricity_Calculation[kg CO2e LB])</f>
        <v>0</v>
      </c>
      <c r="D6" s="11" t="s">
        <v>1012</v>
      </c>
      <c r="E6" s="45">
        <f>SUM(tbl_Electricity_Calculation[kg CO2e 3.03.])</f>
        <v>0</v>
      </c>
      <c r="F6" s="11" t="inlineStr">
        <is>
          <t xml:space="preserve">Final Emissions MB kg CO2e</t>
        </is>
      </c>
      <c r="G6" s="45">
        <f>SUM(W9:W18)</f>
        <v>0</v>
      </c>
    </row>
    <row r="7" spans="2:36" x14ac:dyDescent="0.35">
      <c r="L7"/>
      <c r="M7"/>
      <c r="N7"/>
      <c r="P7"/>
      <c r="Q7"/>
      <c r="R7"/>
      <c r="S7"/>
      <c r="T7"/>
      <c r="U7"/>
      <c r="V7"/>
      <c r="W7"/>
      <c r="X7"/>
      <c r="Y7"/>
      <c r="Z7"/>
      <c r="AA7"/>
      <c r="AB7"/>
      <c r="AC7"/>
      <c r="AD7"/>
      <c r="AE7"/>
      <c r="AF7"/>
      <c r="AG7"/>
      <c r="AH7"/>
      <c r="AI7"/>
      <c r="AJ7"/>
    </row>
    <row r="8" ht="30" customHeight="1" x14ac:dyDescent="0.35">
      <c r="B8" s="19" t="s">
        <v>808</v>
      </c>
      <c r="C8" s="20" t="s">
        <v>810</v>
      </c>
      <c r="D8" s="20" t="s">
        <v>255</v>
      </c>
      <c r="E8" s="64" t="s">
        <v>841</v>
      </c>
      <c r="F8" s="64" t="s">
        <v>842</v>
      </c>
      <c r="G8" s="64" t="s">
        <v>843</v>
      </c>
      <c r="H8" s="20" t="s">
        <v>827</v>
      </c>
      <c r="I8" s="20" t="s">
        <v>823</v>
      </c>
      <c r="J8" s="20" t="s">
        <v>829</v>
      </c>
      <c r="K8" s="20" t="s">
        <v>830</v>
      </c>
      <c r="L8" s="20" t="s">
        <v>1323</v>
      </c>
      <c r="M8" s="20" t="s">
        <v>832</v>
      </c>
      <c r="N8" s="20" t="s">
        <v>833</v>
      </c>
      <c r="O8" s="20" t="s">
        <v>828</v>
      </c>
      <c r="P8" s="20" t="s">
        <v>834</v>
      </c>
      <c r="Q8" s="20" t="s">
        <v>835</v>
      </c>
      <c r="R8" s="20" t="s">
        <v>836</v>
      </c>
      <c r="S8" s="20" t="s">
        <v>837</v>
      </c>
      <c r="T8" s="20" t="s">
        <v>838</v>
      </c>
      <c r="U8" s="20" t="s">
        <v>839</v>
      </c>
      <c r="V8" s="21" t="s">
        <v>840</v>
      </c>
      <c r="W8" s="20" t="inlineStr">
        <is>
          <t xml:space="preserve">kg CO2e MB</t>
        </is>
      </c>
      <c r="X8" s="21" t="inlineStr">
        <is>
          <t xml:space="preserve">MB Method</t>
        </is>
      </c>
    </row>
    <row r="9" ht="20" customHeight="1" x14ac:dyDescent="0.35">
      <c r="B9" s="18" t="s">
        <v>811</v>
      </c>
      <c r="C9" s="15">
        <f>INDEX(tbl_Electricity_Input[Location Name], MATCH(tbl_Electricity_Calculation[[#This Row],[Location]], tbl_Electricity_Input[Location], 0))</f>
        <v>0</v>
      </c>
      <c r="D9" s="15">
        <f>INDEX(tbl_Electricity_Input[Country], MATCH(tbl_Electricity_Calculation[[#This Row],[Location]], tbl_Electricity_Input[Location], 0))</f>
        <v>0</v>
      </c>
      <c r="E9" s="15">
        <f>_xlfn.MAXIFS(tbl_IEA_EFs[Year], tbl_IEA_EFs[Country], tbl_Electricity_Calculation[[#This Row],[Country]], tbl_IEA_EFs[Category], "Direct Electricity")</f>
        <v>0</v>
      </c>
      <c r="F9" s="15">
        <f>_xlfn.MAXIFS(tbl_IEA_EFs[Year], tbl_IEA_EFs[Country], tbl_Electricity_Calculation[[#This Row],[Country]], tbl_IEA_EFs[Category], "Upstream Electricity")</f>
        <v>0</v>
      </c>
      <c r="G9" s="15">
        <f>_xlfn.MAXIFS(tbl_IEA_EFs[Year], tbl_IEA_EFs[Country], tbl_Electricity_Calculation[[#This Row],[Country]], tbl_IEA_EFs[Category], "Transmission &amp; Distribution Losses")</f>
        <v>0</v>
      </c>
      <c r="H9" s="15">
        <f>INDEX(tbl_Electricity_Input[Number of Consumption Days], MATCH(tbl_Electricity_Calculation[[#This Row],[Location]], tbl_Electricity_Input[Location], 0))</f>
        <v>0</v>
      </c>
      <c r="I9" s="116">
        <f>INDEX(tbl_Electricity_Input[Consumption (kWh)], MATCH(tbl_Electricity_Calculation[[#This Row],[Location]], tbl_Electricity_Input[Location], 0))</f>
        <v>0</v>
      </c>
      <c r="J9" s="17" cm="1">
        <f t="array" ref="J9">IFERROR(tbl_Electricity_Calculation[[#This Row],[Consumption (kWh)]:[Consumption (kWh)]]
*
INDEX(tbl_IEA_EFs[kg CO2e], MATCH(tbl_Electricity_Calculation[[#This Row],[Emission Factor ID LB]:[Emission Factor ID LB]], tbl_IEA_EFs[[ID]:[ID]], 0)), "")</f>
      </c>
      <c r="K9" s="17" cm="1">
        <f t="array" ref="K9">IFERROR(tbl_Electricity_Calculation[[#This Row],[Consumption (kWh)]:[Consumption (kWh)]]
*
INDEX(tbl_IEA_EFs[kg CO2e of CO2 per unit], MATCH(tbl_Electricity_Calculation[[#This Row],[Emission Factor ID LB]:[Emission Factor ID LB]], tbl_IEA_EFs[[ID]:[ID]], 0)), "")</f>
      </c>
      <c r="L9" s="17" cm="1">
        <f t="array" ref="L9">IFERROR(tbl_Electricity_Calculation[[#This Row],[Consumption (kWh)]:[Consumption (kWh)]]
*
INDEX(tbl_IEA_EFs[kg CO2e of CH4 per unit], MATCH(tbl_Electricity_Calculation[[#This Row],[Emission Factor ID LB]:[Emission Factor ID LB]], tbl_IEA_EFs[[ID]:[ID]], 0)), "")</f>
      </c>
      <c r="M9" s="17" cm="1">
        <f t="array" ref="M9">IFERROR(tbl_Electricity_Calculation[[#This Row],[Consumption (kWh)]:[Consumption (kWh)]]
*
INDEX(tbl_IEA_EFs[kg CO2e of N2O per unit], MATCH(tbl_Electricity_Calculation[[#This Row],[Emission Factor ID LB]:[Emission Factor ID LB]], tbl_IEA_EFs[[ID]:[ID]], 0)), "")</f>
      </c>
      <c r="N9" s="17" cm="1">
        <f t="array" ref="N9">IFERROR(tbl_Electricity_Calculation[[#This Row],[Consumption (kWh)]:[Consumption (kWh)]]
*
INDEX(tbl_IEA_EFs[kg CO2e of Unspecified per unit2], MATCH(tbl_Electricity_Calculation[[#This Row],[Emission Factor ID LB]:[Emission Factor ID LB]], tbl_IEA_EFs[[ID]:[ID]], 0)), "")</f>
      </c>
      <c r="O9" s="9" cm="1">
        <f t="array" ref="O9">IFERROR(INDEX(tbl_IEA_EFs[ID],
   MATCH(1, ("Direct Electricity" = tbl_IEA_EFs[Category])
*
      (tbl_Electricity_Calculation[[#This Row],[Last Year with Direct Electricity EF]] = tbl_IEA_EFs[Year])
*
         (tbl_Electricity_Calculation[[#This Row],[Country]] = tbl_IEA_EFs[Country]), 0)), "")</f>
      </c>
      <c r="P9" s="17" cm="1">
        <f t="array" ref="P9">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f>
      </c>
      <c r="Q9" s="17" cm="1">
        <f t="array" ref="Q9">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f>
      </c>
      <c r="R9" s="17" cm="1">
        <f t="array" ref="R9">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f>
      </c>
      <c r="S9" s="17" cm="1">
        <f t="array" ref="S9">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f>
      </c>
      <c r="T9" s="17" cm="1">
        <f t="array" ref="T9">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f>
      </c>
      <c r="U9" s="9" cm="1">
        <f t="array" ref="U9">IFERROR(INDEX(tbl_IEA_EFs[ID], MATCH(1, ("Upstream Electricity" = tbl_IEA_EFs[Category]) * (tbl_Electricity_Calculation[[#This Row],[Country]] = tbl_IEA_EFs[Country]) * (tbl_Electricity_Calculation[[#This Row],[Last Year with Upstream Electricity EF]] = tbl_IEA_EFs[Year]), 0)),"")</f>
      </c>
      <c r="V9" s="9" cm="1">
        <f t="array" ref="V9">IFERROR(INDEX(tbl_IEA_EFs[ID], MATCH(1, ("Transmission &amp; Distribution Losses" = tbl_IEA_EFs[Category]) * (tbl_Electricity_Calculation[[#This Row],[Country]] = tbl_IEA_EFs[Country]) * (tbl_Electricity_Calculation[[#This Row],[Last Year with T&amp;D EF]] = tbl_IEA_EFs[Year]), 0)),"")</f>
      </c>
      <c r="W9" s="52">
        <f>IFERROR(IF(N($I9)=0,0,IF(INDEX('Scope 2'!$H$13:$H$22,MATCH($B9,'Scope 2'!$B$13:$B$22,0))="Yes",0,IF(N(INDEX('Scope 2'!$I$13:$I$22,MATCH($B9,'Scope 2'!$B$13:$B$22,0)))&gt;0,$I9*N(INDEX('Scope 2'!$I$13:$I$22,MATCH($B9,'Scope 2'!$B$13:$B$22,0))),N($J9)))),0)</f>
        <v>0</v>
      </c>
      <c r="X9" s="15">
        <f>IFERROR(IF(N($I9)=0,"",IF(INDEX('Scope 2'!$H$13:$H$22,MATCH($B9,'Scope 2'!$B$13:$B$22,0))="Yes","Guarantees of origin: 0",IF(N(INDEX('Scope 2'!$I$13:$I$22,MATCH($B9,'Scope 2'!$B$13:$B$22,0)))&gt;0,"Supplier-specific factor","Fallback: grid average"))),"")</f>
      </c>
    </row>
    <row r="10" ht="20" customHeight="1" x14ac:dyDescent="0.35">
      <c r="B10" s="18" t="s">
        <v>812</v>
      </c>
      <c r="C10" s="15">
        <f>INDEX(tbl_Electricity_Input[Location Name], MATCH(tbl_Electricity_Calculation[[#This Row],[Location]], tbl_Electricity_Input[Location], 0))</f>
        <v>0</v>
      </c>
      <c r="D10" s="15">
        <f>INDEX(tbl_Electricity_Input[Country], MATCH(tbl_Electricity_Calculation[[#This Row],[Location]], tbl_Electricity_Input[Location], 0))</f>
        <v>0</v>
      </c>
      <c r="E10" s="15">
        <f>_xlfn.MAXIFS(tbl_IEA_EFs[Year], tbl_IEA_EFs[Country], tbl_Electricity_Calculation[[#This Row],[Country]], tbl_IEA_EFs[Category], "Direct Electricity")</f>
        <v>0</v>
      </c>
      <c r="F10" s="15">
        <f>_xlfn.MAXIFS(tbl_IEA_EFs[Year], tbl_IEA_EFs[Country], tbl_Electricity_Calculation[[#This Row],[Country]], tbl_IEA_EFs[Category], "Upstream Electricity")</f>
        <v>0</v>
      </c>
      <c r="G10" s="15">
        <f>_xlfn.MAXIFS(tbl_IEA_EFs[Year], tbl_IEA_EFs[Country], tbl_Electricity_Calculation[[#This Row],[Country]], tbl_IEA_EFs[Category], "Transmission &amp; Distribution Losses")</f>
        <v>0</v>
      </c>
      <c r="H10" s="15">
        <f>INDEX(tbl_Electricity_Input[Number of Consumption Days], MATCH(tbl_Electricity_Calculation[[#This Row],[Location]], tbl_Electricity_Input[Location], 0))</f>
        <v>0</v>
      </c>
      <c r="I10" s="15">
        <f>INDEX(tbl_Electricity_Input[Consumption (kWh)], MATCH(tbl_Electricity_Calculation[[#This Row],[Location]], tbl_Electricity_Input[Location], 0))</f>
        <v>0</v>
      </c>
      <c r="J10" s="17" cm="1">
        <f t="array" ref="J10">IFERROR(tbl_Electricity_Calculation[[#This Row],[Consumption (kWh)]:[Consumption (kWh)]]
*
INDEX(tbl_IEA_EFs[kg CO2e], MATCH(tbl_Electricity_Calculation[[#This Row],[Emission Factor ID LB]:[Emission Factor ID LB]], tbl_IEA_EFs[[ID]:[ID]], 0)), "")</f>
      </c>
      <c r="K10" s="17" cm="1">
        <f t="array" ref="K10">IFERROR(tbl_Electricity_Calculation[[#This Row],[Consumption (kWh)]:[Consumption (kWh)]]
*
INDEX(tbl_IEA_EFs[kg CO2e of CO2 per unit], MATCH(tbl_Electricity_Calculation[[#This Row],[Emission Factor ID LB]:[Emission Factor ID LB]], tbl_IEA_EFs[[ID]:[ID]], 0)), "")</f>
      </c>
      <c r="L10" s="17" cm="1">
        <f t="array" ref="L10">IFERROR(tbl_Electricity_Calculation[[#This Row],[Consumption (kWh)]:[Consumption (kWh)]]
*
INDEX(tbl_IEA_EFs[kg CO2e of CH4 per unit], MATCH(tbl_Electricity_Calculation[[#This Row],[Emission Factor ID LB]:[Emission Factor ID LB]], tbl_IEA_EFs[[ID]:[ID]], 0)), "")</f>
      </c>
      <c r="M10" s="17" cm="1">
        <f t="array" ref="M10">IFERROR(tbl_Electricity_Calculation[[#This Row],[Consumption (kWh)]:[Consumption (kWh)]]
*
INDEX(tbl_IEA_EFs[kg CO2e of N2O per unit], MATCH(tbl_Electricity_Calculation[[#This Row],[Emission Factor ID LB]:[Emission Factor ID LB]], tbl_IEA_EFs[[ID]:[ID]], 0)), "")</f>
      </c>
      <c r="N10" s="17" cm="1">
        <f t="array" ref="N10">IFERROR(tbl_Electricity_Calculation[[#This Row],[Consumption (kWh)]:[Consumption (kWh)]]
*
INDEX(tbl_IEA_EFs[kg CO2e of Unspecified per unit2], MATCH(tbl_Electricity_Calculation[[#This Row],[Emission Factor ID LB]:[Emission Factor ID LB]], tbl_IEA_EFs[[ID]:[ID]], 0)), "")</f>
      </c>
      <c r="O10" s="9" cm="1">
        <f t="array" ref="O10">IFERROR(INDEX(tbl_IEA_EFs[ID],
   MATCH(1, ("Direct Electricity" = tbl_IEA_EFs[Category])
*
      (tbl_Electricity_Calculation[[#This Row],[Last Year with Direct Electricity EF]] = tbl_IEA_EFs[Year])
*
         (tbl_Electricity_Calculation[[#This Row],[Country]] = tbl_IEA_EFs[Country]), 0)), "")</f>
      </c>
      <c r="P10" s="65" cm="1">
        <f t="array" ref="P10">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f>
      </c>
      <c r="Q10" s="65" cm="1">
        <f t="array" ref="Q10">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f>
      </c>
      <c r="R10" s="65" cm="1">
        <f t="array" ref="R10">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f>
      </c>
      <c r="S10" s="65" cm="1">
        <f t="array" ref="S10">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f>
      </c>
      <c r="T10" s="65" cm="1">
        <f t="array" ref="T10">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f>
      </c>
      <c r="U10" s="9" cm="1">
        <f t="array" ref="U10">IFERROR(INDEX(tbl_IEA_EFs[ID], MATCH(1, ("Upstream Electricity" = tbl_IEA_EFs[Category]) * (tbl_Electricity_Calculation[[#This Row],[Country]] = tbl_IEA_EFs[Country]) * (tbl_Electricity_Calculation[[#This Row],[Last Year with Upstream Electricity EF]] = tbl_IEA_EFs[Year]), 0)),"")</f>
      </c>
      <c r="V10" s="10" cm="1">
        <f t="array" ref="V10">IFERROR(INDEX(tbl_IEA_EFs[ID], MATCH(1, ("Transmission &amp; Distribution Losses" = tbl_IEA_EFs[Category]) * (tbl_Electricity_Calculation[[#This Row],[Country]] = tbl_IEA_EFs[Country]) * (tbl_Electricity_Calculation[[#This Row],[Last Year with T&amp;D EF]] = tbl_IEA_EFs[Year]), 0)),"")</f>
      </c>
      <c r="W10" s="52">
        <f>IFERROR(IF(N($I10)=0,0,IF(INDEX('Scope 2'!$H$13:$H$22,MATCH($B10,'Scope 2'!$B$13:$B$22,0))="Yes",0,IF(N(INDEX('Scope 2'!$I$13:$I$22,MATCH($B10,'Scope 2'!$B$13:$B$22,0)))&gt;0,$I10*N(INDEX('Scope 2'!$I$13:$I$22,MATCH($B10,'Scope 2'!$B$13:$B$22,0))),N($J10)))),0)</f>
        <v>0</v>
      </c>
      <c r="X10" s="15">
        <f>IFERROR(IF(N($I10)=0,"",IF(INDEX('Scope 2'!$H$13:$H$22,MATCH($B10,'Scope 2'!$B$13:$B$22,0))="Yes","Guarantees of origin: 0",IF(N(INDEX('Scope 2'!$I$13:$I$22,MATCH($B10,'Scope 2'!$B$13:$B$22,0)))&gt;0,"Supplier-specific factor","Fallback: grid average"))),"")</f>
      </c>
    </row>
    <row r="11" ht="20" customHeight="1" x14ac:dyDescent="0.35">
      <c r="B11" s="18" t="s">
        <v>813</v>
      </c>
      <c r="C11" s="15">
        <f>INDEX(tbl_Electricity_Input[Location Name], MATCH(tbl_Electricity_Calculation[[#This Row],[Location]], tbl_Electricity_Input[Location], 0))</f>
        <v>0</v>
      </c>
      <c r="D11" s="15">
        <f>INDEX(tbl_Electricity_Input[Country], MATCH(tbl_Electricity_Calculation[[#This Row],[Location]], tbl_Electricity_Input[Location], 0))</f>
        <v>0</v>
      </c>
      <c r="E11" s="15">
        <f>_xlfn.MAXIFS(tbl_IEA_EFs[Year], tbl_IEA_EFs[Country], tbl_Electricity_Calculation[[#This Row],[Country]], tbl_IEA_EFs[Category], "Direct Electricity")</f>
        <v>0</v>
      </c>
      <c r="F11" s="15">
        <f>_xlfn.MAXIFS(tbl_IEA_EFs[Year], tbl_IEA_EFs[Country], tbl_Electricity_Calculation[[#This Row],[Country]], tbl_IEA_EFs[Category], "Upstream Electricity")</f>
        <v>0</v>
      </c>
      <c r="G11" s="15">
        <f>_xlfn.MAXIFS(tbl_IEA_EFs[Year], tbl_IEA_EFs[Country], tbl_Electricity_Calculation[[#This Row],[Country]], tbl_IEA_EFs[Category], "Transmission &amp; Distribution Losses")</f>
        <v>0</v>
      </c>
      <c r="H11" s="15">
        <f>INDEX(tbl_Electricity_Input[Number of Consumption Days], MATCH(tbl_Electricity_Calculation[[#This Row],[Location]], tbl_Electricity_Input[Location], 0))</f>
        <v>0</v>
      </c>
      <c r="I11" s="15">
        <f>INDEX(tbl_Electricity_Input[Consumption (kWh)], MATCH(tbl_Electricity_Calculation[[#This Row],[Location]], tbl_Electricity_Input[Location], 0))</f>
        <v>0</v>
      </c>
      <c r="J11" s="17" cm="1">
        <f t="array" ref="J11">IFERROR(tbl_Electricity_Calculation[[#This Row],[Consumption (kWh)]:[Consumption (kWh)]]
*
INDEX(tbl_IEA_EFs[kg CO2e], MATCH(tbl_Electricity_Calculation[[#This Row],[Emission Factor ID LB]:[Emission Factor ID LB]], tbl_IEA_EFs[[ID]:[ID]], 0)), "")</f>
      </c>
      <c r="K11" s="17" cm="1">
        <f t="array" ref="K11">IFERROR(tbl_Electricity_Calculation[[#This Row],[Consumption (kWh)]:[Consumption (kWh)]]
*
INDEX(tbl_IEA_EFs[kg CO2e of CO2 per unit], MATCH(tbl_Electricity_Calculation[[#This Row],[Emission Factor ID LB]:[Emission Factor ID LB]], tbl_IEA_EFs[[ID]:[ID]], 0)), "")</f>
      </c>
      <c r="L11" s="17" cm="1">
        <f t="array" ref="L11">IFERROR(tbl_Electricity_Calculation[[#This Row],[Consumption (kWh)]:[Consumption (kWh)]]
*
INDEX(tbl_IEA_EFs[kg CO2e of CH4 per unit], MATCH(tbl_Electricity_Calculation[[#This Row],[Emission Factor ID LB]:[Emission Factor ID LB]], tbl_IEA_EFs[[ID]:[ID]], 0)), "")</f>
      </c>
      <c r="M11" s="17" cm="1">
        <f t="array" ref="M11">IFERROR(tbl_Electricity_Calculation[[#This Row],[Consumption (kWh)]:[Consumption (kWh)]]
*
INDEX(tbl_IEA_EFs[kg CO2e of N2O per unit], MATCH(tbl_Electricity_Calculation[[#This Row],[Emission Factor ID LB]:[Emission Factor ID LB]], tbl_IEA_EFs[[ID]:[ID]], 0)), "")</f>
      </c>
      <c r="N11" s="17" cm="1">
        <f t="array" ref="N11">IFERROR(tbl_Electricity_Calculation[[#This Row],[Consumption (kWh)]:[Consumption (kWh)]]
*
INDEX(tbl_IEA_EFs[kg CO2e of Unspecified per unit2], MATCH(tbl_Electricity_Calculation[[#This Row],[Emission Factor ID LB]:[Emission Factor ID LB]], tbl_IEA_EFs[[ID]:[ID]], 0)), "")</f>
      </c>
      <c r="O11" s="9" cm="1">
        <f t="array" ref="O11">IFERROR(INDEX(tbl_IEA_EFs[ID],
   MATCH(1, ("Direct Electricity" = tbl_IEA_EFs[Category])
*
      (tbl_Electricity_Calculation[[#This Row],[Last Year with Direct Electricity EF]] = tbl_IEA_EFs[Year])
*
         (tbl_Electricity_Calculation[[#This Row],[Country]] = tbl_IEA_EFs[Country]), 0)), "")</f>
      </c>
      <c r="P11" s="65" cm="1">
        <f t="array" ref="P11">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f>
      </c>
      <c r="Q11" s="65" cm="1">
        <f t="array" ref="Q11">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f>
      </c>
      <c r="R11" s="65" cm="1">
        <f t="array" ref="R11">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f>
      </c>
      <c r="S11" s="65" cm="1">
        <f t="array" ref="S11">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f>
      </c>
      <c r="T11" s="65" cm="1">
        <f t="array" ref="T11">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f>
      </c>
      <c r="U11" s="9" cm="1">
        <f t="array" ref="U11">IFERROR(INDEX(tbl_IEA_EFs[ID], MATCH(1, ("Upstream Electricity" = tbl_IEA_EFs[Category]) * (tbl_Electricity_Calculation[[#This Row],[Country]] = tbl_IEA_EFs[Country]) * (tbl_Electricity_Calculation[[#This Row],[Last Year with Upstream Electricity EF]] = tbl_IEA_EFs[Year]), 0)),"")</f>
      </c>
      <c r="V11" s="10" cm="1">
        <f t="array" ref="V11">IFERROR(INDEX(tbl_IEA_EFs[ID], MATCH(1, ("Transmission &amp; Distribution Losses" = tbl_IEA_EFs[Category]) * (tbl_Electricity_Calculation[[#This Row],[Country]] = tbl_IEA_EFs[Country]) * (tbl_Electricity_Calculation[[#This Row],[Last Year with T&amp;D EF]] = tbl_IEA_EFs[Year]), 0)),"")</f>
      </c>
      <c r="W11" s="52">
        <f>IFERROR(IF(N($I11)=0,0,IF(INDEX('Scope 2'!$H$13:$H$22,MATCH($B11,'Scope 2'!$B$13:$B$22,0))="Yes",0,IF(N(INDEX('Scope 2'!$I$13:$I$22,MATCH($B11,'Scope 2'!$B$13:$B$22,0)))&gt;0,$I11*N(INDEX('Scope 2'!$I$13:$I$22,MATCH($B11,'Scope 2'!$B$13:$B$22,0))),N($J11)))),0)</f>
        <v>0</v>
      </c>
      <c r="X11" s="15">
        <f>IFERROR(IF(N($I11)=0,"",IF(INDEX('Scope 2'!$H$13:$H$22,MATCH($B11,'Scope 2'!$B$13:$B$22,0))="Yes","Guarantees of origin: 0",IF(N(INDEX('Scope 2'!$I$13:$I$22,MATCH($B11,'Scope 2'!$B$13:$B$22,0)))&gt;0,"Supplier-specific factor","Fallback: grid average"))),"")</f>
      </c>
    </row>
    <row r="12" ht="20" customHeight="1" x14ac:dyDescent="0.35">
      <c r="B12" s="18" t="s">
        <v>814</v>
      </c>
      <c r="C12" s="15">
        <f>INDEX(tbl_Electricity_Input[Location Name], MATCH(tbl_Electricity_Calculation[[#This Row],[Location]], tbl_Electricity_Input[Location], 0))</f>
        <v>0</v>
      </c>
      <c r="D12" s="15">
        <f>INDEX(tbl_Electricity_Input[Country], MATCH(tbl_Electricity_Calculation[[#This Row],[Location]], tbl_Electricity_Input[Location], 0))</f>
        <v>0</v>
      </c>
      <c r="E12" s="15">
        <f>_xlfn.MAXIFS(tbl_IEA_EFs[Year], tbl_IEA_EFs[Country], tbl_Electricity_Calculation[[#This Row],[Country]], tbl_IEA_EFs[Category], "Direct Electricity")</f>
        <v>0</v>
      </c>
      <c r="F12" s="15">
        <f>_xlfn.MAXIFS(tbl_IEA_EFs[Year], tbl_IEA_EFs[Country], tbl_Electricity_Calculation[[#This Row],[Country]], tbl_IEA_EFs[Category], "Upstream Electricity")</f>
        <v>0</v>
      </c>
      <c r="G12" s="15">
        <f>_xlfn.MAXIFS(tbl_IEA_EFs[Year], tbl_IEA_EFs[Country], tbl_Electricity_Calculation[[#This Row],[Country]], tbl_IEA_EFs[Category], "Transmission &amp; Distribution Losses")</f>
        <v>0</v>
      </c>
      <c r="H12" s="15">
        <f>INDEX(tbl_Electricity_Input[Number of Consumption Days], MATCH(tbl_Electricity_Calculation[[#This Row],[Location]], tbl_Electricity_Input[Location], 0))</f>
        <v>0</v>
      </c>
      <c r="I12" s="15">
        <f>INDEX(tbl_Electricity_Input[Consumption (kWh)], MATCH(tbl_Electricity_Calculation[[#This Row],[Location]], tbl_Electricity_Input[Location], 0))</f>
        <v>0</v>
      </c>
      <c r="J12" s="17" cm="1">
        <f t="array" ref="J12">IFERROR(tbl_Electricity_Calculation[[#This Row],[Consumption (kWh)]:[Consumption (kWh)]]
*
INDEX(tbl_IEA_EFs[kg CO2e], MATCH(tbl_Electricity_Calculation[[#This Row],[Emission Factor ID LB]:[Emission Factor ID LB]], tbl_IEA_EFs[[ID]:[ID]], 0)), "")</f>
      </c>
      <c r="K12" s="17" cm="1">
        <f t="array" ref="K12">IFERROR(tbl_Electricity_Calculation[[#This Row],[Consumption (kWh)]:[Consumption (kWh)]]
*
INDEX(tbl_IEA_EFs[kg CO2e of CO2 per unit], MATCH(tbl_Electricity_Calculation[[#This Row],[Emission Factor ID LB]:[Emission Factor ID LB]], tbl_IEA_EFs[[ID]:[ID]], 0)), "")</f>
      </c>
      <c r="L12" s="17" cm="1">
        <f t="array" ref="L12">IFERROR(tbl_Electricity_Calculation[[#This Row],[Consumption (kWh)]:[Consumption (kWh)]]
*
INDEX(tbl_IEA_EFs[kg CO2e of CH4 per unit], MATCH(tbl_Electricity_Calculation[[#This Row],[Emission Factor ID LB]:[Emission Factor ID LB]], tbl_IEA_EFs[[ID]:[ID]], 0)), "")</f>
      </c>
      <c r="M12" s="17" cm="1">
        <f t="array" ref="M12">IFERROR(tbl_Electricity_Calculation[[#This Row],[Consumption (kWh)]:[Consumption (kWh)]]
*
INDEX(tbl_IEA_EFs[kg CO2e of N2O per unit], MATCH(tbl_Electricity_Calculation[[#This Row],[Emission Factor ID LB]:[Emission Factor ID LB]], tbl_IEA_EFs[[ID]:[ID]], 0)), "")</f>
      </c>
      <c r="N12" s="17" cm="1">
        <f t="array" ref="N12">IFERROR(tbl_Electricity_Calculation[[#This Row],[Consumption (kWh)]:[Consumption (kWh)]]
*
INDEX(tbl_IEA_EFs[kg CO2e of Unspecified per unit2], MATCH(tbl_Electricity_Calculation[[#This Row],[Emission Factor ID LB]:[Emission Factor ID LB]], tbl_IEA_EFs[[ID]:[ID]], 0)), "")</f>
      </c>
      <c r="O12" s="9" cm="1">
        <f t="array" ref="O12">IFERROR(INDEX(tbl_IEA_EFs[ID],
   MATCH(1, ("Direct Electricity" = tbl_IEA_EFs[Category])
*
      (tbl_Electricity_Calculation[[#This Row],[Last Year with Direct Electricity EF]] = tbl_IEA_EFs[Year])
*
         (tbl_Electricity_Calculation[[#This Row],[Country]] = tbl_IEA_EFs[Country]), 0)), "")</f>
      </c>
      <c r="P12" s="65" cm="1">
        <f t="array" ref="P12">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f>
      </c>
      <c r="Q12" s="65" cm="1">
        <f t="array" ref="Q12">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f>
      </c>
      <c r="R12" s="65" cm="1">
        <f t="array" ref="R12">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f>
      </c>
      <c r="S12" s="65" cm="1">
        <f t="array" ref="S12">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f>
      </c>
      <c r="T12" s="65" cm="1">
        <f t="array" ref="T12">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f>
      </c>
      <c r="U12" s="9" cm="1">
        <f t="array" ref="U12">IFERROR(INDEX(tbl_IEA_EFs[ID], MATCH(1, ("Upstream Electricity" = tbl_IEA_EFs[Category]) * (tbl_Electricity_Calculation[[#This Row],[Country]] = tbl_IEA_EFs[Country]) * (tbl_Electricity_Calculation[[#This Row],[Last Year with Upstream Electricity EF]] = tbl_IEA_EFs[Year]), 0)),"")</f>
      </c>
      <c r="V12" s="10" cm="1">
        <f t="array" ref="V12">IFERROR(INDEX(tbl_IEA_EFs[ID], MATCH(1, ("Transmission &amp; Distribution Losses" = tbl_IEA_EFs[Category]) * (tbl_Electricity_Calculation[[#This Row],[Country]] = tbl_IEA_EFs[Country]) * (tbl_Electricity_Calculation[[#This Row],[Last Year with T&amp;D EF]] = tbl_IEA_EFs[Year]), 0)),"")</f>
      </c>
      <c r="W12" s="52">
        <f>IFERROR(IF(N($I12)=0,0,IF(INDEX('Scope 2'!$H$13:$H$22,MATCH($B12,'Scope 2'!$B$13:$B$22,0))="Yes",0,IF(N(INDEX('Scope 2'!$I$13:$I$22,MATCH($B12,'Scope 2'!$B$13:$B$22,0)))&gt;0,$I12*N(INDEX('Scope 2'!$I$13:$I$22,MATCH($B12,'Scope 2'!$B$13:$B$22,0))),N($J12)))),0)</f>
        <v>0</v>
      </c>
      <c r="X12" s="15">
        <f>IFERROR(IF(N($I12)=0,"",IF(INDEX('Scope 2'!$H$13:$H$22,MATCH($B12,'Scope 2'!$B$13:$B$22,0))="Yes","Guarantees of origin: 0",IF(N(INDEX('Scope 2'!$I$13:$I$22,MATCH($B12,'Scope 2'!$B$13:$B$22,0)))&gt;0,"Supplier-specific factor","Fallback: grid average"))),"")</f>
      </c>
    </row>
    <row r="13" ht="20" customHeight="1" x14ac:dyDescent="0.35">
      <c r="B13" s="18" t="s">
        <v>815</v>
      </c>
      <c r="C13" s="15">
        <f>INDEX(tbl_Electricity_Input[Location Name], MATCH(tbl_Electricity_Calculation[[#This Row],[Location]], tbl_Electricity_Input[Location], 0))</f>
        <v>0</v>
      </c>
      <c r="D13" s="15">
        <f>INDEX(tbl_Electricity_Input[Country], MATCH(tbl_Electricity_Calculation[[#This Row],[Location]], tbl_Electricity_Input[Location], 0))</f>
        <v>0</v>
      </c>
      <c r="E13" s="15">
        <f>_xlfn.MAXIFS(tbl_IEA_EFs[Year], tbl_IEA_EFs[Country], tbl_Electricity_Calculation[[#This Row],[Country]], tbl_IEA_EFs[Category], "Direct Electricity")</f>
        <v>0</v>
      </c>
      <c r="F13" s="15">
        <f>_xlfn.MAXIFS(tbl_IEA_EFs[Year], tbl_IEA_EFs[Country], tbl_Electricity_Calculation[[#This Row],[Country]], tbl_IEA_EFs[Category], "Upstream Electricity")</f>
        <v>0</v>
      </c>
      <c r="G13" s="15">
        <f>_xlfn.MAXIFS(tbl_IEA_EFs[Year], tbl_IEA_EFs[Country], tbl_Electricity_Calculation[[#This Row],[Country]], tbl_IEA_EFs[Category], "Transmission &amp; Distribution Losses")</f>
        <v>0</v>
      </c>
      <c r="H13" s="15">
        <f>INDEX(tbl_Electricity_Input[Number of Consumption Days], MATCH(tbl_Electricity_Calculation[[#This Row],[Location]], tbl_Electricity_Input[Location], 0))</f>
        <v>0</v>
      </c>
      <c r="I13" s="15">
        <f>INDEX(tbl_Electricity_Input[Consumption (kWh)], MATCH(tbl_Electricity_Calculation[[#This Row],[Location]], tbl_Electricity_Input[Location], 0))</f>
        <v>0</v>
      </c>
      <c r="J13" s="17" cm="1">
        <f t="array" ref="J13">IFERROR(tbl_Electricity_Calculation[[#This Row],[Consumption (kWh)]:[Consumption (kWh)]]
*
INDEX(tbl_IEA_EFs[kg CO2e], MATCH(tbl_Electricity_Calculation[[#This Row],[Emission Factor ID LB]:[Emission Factor ID LB]], tbl_IEA_EFs[[ID]:[ID]], 0)), "")</f>
      </c>
      <c r="K13" s="17" cm="1">
        <f t="array" ref="K13">IFERROR(tbl_Electricity_Calculation[[#This Row],[Consumption (kWh)]:[Consumption (kWh)]]
*
INDEX(tbl_IEA_EFs[kg CO2e of CO2 per unit], MATCH(tbl_Electricity_Calculation[[#This Row],[Emission Factor ID LB]:[Emission Factor ID LB]], tbl_IEA_EFs[[ID]:[ID]], 0)), "")</f>
      </c>
      <c r="L13" s="17" cm="1">
        <f t="array" ref="L13">IFERROR(tbl_Electricity_Calculation[[#This Row],[Consumption (kWh)]:[Consumption (kWh)]]
*
INDEX(tbl_IEA_EFs[kg CO2e of CH4 per unit], MATCH(tbl_Electricity_Calculation[[#This Row],[Emission Factor ID LB]:[Emission Factor ID LB]], tbl_IEA_EFs[[ID]:[ID]], 0)), "")</f>
      </c>
      <c r="M13" s="17" cm="1">
        <f t="array" ref="M13">IFERROR(tbl_Electricity_Calculation[[#This Row],[Consumption (kWh)]:[Consumption (kWh)]]
*
INDEX(tbl_IEA_EFs[kg CO2e of N2O per unit], MATCH(tbl_Electricity_Calculation[[#This Row],[Emission Factor ID LB]:[Emission Factor ID LB]], tbl_IEA_EFs[[ID]:[ID]], 0)), "")</f>
      </c>
      <c r="N13" s="17" cm="1">
        <f t="array" ref="N13">IFERROR(tbl_Electricity_Calculation[[#This Row],[Consumption (kWh)]:[Consumption (kWh)]]
*
INDEX(tbl_IEA_EFs[kg CO2e of Unspecified per unit2], MATCH(tbl_Electricity_Calculation[[#This Row],[Emission Factor ID LB]:[Emission Factor ID LB]], tbl_IEA_EFs[[ID]:[ID]], 0)), "")</f>
      </c>
      <c r="O13" s="9" cm="1">
        <f t="array" ref="O13">IFERROR(INDEX(tbl_IEA_EFs[ID],
   MATCH(1, ("Direct Electricity" = tbl_IEA_EFs[Category])
*
      (tbl_Electricity_Calculation[[#This Row],[Last Year with Direct Electricity EF]] = tbl_IEA_EFs[Year])
*
         (tbl_Electricity_Calculation[[#This Row],[Country]] = tbl_IEA_EFs[Country]), 0)), "")</f>
      </c>
      <c r="P13" s="65" cm="1">
        <f t="array" ref="P13">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f>
      </c>
      <c r="Q13" s="65" cm="1">
        <f t="array" ref="Q13">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f>
      </c>
      <c r="R13" s="65" cm="1">
        <f t="array" ref="R13">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f>
      </c>
      <c r="S13" s="65" cm="1">
        <f t="array" ref="S13">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f>
      </c>
      <c r="T13" s="65" cm="1">
        <f t="array" ref="T13">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f>
      </c>
      <c r="U13" s="9" cm="1">
        <f t="array" ref="U13">IFERROR(INDEX(tbl_IEA_EFs[ID], MATCH(1, ("Upstream Electricity" = tbl_IEA_EFs[Category]) * (tbl_Electricity_Calculation[[#This Row],[Country]] = tbl_IEA_EFs[Country]) * (tbl_Electricity_Calculation[[#This Row],[Last Year with Upstream Electricity EF]] = tbl_IEA_EFs[Year]), 0)),"")</f>
      </c>
      <c r="V13" s="10" cm="1">
        <f t="array" ref="V13">IFERROR(INDEX(tbl_IEA_EFs[ID], MATCH(1, ("Transmission &amp; Distribution Losses" = tbl_IEA_EFs[Category]) * (tbl_Electricity_Calculation[[#This Row],[Country]] = tbl_IEA_EFs[Country]) * (tbl_Electricity_Calculation[[#This Row],[Last Year with T&amp;D EF]] = tbl_IEA_EFs[Year]), 0)),"")</f>
      </c>
      <c r="W13" s="52">
        <f>IFERROR(IF(N($I13)=0,0,IF(INDEX('Scope 2'!$H$13:$H$22,MATCH($B13,'Scope 2'!$B$13:$B$22,0))="Yes",0,IF(N(INDEX('Scope 2'!$I$13:$I$22,MATCH($B13,'Scope 2'!$B$13:$B$22,0)))&gt;0,$I13*N(INDEX('Scope 2'!$I$13:$I$22,MATCH($B13,'Scope 2'!$B$13:$B$22,0))),N($J13)))),0)</f>
        <v>0</v>
      </c>
      <c r="X13" s="15">
        <f>IFERROR(IF(N($I13)=0,"",IF(INDEX('Scope 2'!$H$13:$H$22,MATCH($B13,'Scope 2'!$B$13:$B$22,0))="Yes","Guarantees of origin: 0",IF(N(INDEX('Scope 2'!$I$13:$I$22,MATCH($B13,'Scope 2'!$B$13:$B$22,0)))&gt;0,"Supplier-specific factor","Fallback: grid average"))),"")</f>
      </c>
    </row>
    <row r="14" ht="20" customHeight="1" x14ac:dyDescent="0.35">
      <c r="B14" s="18" t="s">
        <v>816</v>
      </c>
      <c r="C14" s="15">
        <f>INDEX(tbl_Electricity_Input[Location Name], MATCH(tbl_Electricity_Calculation[[#This Row],[Location]], tbl_Electricity_Input[Location], 0))</f>
        <v>0</v>
      </c>
      <c r="D14" s="15">
        <f>INDEX(tbl_Electricity_Input[Country], MATCH(tbl_Electricity_Calculation[[#This Row],[Location]], tbl_Electricity_Input[Location], 0))</f>
        <v>0</v>
      </c>
      <c r="E14" s="15">
        <f>_xlfn.MAXIFS(tbl_IEA_EFs[Year], tbl_IEA_EFs[Country], tbl_Electricity_Calculation[[#This Row],[Country]], tbl_IEA_EFs[Category], "Direct Electricity")</f>
        <v>0</v>
      </c>
      <c r="F14" s="15">
        <f>_xlfn.MAXIFS(tbl_IEA_EFs[Year], tbl_IEA_EFs[Country], tbl_Electricity_Calculation[[#This Row],[Country]], tbl_IEA_EFs[Category], "Upstream Electricity")</f>
        <v>0</v>
      </c>
      <c r="G14" s="15">
        <f>_xlfn.MAXIFS(tbl_IEA_EFs[Year], tbl_IEA_EFs[Country], tbl_Electricity_Calculation[[#This Row],[Country]], tbl_IEA_EFs[Category], "Transmission &amp; Distribution Losses")</f>
        <v>0</v>
      </c>
      <c r="H14" s="15">
        <f>INDEX(tbl_Electricity_Input[Number of Consumption Days], MATCH(tbl_Electricity_Calculation[[#This Row],[Location]], tbl_Electricity_Input[Location], 0))</f>
        <v>0</v>
      </c>
      <c r="I14" s="15">
        <f>INDEX(tbl_Electricity_Input[Consumption (kWh)], MATCH(tbl_Electricity_Calculation[[#This Row],[Location]], tbl_Electricity_Input[Location], 0))</f>
        <v>0</v>
      </c>
      <c r="J14" s="17" cm="1">
        <f t="array" ref="J14">IFERROR(tbl_Electricity_Calculation[[#This Row],[Consumption (kWh)]:[Consumption (kWh)]]
*
INDEX(tbl_IEA_EFs[kg CO2e], MATCH(tbl_Electricity_Calculation[[#This Row],[Emission Factor ID LB]:[Emission Factor ID LB]], tbl_IEA_EFs[[ID]:[ID]], 0)), "")</f>
      </c>
      <c r="K14" s="17" cm="1">
        <f t="array" ref="K14">IFERROR(tbl_Electricity_Calculation[[#This Row],[Consumption (kWh)]:[Consumption (kWh)]]
*
INDEX(tbl_IEA_EFs[kg CO2e of CO2 per unit], MATCH(tbl_Electricity_Calculation[[#This Row],[Emission Factor ID LB]:[Emission Factor ID LB]], tbl_IEA_EFs[[ID]:[ID]], 0)), "")</f>
      </c>
      <c r="L14" s="17" cm="1">
        <f t="array" ref="L14">IFERROR(tbl_Electricity_Calculation[[#This Row],[Consumption (kWh)]:[Consumption (kWh)]]
*
INDEX(tbl_IEA_EFs[kg CO2e of CH4 per unit], MATCH(tbl_Electricity_Calculation[[#This Row],[Emission Factor ID LB]:[Emission Factor ID LB]], tbl_IEA_EFs[[ID]:[ID]], 0)), "")</f>
      </c>
      <c r="M14" s="17" cm="1">
        <f t="array" ref="M14">IFERROR(tbl_Electricity_Calculation[[#This Row],[Consumption (kWh)]:[Consumption (kWh)]]
*
INDEX(tbl_IEA_EFs[kg CO2e of N2O per unit], MATCH(tbl_Electricity_Calculation[[#This Row],[Emission Factor ID LB]:[Emission Factor ID LB]], tbl_IEA_EFs[[ID]:[ID]], 0)), "")</f>
      </c>
      <c r="N14" s="17" cm="1">
        <f t="array" ref="N14">IFERROR(tbl_Electricity_Calculation[[#This Row],[Consumption (kWh)]:[Consumption (kWh)]]
*
INDEX(tbl_IEA_EFs[kg CO2e of Unspecified per unit2], MATCH(tbl_Electricity_Calculation[[#This Row],[Emission Factor ID LB]:[Emission Factor ID LB]], tbl_IEA_EFs[[ID]:[ID]], 0)), "")</f>
      </c>
      <c r="O14" s="9" cm="1">
        <f t="array" ref="O14">IFERROR(INDEX(tbl_IEA_EFs[ID],
   MATCH(1, ("Direct Electricity" = tbl_IEA_EFs[Category])
*
      (tbl_Electricity_Calculation[[#This Row],[Last Year with Direct Electricity EF]] = tbl_IEA_EFs[Year])
*
         (tbl_Electricity_Calculation[[#This Row],[Country]] = tbl_IEA_EFs[Country]), 0)), "")</f>
      </c>
      <c r="P14" s="65" cm="1">
        <f t="array" ref="P14">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f>
      </c>
      <c r="Q14" s="65" cm="1">
        <f t="array" ref="Q14">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f>
      </c>
      <c r="R14" s="65" cm="1">
        <f t="array" ref="R14">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f>
      </c>
      <c r="S14" s="65" cm="1">
        <f t="array" ref="S14">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f>
      </c>
      <c r="T14" s="65" cm="1">
        <f t="array" ref="T14">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f>
      </c>
      <c r="U14" s="9" cm="1">
        <f t="array" ref="U14">IFERROR(INDEX(tbl_IEA_EFs[ID], MATCH(1, ("Upstream Electricity" = tbl_IEA_EFs[Category]) * (tbl_Electricity_Calculation[[#This Row],[Country]] = tbl_IEA_EFs[Country]) * (tbl_Electricity_Calculation[[#This Row],[Last Year with Upstream Electricity EF]] = tbl_IEA_EFs[Year]), 0)),"")</f>
      </c>
      <c r="V14" s="10" cm="1">
        <f t="array" ref="V14">IFERROR(INDEX(tbl_IEA_EFs[ID], MATCH(1, ("Transmission &amp; Distribution Losses" = tbl_IEA_EFs[Category]) * (tbl_Electricity_Calculation[[#This Row],[Country]] = tbl_IEA_EFs[Country]) * (tbl_Electricity_Calculation[[#This Row],[Last Year with T&amp;D EF]] = tbl_IEA_EFs[Year]), 0)),"")</f>
      </c>
      <c r="W14" s="52">
        <f>IFERROR(IF(N($I14)=0,0,IF(INDEX('Scope 2'!$H$13:$H$22,MATCH($B14,'Scope 2'!$B$13:$B$22,0))="Yes",0,IF(N(INDEX('Scope 2'!$I$13:$I$22,MATCH($B14,'Scope 2'!$B$13:$B$22,0)))&gt;0,$I14*N(INDEX('Scope 2'!$I$13:$I$22,MATCH($B14,'Scope 2'!$B$13:$B$22,0))),N($J14)))),0)</f>
        <v>0</v>
      </c>
      <c r="X14" s="15">
        <f>IFERROR(IF(N($I14)=0,"",IF(INDEX('Scope 2'!$H$13:$H$22,MATCH($B14,'Scope 2'!$B$13:$B$22,0))="Yes","Guarantees of origin: 0",IF(N(INDEX('Scope 2'!$I$13:$I$22,MATCH($B14,'Scope 2'!$B$13:$B$22,0)))&gt;0,"Supplier-specific factor","Fallback: grid average"))),"")</f>
      </c>
    </row>
    <row r="15" ht="20" customHeight="1" x14ac:dyDescent="0.35">
      <c r="B15" s="18" t="s">
        <v>817</v>
      </c>
      <c r="C15" s="15">
        <f>INDEX(tbl_Electricity_Input[Location Name], MATCH(tbl_Electricity_Calculation[[#This Row],[Location]], tbl_Electricity_Input[Location], 0))</f>
        <v>0</v>
      </c>
      <c r="D15" s="15">
        <f>INDEX(tbl_Electricity_Input[Country], MATCH(tbl_Electricity_Calculation[[#This Row],[Location]], tbl_Electricity_Input[Location], 0))</f>
        <v>0</v>
      </c>
      <c r="E15" s="15">
        <f>_xlfn.MAXIFS(tbl_IEA_EFs[Year], tbl_IEA_EFs[Country], tbl_Electricity_Calculation[[#This Row],[Country]], tbl_IEA_EFs[Category], "Direct Electricity")</f>
        <v>0</v>
      </c>
      <c r="F15" s="15">
        <f>_xlfn.MAXIFS(tbl_IEA_EFs[Year], tbl_IEA_EFs[Country], tbl_Electricity_Calculation[[#This Row],[Country]], tbl_IEA_EFs[Category], "Upstream Electricity")</f>
        <v>0</v>
      </c>
      <c r="G15" s="15">
        <f>_xlfn.MAXIFS(tbl_IEA_EFs[Year], tbl_IEA_EFs[Country], tbl_Electricity_Calculation[[#This Row],[Country]], tbl_IEA_EFs[Category], "Transmission &amp; Distribution Losses")</f>
        <v>0</v>
      </c>
      <c r="H15" s="15">
        <f>INDEX(tbl_Electricity_Input[Number of Consumption Days], MATCH(tbl_Electricity_Calculation[[#This Row],[Location]], tbl_Electricity_Input[Location], 0))</f>
        <v>0</v>
      </c>
      <c r="I15" s="15">
        <f>INDEX(tbl_Electricity_Input[Consumption (kWh)], MATCH(tbl_Electricity_Calculation[[#This Row],[Location]], tbl_Electricity_Input[Location], 0))</f>
        <v>0</v>
      </c>
      <c r="J15" s="17" cm="1">
        <f t="array" ref="J15">IFERROR(tbl_Electricity_Calculation[[#This Row],[Consumption (kWh)]:[Consumption (kWh)]]
*
INDEX(tbl_IEA_EFs[kg CO2e], MATCH(tbl_Electricity_Calculation[[#This Row],[Emission Factor ID LB]:[Emission Factor ID LB]], tbl_IEA_EFs[[ID]:[ID]], 0)), "")</f>
      </c>
      <c r="K15" s="17" cm="1">
        <f t="array" ref="K15">IFERROR(tbl_Electricity_Calculation[[#This Row],[Consumption (kWh)]:[Consumption (kWh)]]
*
INDEX(tbl_IEA_EFs[kg CO2e of CO2 per unit], MATCH(tbl_Electricity_Calculation[[#This Row],[Emission Factor ID LB]:[Emission Factor ID LB]], tbl_IEA_EFs[[ID]:[ID]], 0)), "")</f>
      </c>
      <c r="L15" s="17" cm="1">
        <f t="array" ref="L15">IFERROR(tbl_Electricity_Calculation[[#This Row],[Consumption (kWh)]:[Consumption (kWh)]]
*
INDEX(tbl_IEA_EFs[kg CO2e of CH4 per unit], MATCH(tbl_Electricity_Calculation[[#This Row],[Emission Factor ID LB]:[Emission Factor ID LB]], tbl_IEA_EFs[[ID]:[ID]], 0)), "")</f>
      </c>
      <c r="M15" s="17" cm="1">
        <f t="array" ref="M15">IFERROR(tbl_Electricity_Calculation[[#This Row],[Consumption (kWh)]:[Consumption (kWh)]]
*
INDEX(tbl_IEA_EFs[kg CO2e of N2O per unit], MATCH(tbl_Electricity_Calculation[[#This Row],[Emission Factor ID LB]:[Emission Factor ID LB]], tbl_IEA_EFs[[ID]:[ID]], 0)), "")</f>
      </c>
      <c r="N15" s="17" cm="1">
        <f t="array" ref="N15">IFERROR(tbl_Electricity_Calculation[[#This Row],[Consumption (kWh)]:[Consumption (kWh)]]
*
INDEX(tbl_IEA_EFs[kg CO2e of Unspecified per unit2], MATCH(tbl_Electricity_Calculation[[#This Row],[Emission Factor ID LB]:[Emission Factor ID LB]], tbl_IEA_EFs[[ID]:[ID]], 0)), "")</f>
      </c>
      <c r="O15" s="9" cm="1">
        <f t="array" ref="O15">IFERROR(INDEX(tbl_IEA_EFs[ID],
   MATCH(1, ("Direct Electricity" = tbl_IEA_EFs[Category])
*
      (tbl_Electricity_Calculation[[#This Row],[Last Year with Direct Electricity EF]] = tbl_IEA_EFs[Year])
*
         (tbl_Electricity_Calculation[[#This Row],[Country]] = tbl_IEA_EFs[Country]), 0)), "")</f>
      </c>
      <c r="P15" s="65" cm="1">
        <f t="array" ref="P15">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f>
      </c>
      <c r="Q15" s="65" cm="1">
        <f t="array" ref="Q15">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f>
      </c>
      <c r="R15" s="65" cm="1">
        <f t="array" ref="R15">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f>
      </c>
      <c r="S15" s="65" cm="1">
        <f t="array" ref="S15">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f>
      </c>
      <c r="T15" s="65" cm="1">
        <f t="array" ref="T15">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f>
      </c>
      <c r="U15" s="9" cm="1">
        <f t="array" ref="U15">IFERROR(INDEX(tbl_IEA_EFs[ID], MATCH(1, ("Upstream Electricity" = tbl_IEA_EFs[Category]) * (tbl_Electricity_Calculation[[#This Row],[Country]] = tbl_IEA_EFs[Country]) * (tbl_Electricity_Calculation[[#This Row],[Last Year with Upstream Electricity EF]] = tbl_IEA_EFs[Year]), 0)),"")</f>
      </c>
      <c r="V15" s="10" cm="1">
        <f t="array" ref="V15">IFERROR(INDEX(tbl_IEA_EFs[ID], MATCH(1, ("Transmission &amp; Distribution Losses" = tbl_IEA_EFs[Category]) * (tbl_Electricity_Calculation[[#This Row],[Country]] = tbl_IEA_EFs[Country]) * (tbl_Electricity_Calculation[[#This Row],[Last Year with T&amp;D EF]] = tbl_IEA_EFs[Year]), 0)),"")</f>
      </c>
      <c r="W15" s="52">
        <f>IFERROR(IF(N($I15)=0,0,IF(INDEX('Scope 2'!$H$13:$H$22,MATCH($B15,'Scope 2'!$B$13:$B$22,0))="Yes",0,IF(N(INDEX('Scope 2'!$I$13:$I$22,MATCH($B15,'Scope 2'!$B$13:$B$22,0)))&gt;0,$I15*N(INDEX('Scope 2'!$I$13:$I$22,MATCH($B15,'Scope 2'!$B$13:$B$22,0))),N($J15)))),0)</f>
        <v>0</v>
      </c>
      <c r="X15" s="15">
        <f>IFERROR(IF(N($I15)=0,"",IF(INDEX('Scope 2'!$H$13:$H$22,MATCH($B15,'Scope 2'!$B$13:$B$22,0))="Yes","Guarantees of origin: 0",IF(N(INDEX('Scope 2'!$I$13:$I$22,MATCH($B15,'Scope 2'!$B$13:$B$22,0)))&gt;0,"Supplier-specific factor","Fallback: grid average"))),"")</f>
      </c>
    </row>
    <row r="16" ht="20" customHeight="1" x14ac:dyDescent="0.35">
      <c r="B16" s="18" t="s">
        <v>818</v>
      </c>
      <c r="C16" s="15">
        <f>INDEX(tbl_Electricity_Input[Location Name], MATCH(tbl_Electricity_Calculation[[#This Row],[Location]], tbl_Electricity_Input[Location], 0))</f>
        <v>0</v>
      </c>
      <c r="D16" s="15">
        <f>INDEX(tbl_Electricity_Input[Country], MATCH(tbl_Electricity_Calculation[[#This Row],[Location]], tbl_Electricity_Input[Location], 0))</f>
        <v>0</v>
      </c>
      <c r="E16" s="15">
        <f>_xlfn.MAXIFS(tbl_IEA_EFs[Year], tbl_IEA_EFs[Country], tbl_Electricity_Calculation[[#This Row],[Country]], tbl_IEA_EFs[Category], "Direct Electricity")</f>
        <v>0</v>
      </c>
      <c r="F16" s="15">
        <f>_xlfn.MAXIFS(tbl_IEA_EFs[Year], tbl_IEA_EFs[Country], tbl_Electricity_Calculation[[#This Row],[Country]], tbl_IEA_EFs[Category], "Upstream Electricity")</f>
        <v>0</v>
      </c>
      <c r="G16" s="15">
        <f>_xlfn.MAXIFS(tbl_IEA_EFs[Year], tbl_IEA_EFs[Country], tbl_Electricity_Calculation[[#This Row],[Country]], tbl_IEA_EFs[Category], "Transmission &amp; Distribution Losses")</f>
        <v>0</v>
      </c>
      <c r="H16" s="15">
        <f>INDEX(tbl_Electricity_Input[Number of Consumption Days], MATCH(tbl_Electricity_Calculation[[#This Row],[Location]], tbl_Electricity_Input[Location], 0))</f>
        <v>0</v>
      </c>
      <c r="I16" s="15">
        <f>INDEX(tbl_Electricity_Input[Consumption (kWh)], MATCH(tbl_Electricity_Calculation[[#This Row],[Location]], tbl_Electricity_Input[Location], 0))</f>
        <v>0</v>
      </c>
      <c r="J16" s="17" cm="1">
        <f t="array" ref="J16">IFERROR(tbl_Electricity_Calculation[[#This Row],[Consumption (kWh)]:[Consumption (kWh)]]
*
INDEX(tbl_IEA_EFs[kg CO2e], MATCH(tbl_Electricity_Calculation[[#This Row],[Emission Factor ID LB]:[Emission Factor ID LB]], tbl_IEA_EFs[[ID]:[ID]], 0)), "")</f>
      </c>
      <c r="K16" s="17" cm="1">
        <f t="array" ref="K16">IFERROR(tbl_Electricity_Calculation[[#This Row],[Consumption (kWh)]:[Consumption (kWh)]]
*
INDEX(tbl_IEA_EFs[kg CO2e of CO2 per unit], MATCH(tbl_Electricity_Calculation[[#This Row],[Emission Factor ID LB]:[Emission Factor ID LB]], tbl_IEA_EFs[[ID]:[ID]], 0)), "")</f>
      </c>
      <c r="L16" s="17" cm="1">
        <f t="array" ref="L16">IFERROR(tbl_Electricity_Calculation[[#This Row],[Consumption (kWh)]:[Consumption (kWh)]]
*
INDEX(tbl_IEA_EFs[kg CO2e of CH4 per unit], MATCH(tbl_Electricity_Calculation[[#This Row],[Emission Factor ID LB]:[Emission Factor ID LB]], tbl_IEA_EFs[[ID]:[ID]], 0)), "")</f>
      </c>
      <c r="M16" s="17" cm="1">
        <f t="array" ref="M16">IFERROR(tbl_Electricity_Calculation[[#This Row],[Consumption (kWh)]:[Consumption (kWh)]]
*
INDEX(tbl_IEA_EFs[kg CO2e of N2O per unit], MATCH(tbl_Electricity_Calculation[[#This Row],[Emission Factor ID LB]:[Emission Factor ID LB]], tbl_IEA_EFs[[ID]:[ID]], 0)), "")</f>
      </c>
      <c r="N16" s="17" cm="1">
        <f t="array" ref="N16">IFERROR(tbl_Electricity_Calculation[[#This Row],[Consumption (kWh)]:[Consumption (kWh)]]
*
INDEX(tbl_IEA_EFs[kg CO2e of Unspecified per unit2], MATCH(tbl_Electricity_Calculation[[#This Row],[Emission Factor ID LB]:[Emission Factor ID LB]], tbl_IEA_EFs[[ID]:[ID]], 0)), "")</f>
      </c>
      <c r="O16" s="9" cm="1">
        <f t="array" ref="O16">IFERROR(INDEX(tbl_IEA_EFs[ID],
   MATCH(1, ("Direct Electricity" = tbl_IEA_EFs[Category])
*
      (tbl_Electricity_Calculation[[#This Row],[Last Year with Direct Electricity EF]] = tbl_IEA_EFs[Year])
*
         (tbl_Electricity_Calculation[[#This Row],[Country]] = tbl_IEA_EFs[Country]), 0)), "")</f>
      </c>
      <c r="P16" s="65" cm="1">
        <f t="array" ref="P16">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f>
      </c>
      <c r="Q16" s="65" cm="1">
        <f t="array" ref="Q16">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f>
      </c>
      <c r="R16" s="65" cm="1">
        <f t="array" ref="R16">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f>
      </c>
      <c r="S16" s="65" cm="1">
        <f t="array" ref="S16">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f>
      </c>
      <c r="T16" s="65" cm="1">
        <f t="array" ref="T16">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f>
      </c>
      <c r="U16" s="9" cm="1">
        <f t="array" ref="U16">IFERROR(INDEX(tbl_IEA_EFs[ID], MATCH(1, ("Upstream Electricity" = tbl_IEA_EFs[Category]) * (tbl_Electricity_Calculation[[#This Row],[Country]] = tbl_IEA_EFs[Country]) * (tbl_Electricity_Calculation[[#This Row],[Last Year with Upstream Electricity EF]] = tbl_IEA_EFs[Year]), 0)),"")</f>
      </c>
      <c r="V16" s="10" cm="1">
        <f t="array" ref="V16">IFERROR(INDEX(tbl_IEA_EFs[ID], MATCH(1, ("Transmission &amp; Distribution Losses" = tbl_IEA_EFs[Category]) * (tbl_Electricity_Calculation[[#This Row],[Country]] = tbl_IEA_EFs[Country]) * (tbl_Electricity_Calculation[[#This Row],[Last Year with T&amp;D EF]] = tbl_IEA_EFs[Year]), 0)),"")</f>
      </c>
      <c r="W16" s="52">
        <f>IFERROR(IF(N($I16)=0,0,IF(INDEX('Scope 2'!$H$13:$H$22,MATCH($B16,'Scope 2'!$B$13:$B$22,0))="Yes",0,IF(N(INDEX('Scope 2'!$I$13:$I$22,MATCH($B16,'Scope 2'!$B$13:$B$22,0)))&gt;0,$I16*N(INDEX('Scope 2'!$I$13:$I$22,MATCH($B16,'Scope 2'!$B$13:$B$22,0))),N($J16)))),0)</f>
        <v>0</v>
      </c>
      <c r="X16" s="15">
        <f>IFERROR(IF(N($I16)=0,"",IF(INDEX('Scope 2'!$H$13:$H$22,MATCH($B16,'Scope 2'!$B$13:$B$22,0))="Yes","Guarantees of origin: 0",IF(N(INDEX('Scope 2'!$I$13:$I$22,MATCH($B16,'Scope 2'!$B$13:$B$22,0)))&gt;0,"Supplier-specific factor","Fallback: grid average"))),"")</f>
      </c>
    </row>
    <row r="17" ht="20" customHeight="1" x14ac:dyDescent="0.35">
      <c r="B17" s="18" t="s">
        <v>819</v>
      </c>
      <c r="C17" s="15">
        <f>INDEX(tbl_Electricity_Input[Location Name], MATCH(tbl_Electricity_Calculation[[#This Row],[Location]], tbl_Electricity_Input[Location], 0))</f>
        <v>0</v>
      </c>
      <c r="D17" s="15">
        <f>INDEX(tbl_Electricity_Input[Country], MATCH(tbl_Electricity_Calculation[[#This Row],[Location]], tbl_Electricity_Input[Location], 0))</f>
        <v>0</v>
      </c>
      <c r="E17" s="15">
        <f>_xlfn.MAXIFS(tbl_IEA_EFs[Year], tbl_IEA_EFs[Country], tbl_Electricity_Calculation[[#This Row],[Country]], tbl_IEA_EFs[Category], "Direct Electricity")</f>
        <v>0</v>
      </c>
      <c r="F17" s="15">
        <f>_xlfn.MAXIFS(tbl_IEA_EFs[Year], tbl_IEA_EFs[Country], tbl_Electricity_Calculation[[#This Row],[Country]], tbl_IEA_EFs[Category], "Upstream Electricity")</f>
        <v>0</v>
      </c>
      <c r="G17" s="15">
        <f>_xlfn.MAXIFS(tbl_IEA_EFs[Year], tbl_IEA_EFs[Country], tbl_Electricity_Calculation[[#This Row],[Country]], tbl_IEA_EFs[Category], "Transmission &amp; Distribution Losses")</f>
        <v>0</v>
      </c>
      <c r="H17" s="15">
        <f>INDEX(tbl_Electricity_Input[Number of Consumption Days], MATCH(tbl_Electricity_Calculation[[#This Row],[Location]], tbl_Electricity_Input[Location], 0))</f>
        <v>0</v>
      </c>
      <c r="I17" s="15">
        <f>INDEX(tbl_Electricity_Input[Consumption (kWh)], MATCH(tbl_Electricity_Calculation[[#This Row],[Location]], tbl_Electricity_Input[Location], 0))</f>
        <v>0</v>
      </c>
      <c r="J17" s="17" cm="1">
        <f t="array" ref="J17">IFERROR(tbl_Electricity_Calculation[[#This Row],[Consumption (kWh)]:[Consumption (kWh)]]
*
INDEX(tbl_IEA_EFs[kg CO2e], MATCH(tbl_Electricity_Calculation[[#This Row],[Emission Factor ID LB]:[Emission Factor ID LB]], tbl_IEA_EFs[[ID]:[ID]], 0)), "")</f>
      </c>
      <c r="K17" s="17" cm="1">
        <f t="array" ref="K17">IFERROR(tbl_Electricity_Calculation[[#This Row],[Consumption (kWh)]:[Consumption (kWh)]]
*
INDEX(tbl_IEA_EFs[kg CO2e of CO2 per unit], MATCH(tbl_Electricity_Calculation[[#This Row],[Emission Factor ID LB]:[Emission Factor ID LB]], tbl_IEA_EFs[[ID]:[ID]], 0)), "")</f>
      </c>
      <c r="L17" s="17" cm="1">
        <f t="array" ref="L17">IFERROR(tbl_Electricity_Calculation[[#This Row],[Consumption (kWh)]:[Consumption (kWh)]]
*
INDEX(tbl_IEA_EFs[kg CO2e of CH4 per unit], MATCH(tbl_Electricity_Calculation[[#This Row],[Emission Factor ID LB]:[Emission Factor ID LB]], tbl_IEA_EFs[[ID]:[ID]], 0)), "")</f>
      </c>
      <c r="M17" s="17" cm="1">
        <f t="array" ref="M17">IFERROR(tbl_Electricity_Calculation[[#This Row],[Consumption (kWh)]:[Consumption (kWh)]]
*
INDEX(tbl_IEA_EFs[kg CO2e of N2O per unit], MATCH(tbl_Electricity_Calculation[[#This Row],[Emission Factor ID LB]:[Emission Factor ID LB]], tbl_IEA_EFs[[ID]:[ID]], 0)), "")</f>
      </c>
      <c r="N17" s="17" cm="1">
        <f t="array" ref="N17">IFERROR(tbl_Electricity_Calculation[[#This Row],[Consumption (kWh)]:[Consumption (kWh)]]
*
INDEX(tbl_IEA_EFs[kg CO2e of Unspecified per unit2], MATCH(tbl_Electricity_Calculation[[#This Row],[Emission Factor ID LB]:[Emission Factor ID LB]], tbl_IEA_EFs[[ID]:[ID]], 0)), "")</f>
      </c>
      <c r="O17" s="9" cm="1">
        <f t="array" ref="O17">IFERROR(INDEX(tbl_IEA_EFs[ID],
   MATCH(1, ("Direct Electricity" = tbl_IEA_EFs[Category])
*
      (tbl_Electricity_Calculation[[#This Row],[Last Year with Direct Electricity EF]] = tbl_IEA_EFs[Year])
*
         (tbl_Electricity_Calculation[[#This Row],[Country]] = tbl_IEA_EFs[Country]), 0)), "")</f>
      </c>
      <c r="P17" s="65" cm="1">
        <f t="array" ref="P17">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f>
      </c>
      <c r="Q17" s="65" cm="1">
        <f t="array" ref="Q17">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f>
      </c>
      <c r="R17" s="65" cm="1">
        <f t="array" ref="R17">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f>
      </c>
      <c r="S17" s="65" cm="1">
        <f t="array" ref="S17">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f>
      </c>
      <c r="T17" s="65" cm="1">
        <f t="array" ref="T17">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f>
      </c>
      <c r="U17" s="9" cm="1">
        <f t="array" ref="U17">IFERROR(INDEX(tbl_IEA_EFs[ID], MATCH(1, ("Upstream Electricity" = tbl_IEA_EFs[Category]) * (tbl_Electricity_Calculation[[#This Row],[Country]] = tbl_IEA_EFs[Country]) * (tbl_Electricity_Calculation[[#This Row],[Last Year with Upstream Electricity EF]] = tbl_IEA_EFs[Year]), 0)),"")</f>
      </c>
      <c r="V17" s="10" cm="1">
        <f t="array" ref="V17">IFERROR(INDEX(tbl_IEA_EFs[ID], MATCH(1, ("Transmission &amp; Distribution Losses" = tbl_IEA_EFs[Category]) * (tbl_Electricity_Calculation[[#This Row],[Country]] = tbl_IEA_EFs[Country]) * (tbl_Electricity_Calculation[[#This Row],[Last Year with T&amp;D EF]] = tbl_IEA_EFs[Year]), 0)),"")</f>
      </c>
      <c r="W17" s="52">
        <f>IFERROR(IF(N($I17)=0,0,IF(INDEX('Scope 2'!$H$13:$H$22,MATCH($B17,'Scope 2'!$B$13:$B$22,0))="Yes",0,IF(N(INDEX('Scope 2'!$I$13:$I$22,MATCH($B17,'Scope 2'!$B$13:$B$22,0)))&gt;0,$I17*N(INDEX('Scope 2'!$I$13:$I$22,MATCH($B17,'Scope 2'!$B$13:$B$22,0))),N($J17)))),0)</f>
        <v>0</v>
      </c>
      <c r="X17" s="15">
        <f>IFERROR(IF(N($I17)=0,"",IF(INDEX('Scope 2'!$H$13:$H$22,MATCH($B17,'Scope 2'!$B$13:$B$22,0))="Yes","Guarantees of origin: 0",IF(N(INDEX('Scope 2'!$I$13:$I$22,MATCH($B17,'Scope 2'!$B$13:$B$22,0)))&gt;0,"Supplier-specific factor","Fallback: grid average"))),"")</f>
      </c>
    </row>
    <row r="18" ht="20" customHeight="1" x14ac:dyDescent="0.35">
      <c r="B18" s="18" t="s">
        <v>820</v>
      </c>
      <c r="C18" s="15">
        <f>INDEX(tbl_Electricity_Input[Location Name], MATCH(tbl_Electricity_Calculation[[#This Row],[Location]], tbl_Electricity_Input[Location], 0))</f>
        <v>0</v>
      </c>
      <c r="D18" s="15">
        <f>INDEX(tbl_Electricity_Input[Country], MATCH(tbl_Electricity_Calculation[[#This Row],[Location]], tbl_Electricity_Input[Location], 0))</f>
        <v>0</v>
      </c>
      <c r="E18" s="15">
        <f>_xlfn.MAXIFS(tbl_IEA_EFs[Year], tbl_IEA_EFs[Country], tbl_Electricity_Calculation[[#This Row],[Country]], tbl_IEA_EFs[Category], "Direct Electricity")</f>
        <v>0</v>
      </c>
      <c r="F18" s="15">
        <f>_xlfn.MAXIFS(tbl_IEA_EFs[Year], tbl_IEA_EFs[Country], tbl_Electricity_Calculation[[#This Row],[Country]], tbl_IEA_EFs[Category], "Upstream Electricity")</f>
        <v>0</v>
      </c>
      <c r="G18" s="15">
        <f>_xlfn.MAXIFS(tbl_IEA_EFs[Year], tbl_IEA_EFs[Country], tbl_Electricity_Calculation[[#This Row],[Country]], tbl_IEA_EFs[Category], "Transmission &amp; Distribution Losses")</f>
        <v>0</v>
      </c>
      <c r="H18" s="15">
        <f>INDEX(tbl_Electricity_Input[Number of Consumption Days], MATCH(tbl_Electricity_Calculation[[#This Row],[Location]], tbl_Electricity_Input[Location], 0))</f>
        <v>0</v>
      </c>
      <c r="I18" s="15">
        <f>INDEX(tbl_Electricity_Input[Consumption (kWh)], MATCH(tbl_Electricity_Calculation[[#This Row],[Location]], tbl_Electricity_Input[Location], 0))</f>
        <v>0</v>
      </c>
      <c r="J18" s="17" cm="1">
        <f t="array" ref="J18">IFERROR(tbl_Electricity_Calculation[[#This Row],[Consumption (kWh)]:[Consumption (kWh)]]
*
INDEX(tbl_IEA_EFs[kg CO2e], MATCH(tbl_Electricity_Calculation[[#This Row],[Emission Factor ID LB]:[Emission Factor ID LB]], tbl_IEA_EFs[[ID]:[ID]], 0)), "")</f>
      </c>
      <c r="K18" s="17" cm="1">
        <f t="array" ref="K18">IFERROR(tbl_Electricity_Calculation[[#This Row],[Consumption (kWh)]:[Consumption (kWh)]]
*
INDEX(tbl_IEA_EFs[kg CO2e of CO2 per unit], MATCH(tbl_Electricity_Calculation[[#This Row],[Emission Factor ID LB]:[Emission Factor ID LB]], tbl_IEA_EFs[[ID]:[ID]], 0)), "")</f>
      </c>
      <c r="L18" s="17" cm="1">
        <f t="array" ref="L18">IFERROR(tbl_Electricity_Calculation[[#This Row],[Consumption (kWh)]:[Consumption (kWh)]]
*
INDEX(tbl_IEA_EFs[kg CO2e of CH4 per unit], MATCH(tbl_Electricity_Calculation[[#This Row],[Emission Factor ID LB]:[Emission Factor ID LB]], tbl_IEA_EFs[[ID]:[ID]], 0)), "")</f>
      </c>
      <c r="M18" s="17" cm="1">
        <f t="array" ref="M18">IFERROR(tbl_Electricity_Calculation[[#This Row],[Consumption (kWh)]:[Consumption (kWh)]]
*
INDEX(tbl_IEA_EFs[kg CO2e of N2O per unit], MATCH(tbl_Electricity_Calculation[[#This Row],[Emission Factor ID LB]:[Emission Factor ID LB]], tbl_IEA_EFs[[ID]:[ID]], 0)), "")</f>
      </c>
      <c r="N18" s="17" cm="1">
        <f t="array" ref="N18">IFERROR(tbl_Electricity_Calculation[[#This Row],[Consumption (kWh)]:[Consumption (kWh)]]
*
INDEX(tbl_IEA_EFs[kg CO2e of Unspecified per unit2], MATCH(tbl_Electricity_Calculation[[#This Row],[Emission Factor ID LB]:[Emission Factor ID LB]], tbl_IEA_EFs[[ID]:[ID]], 0)), "")</f>
      </c>
      <c r="O18" s="9" cm="1">
        <f t="array" ref="O18">IFERROR(INDEX(tbl_IEA_EFs[ID],
   MATCH(1, ("Direct Electricity" = tbl_IEA_EFs[Category])
*
      (tbl_Electricity_Calculation[[#This Row],[Last Year with Direct Electricity EF]] = tbl_IEA_EFs[Year])
*
         (tbl_Electricity_Calculation[[#This Row],[Country]] = tbl_IEA_EFs[Country]), 0)), "")</f>
      </c>
      <c r="P18" s="65" cm="1">
        <f t="array" ref="P18">IFERROR(
tbl_Electricity_Calculation[[#This Row],[Consumption (kWh)]:[Consumption (kWh)]] * INDEX(tbl_IEA_EFs[kg CO2e], MATCH(tbl_Electricity_Calculation[[#This Row],[Emission Factor ID Upstream]:[Emission Factor ID Upstream]], tbl_IEA_EFs[[ID]:[ID]], 0))
+
tbl_Electricity_Calculation[[#This Row],[Consumption (kWh)]:[Consumption (kWh)]] * INDEX(tbl_IEA_EFs[kg CO2e], MATCH(tbl_Electricity_Calculation[[#This Row],[Emission Factor ID T&amp;D]:[Emission Factor ID T&amp;D]], tbl_IEA_EFs[[ID]:[ID]], 0)), "")</f>
      </c>
      <c r="Q18" s="65" cm="1">
        <f t="array" ref="Q18">IFERROR(
tbl_Electricity_Calculation[[#This Row],[Consumption (kWh)]:[Consumption (kWh)]] * INDEX(tbl_IEA_EFs[kg CO2e of CO2 per unit], MATCH(tbl_Electricity_Calculation[[#This Row],[Emission Factor ID Upstream]:[Emission Factor ID Upstream]], tbl_IEA_EFs[[ID]:[ID]], 0))
+
tbl_Electricity_Calculation[[#This Row],[Consumption (kWh)]:[Consumption (kWh)]] * INDEX(tbl_IEA_EFs[kg CO2e of CO2 per unit], MATCH(tbl_Electricity_Calculation[[#This Row],[Emission Factor ID T&amp;D]:[Emission Factor ID T&amp;D]], tbl_IEA_EFs[[ID]:[ID]], 0)), "")</f>
      </c>
      <c r="R18" s="65" cm="1">
        <f t="array" ref="R18">IFERROR(
tbl_Electricity_Calculation[[#This Row],[Consumption (kWh)]:[Consumption (kWh)]] * INDEX(tbl_IEA_EFs[kg CO2e of CH4 per unit], MATCH(tbl_Electricity_Calculation[[#This Row],[Emission Factor ID Upstream]:[Emission Factor ID Upstream]], tbl_IEA_EFs[[ID]:[ID]], 0))
+
tbl_Electricity_Calculation[[#This Row],[Consumption (kWh)]:[Consumption (kWh)]] * INDEX(tbl_IEA_EFs[kg CO2e of CH4 per unit], MATCH(tbl_Electricity_Calculation[[#This Row],[Emission Factor ID T&amp;D]:[Emission Factor ID T&amp;D]], tbl_IEA_EFs[[ID]:[ID]], 0)), "")</f>
      </c>
      <c r="S18" s="65" cm="1">
        <f t="array" ref="S18">IFERROR(
tbl_Electricity_Calculation[[#This Row],[Consumption (kWh)]:[Consumption (kWh)]] * INDEX(tbl_IEA_EFs[kg CO2e of N2O per unit], MATCH(tbl_Electricity_Calculation[[#This Row],[Emission Factor ID Upstream]:[Emission Factor ID Upstream]], tbl_IEA_EFs[[ID]:[ID]], 0))
+
tbl_Electricity_Calculation[[#This Row],[Consumption (kWh)]:[Consumption (kWh)]] * INDEX(tbl_IEA_EFs[kg CO2e of N2O per unit], MATCH(tbl_Electricity_Calculation[[#This Row],[Emission Factor ID T&amp;D]:[Emission Factor ID T&amp;D]], tbl_IEA_EFs[[ID]:[ID]], 0)), "")</f>
      </c>
      <c r="T18" s="65" cm="1">
        <f t="array" ref="T18">IFERROR(
tbl_Electricity_Calculation[[#This Row],[Consumption (kWh)]:[Consumption (kWh)]] * INDEX(tbl_IEA_EFs[kg CO2e of Unspecified per unit2], MATCH(tbl_Electricity_Calculation[[#This Row],[Emission Factor ID Upstream]:[Emission Factor ID Upstream]], tbl_IEA_EFs[[ID]:[ID]], 0))
+
tbl_Electricity_Calculation[[#This Row],[Consumption (kWh)]:[Consumption (kWh)]] * INDEX(tbl_IEA_EFs[kg CO2e of Unspecified per unit2], MATCH(tbl_Electricity_Calculation[[#This Row],[Emission Factor ID T&amp;D]:[Emission Factor ID T&amp;D]], tbl_IEA_EFs[[ID]:[ID]], 0)), "")</f>
      </c>
      <c r="U18" s="9" cm="1">
        <f t="array" ref="U18">IFERROR(INDEX(tbl_IEA_EFs[ID], MATCH(1, ("Upstream Electricity" = tbl_IEA_EFs[Category]) * (tbl_Electricity_Calculation[[#This Row],[Country]] = tbl_IEA_EFs[Country]) * (tbl_Electricity_Calculation[[#This Row],[Last Year with Upstream Electricity EF]] = tbl_IEA_EFs[Year]), 0)),"")</f>
      </c>
      <c r="V18" s="10" cm="1">
        <f t="array" ref="V18">IFERROR(INDEX(tbl_IEA_EFs[ID], MATCH(1, ("Transmission &amp; Distribution Losses" = tbl_IEA_EFs[Category]) * (tbl_Electricity_Calculation[[#This Row],[Country]] = tbl_IEA_EFs[Country]) * (tbl_Electricity_Calculation[[#This Row],[Last Year with T&amp;D EF]] = tbl_IEA_EFs[Year]), 0)),"")</f>
      </c>
      <c r="W18" s="52">
        <f>IFERROR(IF(N($I18)=0,0,IF(INDEX('Scope 2'!$H$13:$H$22,MATCH($B18,'Scope 2'!$B$13:$B$22,0))="Yes",0,IF(N(INDEX('Scope 2'!$I$13:$I$22,MATCH($B18,'Scope 2'!$B$13:$B$22,0)))&gt;0,$I18*N(INDEX('Scope 2'!$I$13:$I$22,MATCH($B18,'Scope 2'!$B$13:$B$22,0))),N($J18)))),0)</f>
        <v>0</v>
      </c>
      <c r="X18" s="15">
        <f>IFERROR(IF(N($I18)=0,"",IF(INDEX('Scope 2'!$H$13:$H$22,MATCH($B18,'Scope 2'!$B$13:$B$22,0))="Yes","Guarantees of origin: 0",IF(N(INDEX('Scope 2'!$I$13:$I$22,MATCH($B18,'Scope 2'!$B$13:$B$22,0)))&gt;0,"Supplier-specific factor","Fallback: grid average"))),"")</f>
      </c>
    </row>
    <row r="19" spans="1:22" s="42" customFormat="1" ht="15" thickBot="1" x14ac:dyDescent="0.4"/>
    <row r="20" spans="1:22" ht="15" thickTop="1" x14ac:dyDescent="0.35"/>
    <row r="21" spans="1:22" x14ac:dyDescent="0.35">
      <c r="B21" s="7" t="s">
        <v>857</v>
      </c>
      <c r="C21" s="7"/>
      <c r="D21" s="7" t="s">
        <v>826</v>
      </c>
      <c r="E21" s="7"/>
      <c r="F21" s="67"/>
      <c r="G21" s="67"/>
      <c r="H21" s="67"/>
      <c r="I21" s="67"/>
      <c r="J21" s="67"/>
      <c r="K21" s="67"/>
      <c r="L21" s="67"/>
      <c r="M21" s="67"/>
      <c r="N21" s="67"/>
      <c r="O21" s="67"/>
      <c r="P21" s="67"/>
      <c r="Q21" s="67"/>
    </row>
    <row r="22" spans="1:22" ht="5" customHeight="1" x14ac:dyDescent="0.35">
      <c r="B22" s="4"/>
      <c r="C22" s="4"/>
      <c r="D22" s="4"/>
      <c r="E22" s="4"/>
    </row>
    <row r="23" spans="1:22" x14ac:dyDescent="0.35">
      <c r="B23" s="11" t="s">
        <v>1012</v>
      </c>
      <c r="C23" s="45">
        <f>SUM(tbl_Calculation_District_Heating[kg CO2e LB])</f>
        <v>0</v>
      </c>
      <c r="D23" s="11" t="s">
        <v>1012</v>
      </c>
      <c r="E23" s="45">
        <f>SUM(tbl_Calculation_District_Heating[kg CO2e 3.03.])</f>
        <v>0</v>
      </c>
    </row>
    <row r="24" spans="1:22" x14ac:dyDescent="0.35">
      <c r="A24" s="2" t="s">
        <v>856</v>
      </c>
    </row>
    <row r="25" spans="1:22" ht="30" customHeight="1" x14ac:dyDescent="0.35">
      <c r="B25" s="71" t="s">
        <v>808</v>
      </c>
      <c r="C25" s="64" t="s">
        <v>827</v>
      </c>
      <c r="D25" s="64" t="s">
        <v>823</v>
      </c>
      <c r="E25" s="64" t="s">
        <v>829</v>
      </c>
      <c r="F25" s="64" t="s">
        <v>830</v>
      </c>
      <c r="G25" s="64" t="s">
        <v>831</v>
      </c>
      <c r="H25" s="64" t="s">
        <v>832</v>
      </c>
      <c r="I25" s="64" t="s">
        <v>833</v>
      </c>
      <c r="J25" s="64" t="s">
        <v>828</v>
      </c>
      <c r="K25" s="64" t="s">
        <v>834</v>
      </c>
      <c r="L25" s="64" t="s">
        <v>835</v>
      </c>
      <c r="M25" s="64" t="s">
        <v>836</v>
      </c>
      <c r="N25" s="64" t="s">
        <v>837</v>
      </c>
      <c r="O25" s="64" t="s">
        <v>838</v>
      </c>
      <c r="P25" s="64" t="s">
        <v>839</v>
      </c>
      <c r="Q25" s="72" t="s">
        <v>840</v>
      </c>
    </row>
    <row r="26" spans="1:22" ht="20" customHeight="1" x14ac:dyDescent="0.35">
      <c r="B26" s="18" t="s">
        <v>811</v>
      </c>
      <c r="C26" s="116">
        <f>INDEX(tbl_District_heating_Input[Consumption Days], MATCH(tbl_Calculation_District_Heating[[#This Row],[Location]], tbl_District_heating_Input[Location], 0))</f>
        <v>0</v>
      </c>
      <c r="D26" s="116">
        <f>INDEX(tbl_District_heating_Input[Consumption (kWh)], MATCH(tbl_Calculation_District_Heating[[#This Row],[Location]], tbl_District_heating_Input[Location], 0))</f>
        <v>0</v>
      </c>
      <c r="E26" s="17" cm="1">
        <f t="array" ref="E26">IFERROR(tbl_Calculation_District_Heating[[#This Row],[Consumption (kWh)]:[Consumption (kWh)]]
*
INDEX(tbl_EF_District_Heating[kg CO2e], MATCH(tbl_Calculation_District_Heating[[#This Row],[Emission Factor ID LB]:[Emission Factor ID LB]], tbl_EF_District_Heating[[Emission Factor ID]:[Emission Factor ID]], 0)), "")</f>
        <v>0</v>
      </c>
      <c r="F26" s="17" cm="1">
        <f t="array" ref="F26">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f>
        <v>0</v>
      </c>
      <c r="G26" s="17" cm="1">
        <f t="array" ref="G26">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f>
        <v>0</v>
      </c>
      <c r="H26" s="17" cm="1">
        <f t="array" ref="H26">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f>
        <v>0</v>
      </c>
      <c r="I26" s="17" cm="1">
        <f t="array" ref="I26">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f>
        <v>0</v>
      </c>
      <c r="J26" s="9" t="str">
        <f>IFERROR(INDEX(tbl_EF_District_Heating[Emission Factor ID], MATCH("Heat and Steam", tbl_EF_District_Heating[Activity], 0)), "")</f>
        <v>DH202</v>
      </c>
      <c r="K26" s="17" cm="1">
        <f t="array" ref="K26">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f>
        <v>0</v>
      </c>
      <c r="L26" s="17" cm="1">
        <f t="array" ref="L26">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f>
        <v>0</v>
      </c>
      <c r="M26" s="17" cm="1">
        <f t="array" ref="M26">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f>
        <v>0</v>
      </c>
      <c r="N26" s="17" cm="1">
        <f t="array" ref="N26">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f>
        <v>0</v>
      </c>
      <c r="O26" s="17">
        <f>tbl_Calculation_District_Heating[[#This Row],[kg CO2e 3.03.]]</f>
        <v>0</v>
      </c>
      <c r="P26" s="14" t="str">
        <f>INDEX(tbl_EF_District_Heating[Emission Factor ID], MATCH("WTT - Heat and Steam", tbl_EF_District_Heating[Activity], 0))</f>
        <v>DH3031</v>
      </c>
      <c r="Q26" s="14" t="str">
        <f>INDEX(tbl_EF_District_Heating[Emission Factor ID], MATCH("WTT - District Heat &amp; steam Distribution", tbl_EF_District_Heating[Activity], 0))</f>
        <v>DH3032</v>
      </c>
    </row>
    <row r="27" spans="1:22" ht="20" customHeight="1" x14ac:dyDescent="0.35">
      <c r="B27" s="18" t="s">
        <v>812</v>
      </c>
      <c r="C27" s="15">
        <f>INDEX(tbl_District_heating_Input[Consumption Days], MATCH(tbl_Calculation_District_Heating[[#This Row],[Location]], tbl_District_heating_Input[Location], 0))</f>
        <v>0</v>
      </c>
      <c r="D27" s="15">
        <f>INDEX(tbl_District_heating_Input[Consumption (kWh)], MATCH(tbl_Calculation_District_Heating[[#This Row],[Location]], tbl_District_heating_Input[Location], 0))</f>
        <v>0</v>
      </c>
      <c r="E27" s="17" cm="1">
        <f t="array" ref="E27">IFERROR(tbl_Calculation_District_Heating[[#This Row],[Consumption (kWh)]:[Consumption (kWh)]]
*
INDEX(tbl_EF_District_Heating[kg CO2e], MATCH(tbl_Calculation_District_Heating[[#This Row],[Emission Factor ID LB]:[Emission Factor ID LB]], tbl_EF_District_Heating[[Emission Factor ID]:[Emission Factor ID]], 0)), "")</f>
        <v>0</v>
      </c>
      <c r="F27" s="17" cm="1">
        <f t="array" ref="F27">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f>
        <v>0</v>
      </c>
      <c r="G27" s="17" cm="1">
        <f t="array" ref="G27">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f>
        <v>0</v>
      </c>
      <c r="H27" s="17" cm="1">
        <f t="array" ref="H27">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f>
        <v>0</v>
      </c>
      <c r="I27" s="17" cm="1">
        <f t="array" ref="I27">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f>
        <v>0</v>
      </c>
      <c r="J27" s="9" t="str">
        <f>IFERROR(INDEX(tbl_EF_District_Heating[Emission Factor ID], MATCH("Heat and Steam", tbl_EF_District_Heating[Activity], 0)), "")</f>
        <v>DH202</v>
      </c>
      <c r="K27" s="17" cm="1">
        <f t="array" ref="K27">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f>
        <v>0</v>
      </c>
      <c r="L27" s="17" cm="1">
        <f t="array" ref="L27">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f>
        <v>0</v>
      </c>
      <c r="M27" s="17" cm="1">
        <f t="array" ref="M27">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f>
        <v>0</v>
      </c>
      <c r="N27" s="17" cm="1">
        <f t="array" ref="N27">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f>
        <v>0</v>
      </c>
      <c r="O27" s="17">
        <f>tbl_Calculation_District_Heating[[#This Row],[kg CO2e 3.03.]]</f>
        <v>0</v>
      </c>
      <c r="P27" s="14" t="str">
        <f>INDEX(tbl_EF_District_Heating[Emission Factor ID], MATCH("WTT - Heat and Steam", tbl_EF_District_Heating[Activity], 0))</f>
        <v>DH3031</v>
      </c>
      <c r="Q27" s="75" t="str">
        <f>INDEX(tbl_EF_District_Heating[Emission Factor ID], MATCH("WTT - District Heat &amp; steam Distribution", tbl_EF_District_Heating[Activity], 0))</f>
        <v>DH3032</v>
      </c>
    </row>
    <row r="28" spans="1:22" ht="20" customHeight="1" x14ac:dyDescent="0.35">
      <c r="B28" s="18" t="s">
        <v>813</v>
      </c>
      <c r="C28" s="15">
        <f>INDEX(tbl_District_heating_Input[Consumption Days], MATCH(tbl_Calculation_District_Heating[[#This Row],[Location]], tbl_District_heating_Input[Location], 0))</f>
        <v>0</v>
      </c>
      <c r="D28" s="15">
        <f>INDEX(tbl_District_heating_Input[Consumption (kWh)], MATCH(tbl_Calculation_District_Heating[[#This Row],[Location]], tbl_District_heating_Input[Location], 0))</f>
        <v>0</v>
      </c>
      <c r="E28" s="17" cm="1">
        <f t="array" ref="E28">IFERROR(tbl_Calculation_District_Heating[[#This Row],[Consumption (kWh)]:[Consumption (kWh)]]
*
INDEX(tbl_EF_District_Heating[kg CO2e], MATCH(tbl_Calculation_District_Heating[[#This Row],[Emission Factor ID LB]:[Emission Factor ID LB]], tbl_EF_District_Heating[[Emission Factor ID]:[Emission Factor ID]], 0)), "")</f>
        <v>0</v>
      </c>
      <c r="F28" s="17" cm="1">
        <f t="array" ref="F28">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f>
        <v>0</v>
      </c>
      <c r="G28" s="17" cm="1">
        <f t="array" ref="G28">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f>
        <v>0</v>
      </c>
      <c r="H28" s="17" cm="1">
        <f t="array" ref="H28">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f>
        <v>0</v>
      </c>
      <c r="I28" s="17" cm="1">
        <f t="array" ref="I28">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f>
        <v>0</v>
      </c>
      <c r="J28" s="9" t="str">
        <f>IFERROR(INDEX(tbl_EF_District_Heating[Emission Factor ID], MATCH("Heat and Steam", tbl_EF_District_Heating[Activity], 0)), "")</f>
        <v>DH202</v>
      </c>
      <c r="K28" s="17" cm="1">
        <f t="array" ref="K28">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f>
        <v>0</v>
      </c>
      <c r="L28" s="17" cm="1">
        <f t="array" ref="L28">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f>
        <v>0</v>
      </c>
      <c r="M28" s="17" cm="1">
        <f t="array" ref="M28">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f>
        <v>0</v>
      </c>
      <c r="N28" s="17" cm="1">
        <f t="array" ref="N28">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f>
        <v>0</v>
      </c>
      <c r="O28" s="17">
        <f>tbl_Calculation_District_Heating[[#This Row],[kg CO2e 3.03.]]</f>
        <v>0</v>
      </c>
      <c r="P28" s="14" t="str">
        <f>INDEX(tbl_EF_District_Heating[Emission Factor ID], MATCH("WTT - Heat and Steam", tbl_EF_District_Heating[Activity], 0))</f>
        <v>DH3031</v>
      </c>
      <c r="Q28" s="75" t="str">
        <f>INDEX(tbl_EF_District_Heating[Emission Factor ID], MATCH("WTT - District Heat &amp; steam Distribution", tbl_EF_District_Heating[Activity], 0))</f>
        <v>DH3032</v>
      </c>
    </row>
    <row r="29" spans="1:22" ht="20" customHeight="1" x14ac:dyDescent="0.35">
      <c r="B29" s="18" t="s">
        <v>814</v>
      </c>
      <c r="C29" s="15">
        <f>INDEX(tbl_District_heating_Input[Consumption Days], MATCH(tbl_Calculation_District_Heating[[#This Row],[Location]], tbl_District_heating_Input[Location], 0))</f>
        <v>0</v>
      </c>
      <c r="D29" s="15">
        <f>INDEX(tbl_District_heating_Input[Consumption (kWh)], MATCH(tbl_Calculation_District_Heating[[#This Row],[Location]], tbl_District_heating_Input[Location], 0))</f>
        <v>0</v>
      </c>
      <c r="E29" s="17" cm="1">
        <f t="array" ref="E29">IFERROR(tbl_Calculation_District_Heating[[#This Row],[Consumption (kWh)]:[Consumption (kWh)]]
*
INDEX(tbl_EF_District_Heating[kg CO2e], MATCH(tbl_Calculation_District_Heating[[#This Row],[Emission Factor ID LB]:[Emission Factor ID LB]], tbl_EF_District_Heating[[Emission Factor ID]:[Emission Factor ID]], 0)), "")</f>
        <v>0</v>
      </c>
      <c r="F29" s="17" cm="1">
        <f t="array" ref="F29">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f>
        <v>0</v>
      </c>
      <c r="G29" s="17" cm="1">
        <f t="array" ref="G29">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f>
        <v>0</v>
      </c>
      <c r="H29" s="17" cm="1">
        <f t="array" ref="H29">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f>
        <v>0</v>
      </c>
      <c r="I29" s="17" cm="1">
        <f t="array" ref="I29">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f>
        <v>0</v>
      </c>
      <c r="J29" s="9" t="str">
        <f>IFERROR(INDEX(tbl_EF_District_Heating[Emission Factor ID], MATCH("Heat and Steam", tbl_EF_District_Heating[Activity], 0)), "")</f>
        <v>DH202</v>
      </c>
      <c r="K29" s="17" cm="1">
        <f t="array" ref="K29">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f>
        <v>0</v>
      </c>
      <c r="L29" s="17" cm="1">
        <f t="array" ref="L29">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f>
        <v>0</v>
      </c>
      <c r="M29" s="17" cm="1">
        <f t="array" ref="M29">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f>
        <v>0</v>
      </c>
      <c r="N29" s="17" cm="1">
        <f t="array" ref="N29">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f>
        <v>0</v>
      </c>
      <c r="O29" s="17">
        <f>tbl_Calculation_District_Heating[[#This Row],[kg CO2e 3.03.]]</f>
        <v>0</v>
      </c>
      <c r="P29" s="14" t="str">
        <f>INDEX(tbl_EF_District_Heating[Emission Factor ID], MATCH("WTT - Heat and Steam", tbl_EF_District_Heating[Activity], 0))</f>
        <v>DH3031</v>
      </c>
      <c r="Q29" s="75" t="str">
        <f>INDEX(tbl_EF_District_Heating[Emission Factor ID], MATCH("WTT - District Heat &amp; steam Distribution", tbl_EF_District_Heating[Activity], 0))</f>
        <v>DH3032</v>
      </c>
    </row>
    <row r="30" spans="1:22" ht="20" customHeight="1" x14ac:dyDescent="0.35">
      <c r="B30" s="18" t="s">
        <v>815</v>
      </c>
      <c r="C30" s="15">
        <f>INDEX(tbl_District_heating_Input[Consumption Days], MATCH(tbl_Calculation_District_Heating[[#This Row],[Location]], tbl_District_heating_Input[Location], 0))</f>
        <v>0</v>
      </c>
      <c r="D30" s="15">
        <f>INDEX(tbl_District_heating_Input[Consumption (kWh)], MATCH(tbl_Calculation_District_Heating[[#This Row],[Location]], tbl_District_heating_Input[Location], 0))</f>
        <v>0</v>
      </c>
      <c r="E30" s="17" cm="1">
        <f t="array" ref="E30">IFERROR(tbl_Calculation_District_Heating[[#This Row],[Consumption (kWh)]:[Consumption (kWh)]]
*
INDEX(tbl_EF_District_Heating[kg CO2e], MATCH(tbl_Calculation_District_Heating[[#This Row],[Emission Factor ID LB]:[Emission Factor ID LB]], tbl_EF_District_Heating[[Emission Factor ID]:[Emission Factor ID]], 0)), "")</f>
        <v>0</v>
      </c>
      <c r="F30" s="17" cm="1">
        <f t="array" ref="F30">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f>
        <v>0</v>
      </c>
      <c r="G30" s="17" cm="1">
        <f t="array" ref="G30">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f>
        <v>0</v>
      </c>
      <c r="H30" s="17" cm="1">
        <f t="array" ref="H30">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f>
        <v>0</v>
      </c>
      <c r="I30" s="17" cm="1">
        <f t="array" ref="I30">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f>
        <v>0</v>
      </c>
      <c r="J30" s="9" t="str">
        <f>IFERROR(INDEX(tbl_EF_District_Heating[Emission Factor ID], MATCH("Heat and Steam", tbl_EF_District_Heating[Activity], 0)), "")</f>
        <v>DH202</v>
      </c>
      <c r="K30" s="17" cm="1">
        <f t="array" ref="K30">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f>
        <v>0</v>
      </c>
      <c r="L30" s="17" cm="1">
        <f t="array" ref="L30">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f>
        <v>0</v>
      </c>
      <c r="M30" s="17" cm="1">
        <f t="array" ref="M30">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f>
        <v>0</v>
      </c>
      <c r="N30" s="17" cm="1">
        <f t="array" ref="N30">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f>
        <v>0</v>
      </c>
      <c r="O30" s="17">
        <f>tbl_Calculation_District_Heating[[#This Row],[kg CO2e 3.03.]]</f>
        <v>0</v>
      </c>
      <c r="P30" s="14" t="str">
        <f>INDEX(tbl_EF_District_Heating[Emission Factor ID], MATCH("WTT - Heat and Steam", tbl_EF_District_Heating[Activity], 0))</f>
        <v>DH3031</v>
      </c>
      <c r="Q30" s="75" t="str">
        <f>INDEX(tbl_EF_District_Heating[Emission Factor ID], MATCH("WTT - District Heat &amp; steam Distribution", tbl_EF_District_Heating[Activity], 0))</f>
        <v>DH3032</v>
      </c>
    </row>
    <row r="31" spans="1:22" ht="20" customHeight="1" x14ac:dyDescent="0.35">
      <c r="B31" s="18" t="s">
        <v>816</v>
      </c>
      <c r="C31" s="15">
        <f>INDEX(tbl_District_heating_Input[Consumption Days], MATCH(tbl_Calculation_District_Heating[[#This Row],[Location]], tbl_District_heating_Input[Location], 0))</f>
        <v>0</v>
      </c>
      <c r="D31" s="15">
        <f>INDEX(tbl_District_heating_Input[Consumption (kWh)], MATCH(tbl_Calculation_District_Heating[[#This Row],[Location]], tbl_District_heating_Input[Location], 0))</f>
        <v>0</v>
      </c>
      <c r="E31" s="17" cm="1">
        <f t="array" ref="E31">IFERROR(tbl_Calculation_District_Heating[[#This Row],[Consumption (kWh)]:[Consumption (kWh)]]
*
INDEX(tbl_EF_District_Heating[kg CO2e], MATCH(tbl_Calculation_District_Heating[[#This Row],[Emission Factor ID LB]:[Emission Factor ID LB]], tbl_EF_District_Heating[[Emission Factor ID]:[Emission Factor ID]], 0)), "")</f>
        <v>0</v>
      </c>
      <c r="F31" s="17" cm="1">
        <f t="array" ref="F31">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f>
        <v>0</v>
      </c>
      <c r="G31" s="17" cm="1">
        <f t="array" ref="G31">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f>
        <v>0</v>
      </c>
      <c r="H31" s="17" cm="1">
        <f t="array" ref="H31">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f>
        <v>0</v>
      </c>
      <c r="I31" s="17" cm="1">
        <f t="array" ref="I31">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f>
        <v>0</v>
      </c>
      <c r="J31" s="9" t="str">
        <f>IFERROR(INDEX(tbl_EF_District_Heating[Emission Factor ID], MATCH("Heat and Steam", tbl_EF_District_Heating[Activity], 0)), "")</f>
        <v>DH202</v>
      </c>
      <c r="K31" s="17" cm="1">
        <f t="array" ref="K31">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f>
        <v>0</v>
      </c>
      <c r="L31" s="17" cm="1">
        <f t="array" ref="L31">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f>
        <v>0</v>
      </c>
      <c r="M31" s="17" cm="1">
        <f t="array" ref="M31">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f>
        <v>0</v>
      </c>
      <c r="N31" s="17" cm="1">
        <f t="array" ref="N31">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f>
        <v>0</v>
      </c>
      <c r="O31" s="17">
        <f>tbl_Calculation_District_Heating[[#This Row],[kg CO2e 3.03.]]</f>
        <v>0</v>
      </c>
      <c r="P31" s="14" t="str">
        <f>INDEX(tbl_EF_District_Heating[Emission Factor ID], MATCH("WTT - Heat and Steam", tbl_EF_District_Heating[Activity], 0))</f>
        <v>DH3031</v>
      </c>
      <c r="Q31" s="75" t="str">
        <f>INDEX(tbl_EF_District_Heating[Emission Factor ID], MATCH("WTT - District Heat &amp; steam Distribution", tbl_EF_District_Heating[Activity], 0))</f>
        <v>DH3032</v>
      </c>
    </row>
    <row r="32" spans="1:22" ht="20" customHeight="1" x14ac:dyDescent="0.35">
      <c r="B32" s="18" t="s">
        <v>817</v>
      </c>
      <c r="C32" s="15">
        <f>INDEX(tbl_District_heating_Input[Consumption Days], MATCH(tbl_Calculation_District_Heating[[#This Row],[Location]], tbl_District_heating_Input[Location], 0))</f>
        <v>0</v>
      </c>
      <c r="D32" s="15">
        <f>INDEX(tbl_District_heating_Input[Consumption (kWh)], MATCH(tbl_Calculation_District_Heating[[#This Row],[Location]], tbl_District_heating_Input[Location], 0))</f>
        <v>0</v>
      </c>
      <c r="E32" s="17" cm="1">
        <f t="array" ref="E32">IFERROR(tbl_Calculation_District_Heating[[#This Row],[Consumption (kWh)]:[Consumption (kWh)]]
*
INDEX(tbl_EF_District_Heating[kg CO2e], MATCH(tbl_Calculation_District_Heating[[#This Row],[Emission Factor ID LB]:[Emission Factor ID LB]], tbl_EF_District_Heating[[Emission Factor ID]:[Emission Factor ID]], 0)), "")</f>
        <v>0</v>
      </c>
      <c r="F32" s="17" cm="1">
        <f t="array" ref="F32">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f>
        <v>0</v>
      </c>
      <c r="G32" s="17" cm="1">
        <f t="array" ref="G32">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f>
        <v>0</v>
      </c>
      <c r="H32" s="17" cm="1">
        <f t="array" ref="H32">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f>
        <v>0</v>
      </c>
      <c r="I32" s="17" cm="1">
        <f t="array" ref="I32">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f>
        <v>0</v>
      </c>
      <c r="J32" s="9" t="str">
        <f>IFERROR(INDEX(tbl_EF_District_Heating[Emission Factor ID], MATCH("Heat and Steam", tbl_EF_District_Heating[Activity], 0)), "")</f>
        <v>DH202</v>
      </c>
      <c r="K32" s="17" cm="1">
        <f t="array" ref="K32">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f>
        <v>0</v>
      </c>
      <c r="L32" s="17" cm="1">
        <f t="array" ref="L32">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f>
        <v>0</v>
      </c>
      <c r="M32" s="17" cm="1">
        <f t="array" ref="M32">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f>
        <v>0</v>
      </c>
      <c r="N32" s="17" cm="1">
        <f t="array" ref="N32">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f>
        <v>0</v>
      </c>
      <c r="O32" s="17">
        <f>tbl_Calculation_District_Heating[[#This Row],[kg CO2e 3.03.]]</f>
        <v>0</v>
      </c>
      <c r="P32" s="14" t="str">
        <f>INDEX(tbl_EF_District_Heating[Emission Factor ID], MATCH("WTT - Heat and Steam", tbl_EF_District_Heating[Activity], 0))</f>
        <v>DH3031</v>
      </c>
      <c r="Q32" s="75" t="str">
        <f>INDEX(tbl_EF_District_Heating[Emission Factor ID], MATCH("WTT - District Heat &amp; steam Distribution", tbl_EF_District_Heating[Activity], 0))</f>
        <v>DH3032</v>
      </c>
    </row>
    <row r="33" spans="2:17" ht="20" customHeight="1" x14ac:dyDescent="0.35">
      <c r="B33" s="18" t="s">
        <v>818</v>
      </c>
      <c r="C33" s="15">
        <f>INDEX(tbl_District_heating_Input[Consumption Days], MATCH(tbl_Calculation_District_Heating[[#This Row],[Location]], tbl_District_heating_Input[Location], 0))</f>
        <v>0</v>
      </c>
      <c r="D33" s="15">
        <f>INDEX(tbl_District_heating_Input[Consumption (kWh)], MATCH(tbl_Calculation_District_Heating[[#This Row],[Location]], tbl_District_heating_Input[Location], 0))</f>
        <v>0</v>
      </c>
      <c r="E33" s="17" cm="1">
        <f t="array" ref="E33">IFERROR(tbl_Calculation_District_Heating[[#This Row],[Consumption (kWh)]:[Consumption (kWh)]]
*
INDEX(tbl_EF_District_Heating[kg CO2e], MATCH(tbl_Calculation_District_Heating[[#This Row],[Emission Factor ID LB]:[Emission Factor ID LB]], tbl_EF_District_Heating[[Emission Factor ID]:[Emission Factor ID]], 0)), "")</f>
        <v>0</v>
      </c>
      <c r="F33" s="17" cm="1">
        <f t="array" ref="F33">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f>
        <v>0</v>
      </c>
      <c r="G33" s="17" cm="1">
        <f t="array" ref="G33">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f>
        <v>0</v>
      </c>
      <c r="H33" s="17" cm="1">
        <f t="array" ref="H33">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f>
        <v>0</v>
      </c>
      <c r="I33" s="17" cm="1">
        <f t="array" ref="I33">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f>
        <v>0</v>
      </c>
      <c r="J33" s="9" t="str">
        <f>IFERROR(INDEX(tbl_EF_District_Heating[Emission Factor ID], MATCH("Heat and Steam", tbl_EF_District_Heating[Activity], 0)), "")</f>
        <v>DH202</v>
      </c>
      <c r="K33" s="17" cm="1">
        <f t="array" ref="K33">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f>
        <v>0</v>
      </c>
      <c r="L33" s="17" cm="1">
        <f t="array" ref="L33">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f>
        <v>0</v>
      </c>
      <c r="M33" s="17" cm="1">
        <f t="array" ref="M33">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f>
        <v>0</v>
      </c>
      <c r="N33" s="17" cm="1">
        <f t="array" ref="N33">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f>
        <v>0</v>
      </c>
      <c r="O33" s="17">
        <f>tbl_Calculation_District_Heating[[#This Row],[kg CO2e 3.03.]]</f>
        <v>0</v>
      </c>
      <c r="P33" s="14" t="str">
        <f>INDEX(tbl_EF_District_Heating[Emission Factor ID], MATCH("WTT - Heat and Steam", tbl_EF_District_Heating[Activity], 0))</f>
        <v>DH3031</v>
      </c>
      <c r="Q33" s="75" t="str">
        <f>INDEX(tbl_EF_District_Heating[Emission Factor ID], MATCH("WTT - District Heat &amp; steam Distribution", tbl_EF_District_Heating[Activity], 0))</f>
        <v>DH3032</v>
      </c>
    </row>
    <row r="34" spans="2:17" ht="20" customHeight="1" x14ac:dyDescent="0.35">
      <c r="B34" s="18" t="s">
        <v>819</v>
      </c>
      <c r="C34" s="15">
        <f>INDEX(tbl_District_heating_Input[Consumption Days], MATCH(tbl_Calculation_District_Heating[[#This Row],[Location]], tbl_District_heating_Input[Location], 0))</f>
        <v>0</v>
      </c>
      <c r="D34" s="15">
        <f>INDEX(tbl_District_heating_Input[Consumption (kWh)], MATCH(tbl_Calculation_District_Heating[[#This Row],[Location]], tbl_District_heating_Input[Location], 0))</f>
        <v>0</v>
      </c>
      <c r="E34" s="17" cm="1">
        <f t="array" ref="E34">IFERROR(tbl_Calculation_District_Heating[[#This Row],[Consumption (kWh)]:[Consumption (kWh)]]
*
INDEX(tbl_EF_District_Heating[kg CO2e], MATCH(tbl_Calculation_District_Heating[[#This Row],[Emission Factor ID LB]:[Emission Factor ID LB]], tbl_EF_District_Heating[[Emission Factor ID]:[Emission Factor ID]], 0)), "")</f>
        <v>0</v>
      </c>
      <c r="F34" s="17" cm="1">
        <f t="array" ref="F34">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f>
        <v>0</v>
      </c>
      <c r="G34" s="17" cm="1">
        <f t="array" ref="G34">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f>
        <v>0</v>
      </c>
      <c r="H34" s="17" cm="1">
        <f t="array" ref="H34">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f>
        <v>0</v>
      </c>
      <c r="I34" s="17" cm="1">
        <f t="array" ref="I34">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f>
        <v>0</v>
      </c>
      <c r="J34" s="9" t="str">
        <f>IFERROR(INDEX(tbl_EF_District_Heating[Emission Factor ID], MATCH("Heat and Steam", tbl_EF_District_Heating[Activity], 0)), "")</f>
        <v>DH202</v>
      </c>
      <c r="K34" s="17" cm="1">
        <f t="array" ref="K34">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f>
        <v>0</v>
      </c>
      <c r="L34" s="17" cm="1">
        <f t="array" ref="L34">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f>
        <v>0</v>
      </c>
      <c r="M34" s="17" cm="1">
        <f t="array" ref="M34">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f>
        <v>0</v>
      </c>
      <c r="N34" s="17" cm="1">
        <f t="array" ref="N34">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f>
        <v>0</v>
      </c>
      <c r="O34" s="17">
        <f>tbl_Calculation_District_Heating[[#This Row],[kg CO2e 3.03.]]</f>
        <v>0</v>
      </c>
      <c r="P34" s="14" t="str">
        <f>INDEX(tbl_EF_District_Heating[Emission Factor ID], MATCH("WTT - Heat and Steam", tbl_EF_District_Heating[Activity], 0))</f>
        <v>DH3031</v>
      </c>
      <c r="Q34" s="75" t="str">
        <f>INDEX(tbl_EF_District_Heating[Emission Factor ID], MATCH("WTT - District Heat &amp; steam Distribution", tbl_EF_District_Heating[Activity], 0))</f>
        <v>DH3032</v>
      </c>
    </row>
    <row r="35" spans="2:17" ht="20" customHeight="1" x14ac:dyDescent="0.35">
      <c r="B35" s="18" t="s">
        <v>820</v>
      </c>
      <c r="C35" s="15">
        <f>INDEX(tbl_District_heating_Input[Consumption Days], MATCH(tbl_Calculation_District_Heating[[#This Row],[Location]], tbl_District_heating_Input[Location], 0))</f>
        <v>0</v>
      </c>
      <c r="D35" s="15">
        <f>INDEX(tbl_District_heating_Input[Consumption (kWh)], MATCH(tbl_Calculation_District_Heating[[#This Row],[Location]], tbl_District_heating_Input[Location], 0))</f>
        <v>0</v>
      </c>
      <c r="E35" s="17" cm="1">
        <f t="array" ref="E35">IFERROR(tbl_Calculation_District_Heating[[#This Row],[Consumption (kWh)]:[Consumption (kWh)]]
*
INDEX(tbl_EF_District_Heating[kg CO2e], MATCH(tbl_Calculation_District_Heating[[#This Row],[Emission Factor ID LB]:[Emission Factor ID LB]], tbl_EF_District_Heating[[Emission Factor ID]:[Emission Factor ID]], 0)), "")</f>
        <v>0</v>
      </c>
      <c r="F35" s="17" cm="1">
        <f t="array" ref="F35">IFERROR(tbl_Calculation_District_Heating[[#This Row],[Consumption (kWh)]:[Consumption (kWh)]]
*
INDEX(tbl_EF_District_Heating[kg CO2e of CO2 per unit], MATCH(tbl_Calculation_District_Heating[[#This Row],[Emission Factor ID LB]:[Emission Factor ID LB]], tbl_EF_District_Heating[[Emission Factor ID]:[Emission Factor ID]], 0)), "")</f>
        <v>0</v>
      </c>
      <c r="G35" s="17" cm="1">
        <f t="array" ref="G35">IFERROR(tbl_Calculation_District_Heating[[#This Row],[Consumption (kWh)]:[Consumption (kWh)]]
*
INDEX(tbl_EF_District_Heating[kg CO2e of CH4 per unit], MATCH(tbl_Calculation_District_Heating[[#This Row],[Emission Factor ID LB]:[Emission Factor ID LB]], tbl_EF_District_Heating[[Emission Factor ID]:[Emission Factor ID]], 0)), "")</f>
        <v>0</v>
      </c>
      <c r="H35" s="17" cm="1">
        <f t="array" ref="H35">IFERROR(tbl_Calculation_District_Heating[[#This Row],[Consumption (kWh)]:[Consumption (kWh)]]
*
INDEX(tbl_EF_District_Heating[kg CO2e of N2O per unit], MATCH(tbl_Calculation_District_Heating[[#This Row],[Emission Factor ID LB]:[Emission Factor ID LB]], tbl_EF_District_Heating[[Emission Factor ID]:[Emission Factor ID]], 0)), "")</f>
        <v>0</v>
      </c>
      <c r="I35" s="17" cm="1">
        <f t="array" ref="I35">IFERROR(tbl_Calculation_District_Heating[[#This Row],[Consumption (kWh)]:[Consumption (kWh)]]
*
INDEX(tbl_EF_District_Heating[kg CO2e of Unspecified per unit], MATCH(tbl_Calculation_District_Heating[[#This Row],[Emission Factor ID LB]:[Emission Factor ID LB]], tbl_EF_District_Heating[[Emission Factor ID]:[Emission Factor ID]], 0)), "")</f>
        <v>0</v>
      </c>
      <c r="J35" s="9" t="str">
        <f>IFERROR(INDEX(tbl_EF_District_Heating[Emission Factor ID], MATCH("Heat and Steam", tbl_EF_District_Heating[Activity], 0)), "")</f>
        <v>DH202</v>
      </c>
      <c r="K35" s="17" cm="1">
        <f t="array" ref="K35">IFERROR(
tbl_Calculation_District_Heating[[#This Row],[Consumption (kWh)]:[Consumption (kWh)]] * INDEX(tbl_EF_District_Heating[kg CO2e], MATCH(tbl_Calculation_District_Heating[[#This Row],[Emission Factor ID Upstream]:[Emission Factor ID Upstream]], tbl_EF_District_Heating[[Emission Factor ID]:[Emission Factor ID]], 0))
+
tbl_Calculation_District_Heating[[#This Row],[Consumption (kWh)]:[Consumption (kWh)]] * INDEX(tbl_EF_District_Heating[kg CO2e], MATCH(tbl_Calculation_District_Heating[[#This Row],[Emission Factor ID T&amp;D]:[Emission Factor ID T&amp;D]], tbl_EF_District_Heating[[Emission Factor ID]:[Emission Factor ID]], 0)), "")</f>
        <v>0</v>
      </c>
      <c r="L35" s="17" cm="1">
        <f t="array" ref="L35">IFERROR(
tbl_Calculation_District_Heating[[#This Row],[Consumption (kWh)]:[Consumption (kWh)]] * INDEX(tbl_EF_District_Heating[kg CO2e of CO2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CO2 per unit], MATCH(tbl_Calculation_District_Heating[[#This Row],[Emission Factor ID T&amp;D]:[Emission Factor ID T&amp;D]], tbl_EF_District_Heating[[Emission Factor ID]:[Emission Factor ID]], 0)), "")</f>
        <v>0</v>
      </c>
      <c r="M35" s="17" cm="1">
        <f t="array" ref="M35">IFERROR(
tbl_Calculation_District_Heating[[#This Row],[Consumption (kWh)]:[Consumption (kWh)]] * INDEX(tbl_EF_District_Heating[kg CO2e of CH4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CH4 per unit], MATCH(tbl_Calculation_District_Heating[[#This Row],[Emission Factor ID T&amp;D]:[Emission Factor ID T&amp;D]], tbl_EF_District_Heating[[Emission Factor ID]:[Emission Factor ID]], 0)), "")</f>
        <v>0</v>
      </c>
      <c r="N35" s="17" cm="1">
        <f t="array" ref="N35">IFERROR(
tbl_Calculation_District_Heating[[#This Row],[Consumption (kWh)]:[Consumption (kWh)]] * INDEX(tbl_EF_District_Heating[kg CO2e of N2O per unit], MATCH(tbl_Calculation_District_Heating[[#This Row],[Emission Factor ID Upstream]:[Emission Factor ID Upstream]], tbl_EF_District_Heating[[Emission Factor ID]:[Emission Factor ID]], 0))
+
tbl_Calculation_District_Heating[[#This Row],[Consumption (kWh)]:[Consumption (kWh)]] * INDEX(tbl_EF_District_Heating[kg CO2e of N2O per unit], MATCH(tbl_Calculation_District_Heating[[#This Row],[Emission Factor ID T&amp;D]:[Emission Factor ID T&amp;D]], tbl_EF_District_Heating[[Emission Factor ID]:[Emission Factor ID]], 0)), "")</f>
        <v>0</v>
      </c>
      <c r="O35" s="17">
        <f>tbl_Calculation_District_Heating[[#This Row],[kg CO2e 3.03.]]</f>
        <v>0</v>
      </c>
      <c r="P35" s="14" t="str">
        <f>INDEX(tbl_EF_District_Heating[Emission Factor ID], MATCH("WTT - Heat and Steam", tbl_EF_District_Heating[Activity], 0))</f>
        <v>DH3031</v>
      </c>
      <c r="Q35" s="75" t="str">
        <f>INDEX(tbl_EF_District_Heating[Emission Factor ID], MATCH("WTT - District Heat &amp; steam Distribution", tbl_EF_District_Heating[Activity], 0))</f>
        <v>DH3032</v>
      </c>
    </row>
  </sheetData>
  <phoneticPr fontId="22" type="noConversion"/>
  <pageMargins left="0.7" right="0.7" top="0.75" bottom="0.75" header="0.3" footer="0.3"/>
  <tableParts count="2">
    <tablePart r:id="rId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817AF-4687-43B8-A7DC-9A424894A8D1}">
  <sheetPr>
    <tabColor rgb="FFE7EEEE"/>
  </sheetPr>
  <dimension ref="B1:F32"/>
  <sheetViews>
    <sheetView showGridLines="0" zoomScale="80" zoomScaleNormal="80" workbookViewId="0"/>
  </sheetViews>
  <sheetFormatPr defaultRowHeight="14.5" x14ac:dyDescent="0.35"/>
  <cols>
    <col min="1" max="1" width="2.6328125" style="2" customWidth="1"/>
    <col min="2" max="2" width="33.90625" style="2" bestFit="1" customWidth="1"/>
    <col min="3" max="3" width="35.453125" style="2" bestFit="1" customWidth="1"/>
    <col min="4" max="7" width="30.6328125" style="2" customWidth="1"/>
    <col min="8" max="8" width="34.08984375" style="2" customWidth="1"/>
    <col min="9" max="9" width="30.6328125" style="2" customWidth="1"/>
    <col min="10" max="16384" width="8.7265625" style="2"/>
  </cols>
  <sheetData>
    <row r="1" spans="2:6" s="1" customFormat="1" x14ac:dyDescent="0.35">
      <c r="B1" s="147" t="str">
        <f>const_Company_Name &amp; " Corporate Carbon Footprint Calculation"</f>
        <v>[Ihr Unternehmen] Corporate Carbon Footprint Calculation</v>
      </c>
    </row>
    <row r="2" spans="2:6" s="1" customFormat="1" x14ac:dyDescent="0.35">
      <c r="B2" s="147" t="str">
        <f>"01/01/" &amp; const_Reporting_Year &amp; " - 31/12/" &amp; const_Reporting_Year</f>
        <v>01/01/2025 - 31/12/2025</v>
      </c>
    </row>
    <row r="4" spans="2:6" x14ac:dyDescent="0.35">
      <c r="B4" s="7" t="s">
        <v>1106</v>
      </c>
      <c r="C4" s="7"/>
      <c r="D4" s="67"/>
      <c r="E4" s="67"/>
      <c r="F4" s="67"/>
    </row>
    <row r="5" spans="2:6" ht="5" customHeight="1" x14ac:dyDescent="0.35">
      <c r="B5" s="4"/>
      <c r="C5" s="4"/>
    </row>
    <row r="6" spans="2:6" x14ac:dyDescent="0.35">
      <c r="B6" s="11" t="s">
        <v>1012</v>
      </c>
      <c r="C6" s="45">
        <f>SUM(tbl_3.1_and_3.2_Calc[Emissions (kg CO2e)])</f>
        <v>0</v>
      </c>
    </row>
    <row r="8" spans="2:6" ht="25" customHeight="1" x14ac:dyDescent="0.35">
      <c r="B8" s="20" t="s">
        <v>244</v>
      </c>
      <c r="C8" s="20" t="s">
        <v>255</v>
      </c>
      <c r="D8" s="20" t="s">
        <v>1104</v>
      </c>
      <c r="E8" s="20" t="s">
        <v>1009</v>
      </c>
      <c r="F8" s="20" t="s">
        <v>1011</v>
      </c>
    </row>
    <row r="9" spans="2:6" ht="20" customHeight="1" x14ac:dyDescent="0.35">
      <c r="B9" s="15" t="s">
        <v>858</v>
      </c>
      <c r="C9" s="63">
        <f>INDEX(tbl_3.01._Input[Country], MATCH(tbl_3.1_and_3.2_Calc[[#This Row],[Category]], tbl_3.01._Input[Category], 0))</f>
        <v>0</v>
      </c>
      <c r="D9" s="63">
        <f>INDEX(tbl_3.01._Input[Total Spend (EUR)], MATCH(tbl_3.1_and_3.2_Calc[[#This Row],[Category]], tbl_3.01._Input[Category], 0))</f>
      </c>
      <c r="E9" s="17">
        <f>IFERROR(AVERAGEIFS(
    INDEX(tbl_3.1._EFs[[Afghanistan]:[Median Value]], 0, MATCH(tbl_3.1_and_3.2_Calc[[#This Row],[Country]], tbl_3.1._EFs[[#Headers],[Afghanistan]:[Median Value]], 0)),
    tbl_3.1._EFs[EF Category], tbl_3.1_and_3.2_Calc[[#This Row],[Category]]
), "")</f>
      </c>
      <c r="F9" s="17">
        <f>IFERROR(tbl_3.1_and_3.2_Calc[[#This Row],[Spend (EUR)]] * tbl_3.1_and_3.2_Calc[[#This Row],[Emission Factor (kg CO2e/2025 EUR)]], "")</f>
      </c>
    </row>
    <row r="10" spans="2:6" ht="20" customHeight="1" x14ac:dyDescent="0.35">
      <c r="B10" s="15" t="s">
        <v>859</v>
      </c>
      <c r="C10" s="63">
        <f>INDEX(tbl_3.01._Input[Country], MATCH(tbl_3.1_and_3.2_Calc[[#This Row],[Category]], tbl_3.01._Input[Category], 0))</f>
        <v>0</v>
      </c>
      <c r="D10" s="15">
        <f>INDEX(tbl_3.01._Input[Total Spend (EUR)], MATCH(tbl_3.1_and_3.2_Calc[[#This Row],[Category]], tbl_3.01._Input[Category], 0))</f>
      </c>
      <c r="E10" s="17">
        <f>IFERROR(AVERAGEIFS(
    INDEX(tbl_3.1._EFs[[Afghanistan]:[Median Value]], 0, MATCH(tbl_3.1_and_3.2_Calc[[#This Row],[Country]], tbl_3.1._EFs[[#Headers],[Afghanistan]:[Median Value]], 0)),
    tbl_3.1._EFs[EF Category], tbl_3.1_and_3.2_Calc[[#This Row],[Category]]
), "")</f>
      </c>
      <c r="F10" s="17">
        <f>IFERROR(tbl_3.1_and_3.2_Calc[[#This Row],[Spend (EUR)]] * tbl_3.1_and_3.2_Calc[[#This Row],[Emission Factor (kg CO2e/2025 EUR)]], "")</f>
      </c>
    </row>
    <row r="11" spans="2:6" ht="20" customHeight="1" x14ac:dyDescent="0.35">
      <c r="B11" s="15" t="s">
        <v>860</v>
      </c>
      <c r="C11" s="63">
        <f>INDEX(tbl_3.01._Input[Country], MATCH(tbl_3.1_and_3.2_Calc[[#This Row],[Category]], tbl_3.01._Input[Category], 0))</f>
        <v>0</v>
      </c>
      <c r="D11" s="15">
        <f>INDEX(tbl_3.01._Input[Total Spend (EUR)], MATCH(tbl_3.1_and_3.2_Calc[[#This Row],[Category]], tbl_3.01._Input[Category], 0))</f>
      </c>
      <c r="E11" s="17">
        <f>IFERROR(AVERAGEIFS(
    INDEX(tbl_3.1._EFs[[Afghanistan]:[Median Value]], 0, MATCH(tbl_3.1_and_3.2_Calc[[#This Row],[Country]], tbl_3.1._EFs[[#Headers],[Afghanistan]:[Median Value]], 0)),
    tbl_3.1._EFs[EF Category], tbl_3.1_and_3.2_Calc[[#This Row],[Category]]
), "")</f>
      </c>
      <c r="F11" s="17">
        <f>IFERROR(tbl_3.1_and_3.2_Calc[[#This Row],[Spend (EUR)]] * tbl_3.1_and_3.2_Calc[[#This Row],[Emission Factor (kg CO2e/2025 EUR)]], "")</f>
      </c>
    </row>
    <row r="12" spans="2:6" ht="20" customHeight="1" x14ac:dyDescent="0.35">
      <c r="B12" s="15" t="s">
        <v>861</v>
      </c>
      <c r="C12" s="63">
        <f>INDEX(tbl_3.01._Input[Country], MATCH(tbl_3.1_and_3.2_Calc[[#This Row],[Category]], tbl_3.01._Input[Category], 0))</f>
        <v>0</v>
      </c>
      <c r="D12" s="15">
        <f>INDEX(tbl_3.01._Input[Total Spend (EUR)], MATCH(tbl_3.1_and_3.2_Calc[[#This Row],[Category]], tbl_3.01._Input[Category], 0))</f>
      </c>
      <c r="E12" s="17">
        <f>IFERROR(AVERAGEIFS(
    INDEX(tbl_3.1._EFs[[Afghanistan]:[Median Value]], 0, MATCH(tbl_3.1_and_3.2_Calc[[#This Row],[Country]], tbl_3.1._EFs[[#Headers],[Afghanistan]:[Median Value]], 0)),
    tbl_3.1._EFs[EF Category], tbl_3.1_and_3.2_Calc[[#This Row],[Category]]
), "")</f>
      </c>
      <c r="F12" s="17">
        <f>IFERROR(tbl_3.1_and_3.2_Calc[[#This Row],[Spend (EUR)]] * tbl_3.1_and_3.2_Calc[[#This Row],[Emission Factor (kg CO2e/2025 EUR)]], "")</f>
      </c>
    </row>
    <row r="13" spans="2:6" ht="20" customHeight="1" x14ac:dyDescent="0.35">
      <c r="B13" s="15" t="s">
        <v>862</v>
      </c>
      <c r="C13" s="63">
        <f>INDEX(tbl_3.01._Input[Country], MATCH(tbl_3.1_and_3.2_Calc[[#This Row],[Category]], tbl_3.01._Input[Category], 0))</f>
        <v>0</v>
      </c>
      <c r="D13" s="15">
        <f>INDEX(tbl_3.01._Input[Total Spend (EUR)], MATCH(tbl_3.1_and_3.2_Calc[[#This Row],[Category]], tbl_3.01._Input[Category], 0))</f>
      </c>
      <c r="E13" s="17">
        <f>IFERROR(AVERAGEIFS(
    INDEX(tbl_3.1._EFs[[Afghanistan]:[Median Value]], 0, MATCH(tbl_3.1_and_3.2_Calc[[#This Row],[Country]], tbl_3.1._EFs[[#Headers],[Afghanistan]:[Median Value]], 0)),
    tbl_3.1._EFs[EF Category], tbl_3.1_and_3.2_Calc[[#This Row],[Category]]
), "")</f>
      </c>
      <c r="F13" s="17">
        <f>IFERROR(tbl_3.1_and_3.2_Calc[[#This Row],[Spend (EUR)]] * tbl_3.1_and_3.2_Calc[[#This Row],[Emission Factor (kg CO2e/2025 EUR)]], "")</f>
      </c>
    </row>
    <row r="14" spans="2:6" ht="20" customHeight="1" x14ac:dyDescent="0.35">
      <c r="B14" s="15" t="s">
        <v>863</v>
      </c>
      <c r="C14" s="63">
        <f>INDEX(tbl_3.01._Input[Country], MATCH(tbl_3.1_and_3.2_Calc[[#This Row],[Category]], tbl_3.01._Input[Category], 0))</f>
        <v>0</v>
      </c>
      <c r="D14" s="15">
        <f>INDEX(tbl_3.01._Input[Total Spend (EUR)], MATCH(tbl_3.1_and_3.2_Calc[[#This Row],[Category]], tbl_3.01._Input[Category], 0))</f>
      </c>
      <c r="E14" s="17">
        <f>IFERROR(AVERAGEIFS(
    INDEX(tbl_3.1._EFs[[Afghanistan]:[Median Value]], 0, MATCH(tbl_3.1_and_3.2_Calc[[#This Row],[Country]], tbl_3.1._EFs[[#Headers],[Afghanistan]:[Median Value]], 0)),
    tbl_3.1._EFs[EF Category], tbl_3.1_and_3.2_Calc[[#This Row],[Category]]
), "")</f>
      </c>
      <c r="F14" s="17">
        <f>IFERROR(tbl_3.1_and_3.2_Calc[[#This Row],[Spend (EUR)]] * tbl_3.1_and_3.2_Calc[[#This Row],[Emission Factor (kg CO2e/2025 EUR)]], "")</f>
      </c>
    </row>
    <row r="15" spans="2:6" ht="20" customHeight="1" x14ac:dyDescent="0.35">
      <c r="B15" s="15" t="s">
        <v>864</v>
      </c>
      <c r="C15" s="63">
        <f>INDEX(tbl_3.01._Input[Country], MATCH(tbl_3.1_and_3.2_Calc[[#This Row],[Category]], tbl_3.01._Input[Category], 0))</f>
        <v>0</v>
      </c>
      <c r="D15" s="15">
        <f>INDEX(tbl_3.01._Input[Total Spend (EUR)], MATCH(tbl_3.1_and_3.2_Calc[[#This Row],[Category]], tbl_3.01._Input[Category], 0))</f>
      </c>
      <c r="E15" s="17">
        <f>IFERROR(AVERAGEIFS(
    INDEX(tbl_3.1._EFs[[Afghanistan]:[Median Value]], 0, MATCH(tbl_3.1_and_3.2_Calc[[#This Row],[Country]], tbl_3.1._EFs[[#Headers],[Afghanistan]:[Median Value]], 0)),
    tbl_3.1._EFs[EF Category], tbl_3.1_and_3.2_Calc[[#This Row],[Category]]
), "")</f>
      </c>
      <c r="F15" s="17">
        <f>IFERROR(tbl_3.1_and_3.2_Calc[[#This Row],[Spend (EUR)]] * tbl_3.1_and_3.2_Calc[[#This Row],[Emission Factor (kg CO2e/2025 EUR)]], "")</f>
      </c>
    </row>
    <row r="16" spans="2:6" ht="20" customHeight="1" x14ac:dyDescent="0.35">
      <c r="B16" s="15" t="s">
        <v>865</v>
      </c>
      <c r="C16" s="63">
        <f>INDEX(tbl_3.01._Input[Country], MATCH(tbl_3.1_and_3.2_Calc[[#This Row],[Category]], tbl_3.01._Input[Category], 0))</f>
        <v>0</v>
      </c>
      <c r="D16" s="15">
        <f>INDEX(tbl_3.01._Input[Total Spend (EUR)], MATCH(tbl_3.1_and_3.2_Calc[[#This Row],[Category]], tbl_3.01._Input[Category], 0))</f>
      </c>
      <c r="E16" s="17">
        <f>IFERROR(AVERAGEIFS(
    INDEX(tbl_3.1._EFs[[Afghanistan]:[Median Value]], 0, MATCH(tbl_3.1_and_3.2_Calc[[#This Row],[Country]], tbl_3.1._EFs[[#Headers],[Afghanistan]:[Median Value]], 0)),
    tbl_3.1._EFs[EF Category], tbl_3.1_and_3.2_Calc[[#This Row],[Category]]
), "")</f>
      </c>
      <c r="F16" s="17">
        <f>IFERROR(tbl_3.1_and_3.2_Calc[[#This Row],[Spend (EUR)]] * tbl_3.1_and_3.2_Calc[[#This Row],[Emission Factor (kg CO2e/2025 EUR)]], "")</f>
      </c>
    </row>
    <row r="17" spans="2:6" ht="20" customHeight="1" x14ac:dyDescent="0.35">
      <c r="B17" s="15" t="s">
        <v>866</v>
      </c>
      <c r="C17" s="63">
        <f>INDEX(tbl_3.01._Input[Country], MATCH(tbl_3.1_and_3.2_Calc[[#This Row],[Category]], tbl_3.01._Input[Category], 0))</f>
        <v>0</v>
      </c>
      <c r="D17" s="15">
        <f>INDEX(tbl_3.01._Input[Total Spend (EUR)], MATCH(tbl_3.1_and_3.2_Calc[[#This Row],[Category]], tbl_3.01._Input[Category], 0))</f>
      </c>
      <c r="E17" s="17">
        <f>IFERROR(AVERAGEIFS(
    INDEX(tbl_3.1._EFs[[Afghanistan]:[Median Value]], 0, MATCH(tbl_3.1_and_3.2_Calc[[#This Row],[Country]], tbl_3.1._EFs[[#Headers],[Afghanistan]:[Median Value]], 0)),
    tbl_3.1._EFs[EF Category], tbl_3.1_and_3.2_Calc[[#This Row],[Category]]
), "")</f>
      </c>
      <c r="F17" s="17">
        <f>IFERROR(tbl_3.1_and_3.2_Calc[[#This Row],[Spend (EUR)]] * tbl_3.1_and_3.2_Calc[[#This Row],[Emission Factor (kg CO2e/2025 EUR)]], "")</f>
      </c>
    </row>
    <row r="18" spans="2:6" ht="20" customHeight="1" x14ac:dyDescent="0.35">
      <c r="B18" s="15" t="s">
        <v>867</v>
      </c>
      <c r="C18" s="63">
        <f>INDEX(tbl_3.01._Input[Country], MATCH(tbl_3.1_and_3.2_Calc[[#This Row],[Category]], tbl_3.01._Input[Category], 0))</f>
        <v>0</v>
      </c>
      <c r="D18" s="15">
        <f>INDEX(tbl_3.01._Input[Total Spend (EUR)], MATCH(tbl_3.1_and_3.2_Calc[[#This Row],[Category]], tbl_3.01._Input[Category], 0))</f>
      </c>
      <c r="E18" s="17">
        <f>IFERROR(AVERAGEIFS(
    INDEX(tbl_3.1._EFs[[Afghanistan]:[Median Value]], 0, MATCH(tbl_3.1_and_3.2_Calc[[#This Row],[Country]], tbl_3.1._EFs[[#Headers],[Afghanistan]:[Median Value]], 0)),
    tbl_3.1._EFs[EF Category], tbl_3.1_and_3.2_Calc[[#This Row],[Category]]
), "")</f>
      </c>
      <c r="F18" s="17">
        <f>IFERROR(tbl_3.1_and_3.2_Calc[[#This Row],[Spend (EUR)]] * tbl_3.1_and_3.2_Calc[[#This Row],[Emission Factor (kg CO2e/2025 EUR)]], "")</f>
      </c>
    </row>
    <row r="19" spans="2:6" ht="20" customHeight="1" x14ac:dyDescent="0.35">
      <c r="B19" s="15" t="s">
        <v>868</v>
      </c>
      <c r="C19" s="63">
        <f>INDEX(tbl_3.01._Input[Country], MATCH(tbl_3.1_and_3.2_Calc[[#This Row],[Category]], tbl_3.01._Input[Category], 0))</f>
        <v>0</v>
      </c>
      <c r="D19" s="15">
        <f>INDEX(tbl_3.01._Input[Total Spend (EUR)], MATCH(tbl_3.1_and_3.2_Calc[[#This Row],[Category]], tbl_3.01._Input[Category], 0))</f>
      </c>
      <c r="E19" s="17">
        <f>IFERROR(AVERAGEIFS(
    INDEX(tbl_3.1._EFs[[Afghanistan]:[Median Value]], 0, MATCH(tbl_3.1_and_3.2_Calc[[#This Row],[Country]], tbl_3.1._EFs[[#Headers],[Afghanistan]:[Median Value]], 0)),
    tbl_3.1._EFs[EF Category], tbl_3.1_and_3.2_Calc[[#This Row],[Category]]
), "")</f>
      </c>
      <c r="F19" s="17">
        <f>IFERROR(tbl_3.1_and_3.2_Calc[[#This Row],[Spend (EUR)]] * tbl_3.1_and_3.2_Calc[[#This Row],[Emission Factor (kg CO2e/2025 EUR)]], "")</f>
      </c>
    </row>
    <row r="20" spans="2:6" ht="20" customHeight="1" x14ac:dyDescent="0.35">
      <c r="B20" s="15" t="s">
        <v>869</v>
      </c>
      <c r="C20" s="63">
        <f>INDEX(tbl_3.01._Input[Country], MATCH(tbl_3.1_and_3.2_Calc[[#This Row],[Category]], tbl_3.01._Input[Category], 0))</f>
        <v>0</v>
      </c>
      <c r="D20" s="15">
        <f>INDEX(tbl_3.01._Input[Total Spend (EUR)], MATCH(tbl_3.1_and_3.2_Calc[[#This Row],[Category]], tbl_3.01._Input[Category], 0))</f>
      </c>
      <c r="E20" s="17">
        <f>IFERROR(AVERAGEIFS(
    INDEX(tbl_3.1._EFs[[Afghanistan]:[Median Value]], 0, MATCH(tbl_3.1_and_3.2_Calc[[#This Row],[Country]], tbl_3.1._EFs[[#Headers],[Afghanistan]:[Median Value]], 0)),
    tbl_3.1._EFs[EF Category], tbl_3.1_and_3.2_Calc[[#This Row],[Category]]
), "")</f>
      </c>
      <c r="F20" s="17">
        <f>IFERROR(tbl_3.1_and_3.2_Calc[[#This Row],[Spend (EUR)]] * tbl_3.1_and_3.2_Calc[[#This Row],[Emission Factor (kg CO2e/2025 EUR)]], "")</f>
      </c>
    </row>
    <row r="21" spans="2:6" ht="20" customHeight="1" x14ac:dyDescent="0.35">
      <c r="B21" s="15" t="s">
        <v>870</v>
      </c>
      <c r="C21" s="63">
        <f>INDEX(tbl_3.01._Input[Country], MATCH(tbl_3.1_and_3.2_Calc[[#This Row],[Category]], tbl_3.01._Input[Category], 0))</f>
        <v>0</v>
      </c>
      <c r="D21" s="15">
        <f>INDEX(tbl_3.01._Input[Total Spend (EUR)], MATCH(tbl_3.1_and_3.2_Calc[[#This Row],[Category]], tbl_3.01._Input[Category], 0))</f>
      </c>
      <c r="E21" s="17">
        <f>IFERROR(AVERAGEIFS(
    INDEX(tbl_3.1._EFs[[Afghanistan]:[Median Value]], 0, MATCH(tbl_3.1_and_3.2_Calc[[#This Row],[Country]], tbl_3.1._EFs[[#Headers],[Afghanistan]:[Median Value]], 0)),
    tbl_3.1._EFs[EF Category], tbl_3.1_and_3.2_Calc[[#This Row],[Category]]
), "")</f>
      </c>
      <c r="F21" s="17">
        <f>IFERROR(tbl_3.1_and_3.2_Calc[[#This Row],[Spend (EUR)]] * tbl_3.1_and_3.2_Calc[[#This Row],[Emission Factor (kg CO2e/2025 EUR)]], "")</f>
      </c>
    </row>
    <row r="22" spans="2:6" s="42" customFormat="1" ht="15" thickBot="1" x14ac:dyDescent="0.4"/>
    <row r="23" spans="2:6" ht="15" thickTop="1" x14ac:dyDescent="0.35"/>
    <row r="24" spans="2:6" x14ac:dyDescent="0.35">
      <c r="B24" s="7" t="s">
        <v>1241</v>
      </c>
      <c r="C24" s="7"/>
      <c r="D24" s="67"/>
      <c r="E24" s="67"/>
      <c r="F24" s="67"/>
    </row>
    <row r="25" spans="2:6" ht="5" customHeight="1" x14ac:dyDescent="0.35">
      <c r="B25" s="4"/>
      <c r="C25" s="4"/>
    </row>
    <row r="26" spans="2:6" x14ac:dyDescent="0.35">
      <c r="B26" s="11" t="s">
        <v>1012</v>
      </c>
      <c r="C26" s="45">
        <f>SUM(tbl_3.1_and_3.2_Calc[Emissions (kg CO2e)])</f>
        <v>0</v>
      </c>
    </row>
    <row r="28" spans="2:6" ht="25" customHeight="1" x14ac:dyDescent="0.35">
      <c r="B28" s="19" t="s">
        <v>1010</v>
      </c>
      <c r="C28" s="20" t="s">
        <v>255</v>
      </c>
      <c r="D28" s="20" t="s">
        <v>1104</v>
      </c>
      <c r="E28" s="20" t="s">
        <v>1009</v>
      </c>
      <c r="F28" s="21" t="s">
        <v>1011</v>
      </c>
    </row>
    <row r="29" spans="2:6" ht="20" customHeight="1" x14ac:dyDescent="0.35">
      <c r="B29" s="9" t="s">
        <v>1243</v>
      </c>
      <c r="C29" s="63">
        <f>'Scope 3.1, 3.2 &amp; 3.8'!D35</f>
        <v>0</v>
      </c>
      <c r="D29" s="15">
        <f>SUMIFS(tbl_Upstream_Leased_Assets_Input[Total Spend (EUR)], tbl_Upstream_Leased_Assets_Input[Category], tbl_Upstream_Leased_Assets_Calc[[#This Row],[Item]])</f>
        <v>0</v>
      </c>
      <c r="E29" s="17">
        <f>IFERROR(AVERAGEIFS(
    INDEX(tbl_Upstream_Assets_EF[[Afghanistan]:[Median Value]], 0, MATCH(tbl_Upstream_Leased_Assets_Calc[[#This Row],[Country]], tbl_Upstream_Assets_EF[[#Headers],[Afghanistan]:[Median Value]], 0)),
    tbl_Upstream_Assets_EF[EF Category], tbl_Upstream_Leased_Assets_Calc[[#This Row],[Item]]
), "")</f>
      </c>
      <c r="F29" s="90">
        <f>IFERROR(tbl_Upstream_Leased_Assets_Calc[[#This Row],[Emission Factor (kg CO2e/2025 EUR)]]*tbl_Upstream_Leased_Assets_Calc[[#This Row],[Spend (EUR)]], "")</f>
      </c>
    </row>
    <row r="30" spans="2:6" ht="20" customHeight="1" x14ac:dyDescent="0.35">
      <c r="B30" s="9" t="s">
        <v>1244</v>
      </c>
      <c r="C30" s="63">
        <f>'Scope 3.1, 3.2 &amp; 3.8'!D36</f>
        <v>0</v>
      </c>
      <c r="D30" s="15">
        <f>SUMIFS(tbl_Upstream_Leased_Assets_Input[Total Spend (EUR)], tbl_Upstream_Leased_Assets_Input[Category], tbl_Upstream_Leased_Assets_Calc[[#This Row],[Item]])</f>
        <v>0</v>
      </c>
      <c r="E30" s="17">
        <f>IFERROR(AVERAGEIFS(
    INDEX(tbl_Upstream_Assets_EF[[Afghanistan]:[Median Value]], 0, MATCH(tbl_Upstream_Leased_Assets_Calc[[#This Row],[Country]], tbl_Upstream_Assets_EF[[#Headers],[Afghanistan]:[Median Value]], 0)),
    tbl_Upstream_Assets_EF[EF Category], tbl_Upstream_Leased_Assets_Calc[[#This Row],[Item]]
), "")</f>
      </c>
      <c r="F30" s="90">
        <f>IFERROR(tbl_Upstream_Leased_Assets_Calc[[#This Row],[Emission Factor (kg CO2e/2025 EUR)]]*tbl_Upstream_Leased_Assets_Calc[[#This Row],[Spend (EUR)]], "")</f>
      </c>
    </row>
    <row r="31" spans="2:6" ht="20" customHeight="1" x14ac:dyDescent="0.35">
      <c r="B31" s="9" t="s">
        <v>1246</v>
      </c>
      <c r="C31" s="63">
        <f>'Scope 3.1, 3.2 &amp; 3.8'!D37</f>
        <v>0</v>
      </c>
      <c r="D31" s="15">
        <f>SUMIFS(tbl_Upstream_Leased_Assets_Input[Total Spend (EUR)], tbl_Upstream_Leased_Assets_Input[Category], tbl_Upstream_Leased_Assets_Calc[[#This Row],[Item]])</f>
        <v>0</v>
      </c>
      <c r="E31" s="17">
        <f>IFERROR(AVERAGEIFS(
    INDEX(tbl_Upstream_Assets_EF[[Afghanistan]:[Median Value]], 0, MATCH(tbl_Upstream_Leased_Assets_Calc[[#This Row],[Country]], tbl_Upstream_Assets_EF[[#Headers],[Afghanistan]:[Median Value]], 0)),
    tbl_Upstream_Assets_EF[EF Category], tbl_Upstream_Leased_Assets_Calc[[#This Row],[Item]]
), "")</f>
      </c>
      <c r="F31" s="90">
        <f>IFERROR(tbl_Upstream_Leased_Assets_Calc[[#This Row],[Emission Factor (kg CO2e/2025 EUR)]]*tbl_Upstream_Leased_Assets_Calc[[#This Row],[Spend (EUR)]], "")</f>
      </c>
    </row>
    <row r="32" spans="2:6" ht="20" customHeight="1" x14ac:dyDescent="0.35">
      <c r="B32" s="9" t="s">
        <v>1245</v>
      </c>
      <c r="C32" s="63">
        <f>'Scope 3.1, 3.2 &amp; 3.8'!D38</f>
        <v>0</v>
      </c>
      <c r="D32" s="15">
        <f>SUMIFS(tbl_Upstream_Leased_Assets_Input[Total Spend (EUR)], tbl_Upstream_Leased_Assets_Input[Category], tbl_Upstream_Leased_Assets_Calc[[#This Row],[Item]])</f>
        <v>0</v>
      </c>
      <c r="E32" s="17">
        <f>IFERROR(AVERAGEIFS(
    INDEX(tbl_Upstream_Assets_EF[[Afghanistan]:[Median Value]], 0, MATCH(tbl_Upstream_Leased_Assets_Calc[[#This Row],[Country]], tbl_Upstream_Assets_EF[[#Headers],[Afghanistan]:[Median Value]], 0)),
    tbl_Upstream_Assets_EF[EF Category], tbl_Upstream_Leased_Assets_Calc[[#This Row],[Item]]
), "")</f>
      </c>
      <c r="F32" s="90">
        <f>IFERROR(tbl_Upstream_Leased_Assets_Calc[[#This Row],[Emission Factor (kg CO2e/2025 EUR)]]*tbl_Upstream_Leased_Assets_Calc[[#This Row],[Spend (EUR)]], "")</f>
      </c>
    </row>
  </sheetData>
  <pageMargins left="0.7" right="0.7" top="0.75" bottom="0.75" header="0.3" footer="0.3"/>
  <tableParts count="2">
    <tablePart r:id="rId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25D08-AB91-4091-9B90-43A79B6CAD0B}">
  <sheetPr>
    <tabColor rgb="FFE7EEEE"/>
  </sheetPr>
  <dimension ref="B1:H14"/>
  <sheetViews>
    <sheetView showGridLines="0" zoomScale="80" zoomScaleNormal="80" workbookViewId="0">
      <selection activeCell="B1" sqref="B1:B2"/>
    </sheetView>
  </sheetViews>
  <sheetFormatPr defaultRowHeight="14.5" x14ac:dyDescent="0.35"/>
  <cols>
    <col min="1" max="1" width="2.6328125" style="2" customWidth="1"/>
    <col min="2" max="8" width="30.6328125" style="2" customWidth="1"/>
    <col min="9" max="16384" width="8.7265625" style="2"/>
  </cols>
  <sheetData>
    <row r="1" spans="2:8" s="1" customFormat="1" x14ac:dyDescent="0.35">
      <c r="B1" s="147" t="str">
        <f>const_Company_Name &amp; " Corporate Carbon Footprint Calculation"</f>
        <v>[Ihr Unternehmen] Corporate Carbon Footprint Calculation</v>
      </c>
    </row>
    <row r="2" spans="2:8" s="1" customFormat="1" x14ac:dyDescent="0.35">
      <c r="B2" s="147" t="str">
        <f>"01/01/" &amp; const_Reporting_Year &amp; " - 31/12/" &amp; const_Reporting_Year</f>
        <v>01/01/2025 - 31/12/2025</v>
      </c>
    </row>
    <row r="4" spans="2:8" x14ac:dyDescent="0.35">
      <c r="B4" s="7" t="s">
        <v>1247</v>
      </c>
      <c r="C4" s="7"/>
      <c r="D4" s="67"/>
      <c r="E4" s="67"/>
      <c r="F4" s="67"/>
      <c r="G4" s="67"/>
      <c r="H4" s="67"/>
    </row>
    <row r="5" spans="2:8" ht="5" customHeight="1" x14ac:dyDescent="0.35">
      <c r="B5" s="4"/>
      <c r="C5" s="4"/>
    </row>
    <row r="6" spans="2:8" x14ac:dyDescent="0.35">
      <c r="B6" s="11" t="s">
        <v>1012</v>
      </c>
      <c r="C6" s="45">
        <f>SUM(tbl_Upstream_Transport_Calc[Emissions (kg CO2e)])</f>
        <v>0</v>
      </c>
    </row>
    <row r="8" spans="2:8" ht="25" customHeight="1" x14ac:dyDescent="0.35">
      <c r="B8" s="19" t="s">
        <v>244</v>
      </c>
      <c r="C8" s="20" t="s">
        <v>255</v>
      </c>
      <c r="D8" s="20" t="s">
        <v>1253</v>
      </c>
      <c r="E8" s="20" t="s">
        <v>1254</v>
      </c>
      <c r="F8" s="21" t="s">
        <v>1011</v>
      </c>
    </row>
    <row r="9" ht="20" customHeight="1" x14ac:dyDescent="0.35">
      <c r="B9" s="18" t="s">
        <v>1248</v>
      </c>
      <c r="C9" s="9">
        <f>INDEX(tbl_Upstream_Transport_Input[Country], MATCH(tbl_Upstream_Transport_Calc[[#This Row],[Category]], tbl_Upstream_Transport_Input[Category], 0))</f>
        <v>0</v>
      </c>
      <c r="D9" s="15">
        <f>SUMIFS(tbl_Upstream_Transport_Input[Spend (EUR)], tbl_Upstream_Transport_Input[Category], tbl_Upstream_Transport_Calc[[#This Row],[Category]])</f>
        <v>0</v>
      </c>
      <c r="E9" s="17">
        <f>IFERROR(AVERAGEIFS(
    INDEX(tbl_Upstream_Transport_EF[[Afghanistan]:[Median Value]], 0, MATCH(tbl_Upstream_Transport_Calc[[#This Row],[Country]], tbl_Upstream_Transport_EF[[#Headers],[Afghanistan]:[Median Value]], 0)),
    tbl_Upstream_Transport_EF[EF Category], tbl_Upstream_Transport_Calc[[#This Row],[Category]]
), "")</f>
      </c>
      <c r="F9" s="90">
        <f>IFERROR(tbl_Upstream_Transport_Calc[[#This Row],[Emission Factor (kg CO2e/EUR)]]*tbl_Upstream_Transport_Calc[[#This Row],[Adjusted Spend (EUR)]],0)</f>
        <v>0</v>
      </c>
      <c r="H9"/>
    </row>
    <row r="10" ht="20" customHeight="1" x14ac:dyDescent="0.35">
      <c r="B10" s="18" t="s">
        <v>1249</v>
      </c>
      <c r="C10" s="9">
        <f>INDEX(tbl_Upstream_Transport_Input[Country], MATCH(tbl_Upstream_Transport_Calc[[#This Row],[Category]], tbl_Upstream_Transport_Input[Category], 0))</f>
        <v>0</v>
      </c>
      <c r="D10" s="15">
        <f>SUMIFS(tbl_Upstream_Transport_Input[Spend (EUR)], tbl_Upstream_Transport_Input[Category], tbl_Upstream_Transport_Calc[[#This Row],[Category]])</f>
        <v>0</v>
      </c>
      <c r="E10" s="17">
        <f>IFERROR(AVERAGEIFS(
    INDEX(tbl_Upstream_Transport_EF[[Afghanistan]:[Median Value]], 0, MATCH(tbl_Upstream_Transport_Calc[[#This Row],[Country]], tbl_Upstream_Transport_EF[[#Headers],[Afghanistan]:[Median Value]], 0)),
    tbl_Upstream_Transport_EF[EF Category], tbl_Upstream_Transport_Calc[[#This Row],[Category]]
), "")</f>
      </c>
      <c r="F10" s="90">
        <f>IFERROR(tbl_Upstream_Transport_Calc[[#This Row],[Emission Factor (kg CO2e/EUR)]]*tbl_Upstream_Transport_Calc[[#This Row],[Adjusted Spend (EUR)]],0)</f>
        <v>0</v>
      </c>
    </row>
    <row r="11" ht="20" customHeight="1" x14ac:dyDescent="0.35">
      <c r="B11" s="18" t="s">
        <v>1014</v>
      </c>
      <c r="C11" s="9">
        <f>INDEX(tbl_Upstream_Transport_Input[Country], MATCH(tbl_Upstream_Transport_Calc[[#This Row],[Category]], tbl_Upstream_Transport_Input[Category], 0))</f>
        <v>0</v>
      </c>
      <c r="D11" s="15">
        <f>SUMIFS(tbl_Upstream_Transport_Input[Spend (EUR)], tbl_Upstream_Transport_Input[Category], tbl_Upstream_Transport_Calc[[#This Row],[Category]])</f>
        <v>0</v>
      </c>
      <c r="E11" s="17">
        <f>IFERROR(AVERAGEIFS(
    INDEX(tbl_Upstream_Transport_EF[[Afghanistan]:[Median Value]], 0, MATCH(tbl_Upstream_Transport_Calc[[#This Row],[Country]], tbl_Upstream_Transport_EF[[#Headers],[Afghanistan]:[Median Value]], 0)),
    tbl_Upstream_Transport_EF[EF Category], tbl_Upstream_Transport_Calc[[#This Row],[Category]]
), "")</f>
      </c>
      <c r="F11" s="90">
        <f>IFERROR(tbl_Upstream_Transport_Calc[[#This Row],[Emission Factor (kg CO2e/EUR)]]*tbl_Upstream_Transport_Calc[[#This Row],[Adjusted Spend (EUR)]],0)</f>
        <v>0</v>
      </c>
    </row>
    <row r="12" ht="20" customHeight="1" x14ac:dyDescent="0.35">
      <c r="B12" s="22" t="s">
        <v>1250</v>
      </c>
      <c r="C12" s="55">
        <f>INDEX(tbl_Upstream_Transport_Input[Country], MATCH(tbl_Upstream_Transport_Calc[[#This Row],[Category]], tbl_Upstream_Transport_Input[Category], 0))</f>
        <v>0</v>
      </c>
      <c r="D12" s="23">
        <f>SUMIFS(tbl_Upstream_Transport_Input[Spend (EUR)], tbl_Upstream_Transport_Input[Category], tbl_Upstream_Transport_Calc[[#This Row],[Category]])</f>
        <v>0</v>
      </c>
      <c r="E12" s="36">
        <f>IFERROR(AVERAGEIFS(
    INDEX(tbl_Upstream_Transport_EF[[Afghanistan]:[Median Value]], 0, MATCH(tbl_Upstream_Transport_Calc[[#This Row],[Country]], tbl_Upstream_Transport_EF[[#Headers],[Afghanistan]:[Median Value]], 0)),
    tbl_Upstream_Transport_EF[EF Category], tbl_Upstream_Transport_Calc[[#This Row],[Category]]
), "")</f>
      </c>
      <c r="F12" s="82">
        <f>IFERROR(tbl_Upstream_Transport_Calc[[#This Row],[Emission Factor (kg CO2e/EUR)]]*tbl_Upstream_Transport_Calc[[#This Row],[Adjusted Spend (EUR)]],0)</f>
        <v>0</v>
      </c>
    </row>
    <row r="14" spans="2:8" x14ac:dyDescent="0.35">
      <c r="B14" s="2" t="s">
        <v>1015</v>
      </c>
    </row>
  </sheetData>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F5670-77E2-4BD3-80DE-A6ED0611667B}">
  <sheetPr>
    <tabColor rgb="FFE7EEEE"/>
  </sheetPr>
  <dimension ref="B1:H28"/>
  <sheetViews>
    <sheetView showGridLines="0" zoomScale="80" zoomScaleNormal="80" workbookViewId="0"/>
  </sheetViews>
  <sheetFormatPr defaultRowHeight="14.5" x14ac:dyDescent="0.35"/>
  <cols>
    <col min="1" max="1" width="2.6328125" style="2" customWidth="1"/>
    <col min="2" max="5" width="30.6328125" style="2" customWidth="1"/>
    <col min="6" max="6" width="30.81640625" style="2" customWidth="1"/>
    <col min="7" max="7" width="34.1796875" style="2" customWidth="1"/>
    <col min="8" max="8" width="30.6328125" style="2" customWidth="1"/>
    <col min="9" max="16384" width="8.7265625" style="2"/>
  </cols>
  <sheetData>
    <row r="1" spans="2:7" s="1" customFormat="1" x14ac:dyDescent="0.35">
      <c r="B1" s="147" t="str">
        <f>const_Company_Name &amp; " Corporate Carbon Footprint Calculation"</f>
        <v>[Ihr Unternehmen] Corporate Carbon Footprint Calculation</v>
      </c>
    </row>
    <row r="2" spans="2:7" s="1" customFormat="1" x14ac:dyDescent="0.35">
      <c r="B2" s="147" t="str">
        <f>"01/01/" &amp; const_Reporting_Year &amp; " - 31/12/" &amp; const_Reporting_Year</f>
        <v>01/01/2025 - 31/12/2025</v>
      </c>
    </row>
    <row r="4" spans="2:7" x14ac:dyDescent="0.35">
      <c r="B4" s="7" t="s">
        <v>1108</v>
      </c>
      <c r="C4" s="7"/>
      <c r="D4" s="67"/>
      <c r="E4" s="67"/>
      <c r="F4" s="67"/>
      <c r="G4" s="67"/>
    </row>
    <row r="5" spans="2:7" ht="5" customHeight="1" x14ac:dyDescent="0.35">
      <c r="B5" s="4"/>
      <c r="C5" s="4"/>
    </row>
    <row r="6" spans="2:7" x14ac:dyDescent="0.35">
      <c r="B6" s="54" t="s">
        <v>1012</v>
      </c>
      <c r="C6" s="45">
        <f>SUM(tbl_Waste_Calculation[Emissions (kg CO2e)])</f>
        <v>0</v>
      </c>
    </row>
    <row r="7" spans="2:7" x14ac:dyDescent="0.35">
      <c r="B7" s="11"/>
      <c r="C7" s="103"/>
    </row>
    <row r="8" spans="2:7" ht="25" customHeight="1" x14ac:dyDescent="0.35">
      <c r="B8" s="19" t="s">
        <v>1109</v>
      </c>
      <c r="C8" s="20" t="s">
        <v>23</v>
      </c>
      <c r="D8" s="20" t="s">
        <v>40</v>
      </c>
      <c r="E8" s="20" t="s">
        <v>1145</v>
      </c>
      <c r="F8" s="20" t="s">
        <v>1146</v>
      </c>
      <c r="G8" s="21" t="s">
        <v>1011</v>
      </c>
    </row>
    <row r="9" spans="2:7" ht="20" customHeight="1" x14ac:dyDescent="0.35">
      <c r="B9" s="18" t="s">
        <v>1110</v>
      </c>
      <c r="C9" s="15">
        <f>INDEX(tbl_Waste_Input[Consumption], MATCH(tbl_Waste_Calculation[[#This Row],[Waste Type]], tbl_Waste_Input[Waste Type], 0))</f>
        <v>0</v>
      </c>
      <c r="D9" s="16" t="str">
        <f>INDEX(tbl_Waste_Input[Unit], MATCH(tbl_Waste_Calculation[[#This Row],[Waste Type]], tbl_Waste_Input[Waste Type], 0))</f>
        <v>m3</v>
      </c>
      <c r="E9" s="15">
        <f>IF(tbl_Waste_Calculation[[#This Row],[Unit]] = "tonnes",
tbl_Waste_Calculation[[#This Row],[Consumption]],
tbl_Waste_Calculation[[#This Row],[Consumption]]
*
INDEX(tbl_Waste_EF[Conversion Factor],
   MATCH(tbl_Waste_Calculation[[#This Row],[Waste Type]], tbl_Waste_EF[Activity], 0)))</f>
        <v>0</v>
      </c>
      <c r="F9" s="15">
        <f>SUMIFS(tbl_Waste_EF[kg CO2e], tbl_Waste_EF[Activity], tbl_Waste_Calculation[[#This Row],[Waste Type]])</f>
        <v>8.98311</v>
      </c>
      <c r="G9" s="90">
        <f>tbl_Waste_Calculation[[#This Row],[Emission Factor (kg CO2e/tonne)]]*tbl_Waste_Calculation[[#This Row],[Conversion to tonnes]]</f>
        <v>0</v>
      </c>
    </row>
    <row r="10" spans="2:7" ht="20" customHeight="1" x14ac:dyDescent="0.35">
      <c r="B10" s="18" t="s">
        <v>1111</v>
      </c>
      <c r="C10" s="15">
        <f>INDEX(tbl_Waste_Input[Consumption], MATCH(tbl_Waste_Calculation[[#This Row],[Waste Type]], tbl_Waste_Input[Waste Type], 0))</f>
        <v>0</v>
      </c>
      <c r="D10" s="14" t="str">
        <f>INDEX(tbl_Waste_Input[Unit], MATCH(tbl_Waste_Calculation[[#This Row],[Waste Type]], tbl_Waste_Input[Waste Type], 0))</f>
        <v>tonnes</v>
      </c>
      <c r="E10" s="15">
        <f>IF(tbl_Waste_Calculation[[#This Row],[Unit]] = "tonnes",
tbl_Waste_Calculation[[#This Row],[Consumption]],
tbl_Waste_Calculation[[#This Row],[Consumption]]
*
INDEX(tbl_Waste_EF[Conversion Factor],
   MATCH(tbl_Waste_Calculation[[#This Row],[Waste Type]], tbl_Waste_EF[Activity], 0)))</f>
        <v>0</v>
      </c>
      <c r="F10" s="15">
        <f>SUMIFS(tbl_Waste_EF[kg CO2e], tbl_Waste_EF[Activity], tbl_Waste_Calculation[[#This Row],[Waste Type]])</f>
        <v>4.68568</v>
      </c>
      <c r="G10" s="90">
        <f>tbl_Waste_Calculation[[#This Row],[Emission Factor (kg CO2e/tonne)]]*tbl_Waste_Calculation[[#This Row],[Conversion to tonnes]]</f>
        <v>0</v>
      </c>
    </row>
    <row r="11" spans="2:7" ht="20" customHeight="1" x14ac:dyDescent="0.35">
      <c r="B11" s="18" t="s">
        <v>1112</v>
      </c>
      <c r="C11" s="15">
        <f>INDEX(tbl_Waste_Input[Consumption], MATCH(tbl_Waste_Calculation[[#This Row],[Waste Type]], tbl_Waste_Input[Waste Type], 0))</f>
        <v>0</v>
      </c>
      <c r="D11" s="14" t="str">
        <f>INDEX(tbl_Waste_Input[Unit], MATCH(tbl_Waste_Calculation[[#This Row],[Waste Type]], tbl_Waste_Input[Waste Type], 0))</f>
        <v>m3</v>
      </c>
      <c r="E11" s="15">
        <f>IF(tbl_Waste_Calculation[[#This Row],[Unit]] = "tonnes",
tbl_Waste_Calculation[[#This Row],[Consumption]],
tbl_Waste_Calculation[[#This Row],[Consumption]]
*
INDEX(tbl_Waste_EF[Conversion Factor],
   MATCH(tbl_Waste_Calculation[[#This Row],[Waste Type]], tbl_Waste_EF[Activity], 0)))</f>
        <v>0</v>
      </c>
      <c r="F11" s="15">
        <f>SUMIFS(tbl_Waste_EF[kg CO2e], tbl_Waste_EF[Activity], tbl_Waste_Calculation[[#This Row],[Waste Type]])</f>
        <v>4.68568</v>
      </c>
      <c r="G11" s="90">
        <f>tbl_Waste_Calculation[[#This Row],[Emission Factor (kg CO2e/tonne)]]*tbl_Waste_Calculation[[#This Row],[Conversion to tonnes]]</f>
        <v>0</v>
      </c>
    </row>
    <row r="12" spans="2:7" ht="20" customHeight="1" x14ac:dyDescent="0.35">
      <c r="B12" s="18" t="s">
        <v>1113</v>
      </c>
      <c r="C12" s="15">
        <f>INDEX(tbl_Waste_Input[Consumption], MATCH(tbl_Waste_Calculation[[#This Row],[Waste Type]], tbl_Waste_Input[Waste Type], 0))</f>
        <v>0</v>
      </c>
      <c r="D12" s="14" t="str">
        <f>INDEX(tbl_Waste_Input[Unit], MATCH(tbl_Waste_Calculation[[#This Row],[Waste Type]], tbl_Waste_Input[Waste Type], 0))</f>
        <v>tonnes</v>
      </c>
      <c r="E12" s="15">
        <f>IF(tbl_Waste_Calculation[[#This Row],[Unit]] = "tonnes",
tbl_Waste_Calculation[[#This Row],[Consumption]],
tbl_Waste_Calculation[[#This Row],[Consumption]]
*
INDEX(tbl_Waste_EF[Conversion Factor],
   MATCH(tbl_Waste_Calculation[[#This Row],[Waste Type]], tbl_Waste_EF[Activity], 0)))</f>
        <v>0</v>
      </c>
      <c r="F12" s="15">
        <f>SUMIFS(tbl_Waste_EF[kg CO2e], tbl_Waste_EF[Activity], tbl_Waste_Calculation[[#This Row],[Waste Type]])</f>
        <v>4.68568</v>
      </c>
      <c r="G12" s="90">
        <f>tbl_Waste_Calculation[[#This Row],[Emission Factor (kg CO2e/tonne)]]*tbl_Waste_Calculation[[#This Row],[Conversion to tonnes]]</f>
        <v>0</v>
      </c>
    </row>
    <row r="13" spans="2:7" ht="20" customHeight="1" x14ac:dyDescent="0.35">
      <c r="B13" s="18" t="s">
        <v>1114</v>
      </c>
      <c r="C13" s="15">
        <f>INDEX(tbl_Waste_Input[Consumption], MATCH(tbl_Waste_Calculation[[#This Row],[Waste Type]], tbl_Waste_Input[Waste Type], 0))</f>
        <v>0</v>
      </c>
      <c r="D13" s="14" t="str">
        <f>INDEX(tbl_Waste_Input[Unit], MATCH(tbl_Waste_Calculation[[#This Row],[Waste Type]], tbl_Waste_Input[Waste Type], 0))</f>
        <v>m3</v>
      </c>
      <c r="E13" s="15">
        <f>IF(tbl_Waste_Calculation[[#This Row],[Unit]] = "tonnes",
tbl_Waste_Calculation[[#This Row],[Consumption]],
tbl_Waste_Calculation[[#This Row],[Consumption]]
*
INDEX(tbl_Waste_EF[Conversion Factor],
   MATCH(tbl_Waste_Calculation[[#This Row],[Waste Type]], tbl_Waste_EF[Activity], 0)))</f>
        <v>0</v>
      </c>
      <c r="F13" s="15">
        <f>SUMIFS(tbl_Waste_EF[kg CO2e], tbl_Waste_EF[Activity], tbl_Waste_Calculation[[#This Row],[Waste Type]])</f>
        <v>4.68568</v>
      </c>
      <c r="G13" s="90">
        <f>tbl_Waste_Calculation[[#This Row],[Emission Factor (kg CO2e/tonne)]]*tbl_Waste_Calculation[[#This Row],[Conversion to tonnes]]</f>
        <v>0</v>
      </c>
    </row>
    <row r="14" spans="2:7" ht="20" customHeight="1" x14ac:dyDescent="0.35">
      <c r="B14" s="18" t="s">
        <v>1142</v>
      </c>
      <c r="C14" s="15">
        <f>INDEX(tbl_Waste_Input[Consumption], MATCH(tbl_Waste_Calculation[[#This Row],[Waste Type]], tbl_Waste_Input[Waste Type], 0))</f>
        <v>0</v>
      </c>
      <c r="D14" s="14" t="str">
        <f>INDEX(tbl_Waste_Input[Unit], MATCH(tbl_Waste_Calculation[[#This Row],[Waste Type]], tbl_Waste_Input[Waste Type], 0))</f>
        <v>tonnes</v>
      </c>
      <c r="E14" s="15">
        <f>IF(tbl_Waste_Calculation[[#This Row],[Unit]] = "tonnes",
tbl_Waste_Calculation[[#This Row],[Consumption]],
tbl_Waste_Calculation[[#This Row],[Consumption]]
*
INDEX(tbl_Waste_EF[Conversion Factor],
   MATCH(tbl_Waste_Calculation[[#This Row],[Waste Type]], tbl_Waste_EF[Activity], 0)))</f>
        <v>0</v>
      </c>
      <c r="F14" s="15">
        <f>SUMIFS(tbl_Waste_EF[kg CO2e], tbl_Waste_EF[Activity], tbl_Waste_Calculation[[#This Row],[Waste Type]])</f>
        <v>4.68568</v>
      </c>
      <c r="G14" s="90">
        <f>tbl_Waste_Calculation[[#This Row],[Emission Factor (kg CO2e/tonne)]]*tbl_Waste_Calculation[[#This Row],[Conversion to tonnes]]</f>
        <v>0</v>
      </c>
    </row>
    <row r="15" spans="2:7" ht="20" customHeight="1" x14ac:dyDescent="0.35">
      <c r="B15" s="18" t="s">
        <v>1115</v>
      </c>
      <c r="C15" s="15">
        <f>INDEX(tbl_Waste_Input[Consumption], MATCH(tbl_Waste_Calculation[[#This Row],[Waste Type]], tbl_Waste_Input[Waste Type], 0))</f>
        <v>0</v>
      </c>
      <c r="D15" s="14" t="str">
        <f>INDEX(tbl_Waste_Input[Unit], MATCH(tbl_Waste_Calculation[[#This Row],[Waste Type]], tbl_Waste_Input[Waste Type], 0))</f>
        <v>m3</v>
      </c>
      <c r="E15" s="15">
        <f>IF(tbl_Waste_Calculation[[#This Row],[Unit]] = "tonnes",
tbl_Waste_Calculation[[#This Row],[Consumption]],
tbl_Waste_Calculation[[#This Row],[Consumption]]
*
INDEX(tbl_Waste_EF[Conversion Factor],
   MATCH(tbl_Waste_Calculation[[#This Row],[Waste Type]], tbl_Waste_EF[Activity], 0)))</f>
        <v>0</v>
      </c>
      <c r="F15" s="15">
        <f>SUMIFS(tbl_Waste_EF[kg CO2e], tbl_Waste_EF[Activity], tbl_Waste_Calculation[[#This Row],[Waste Type]])</f>
        <v>8.98311</v>
      </c>
      <c r="G15" s="90">
        <f>tbl_Waste_Calculation[[#This Row],[Emission Factor (kg CO2e/tonne)]]*tbl_Waste_Calculation[[#This Row],[Conversion to tonnes]]</f>
        <v>0</v>
      </c>
    </row>
    <row r="16" spans="2:7" ht="20" customHeight="1" x14ac:dyDescent="0.35">
      <c r="B16" s="18" t="s">
        <v>1116</v>
      </c>
      <c r="C16" s="15">
        <f>INDEX(tbl_Waste_Input[Consumption], MATCH(tbl_Waste_Calculation[[#This Row],[Waste Type]], tbl_Waste_Input[Waste Type], 0))</f>
        <v>0</v>
      </c>
      <c r="D16" s="14" t="str">
        <f>INDEX(tbl_Waste_Input[Unit], MATCH(tbl_Waste_Calculation[[#This Row],[Waste Type]], tbl_Waste_Input[Waste Type], 0))</f>
        <v>tonnes</v>
      </c>
      <c r="E16" s="15">
        <f>IF(tbl_Waste_Calculation[[#This Row],[Unit]] = "tonnes",
tbl_Waste_Calculation[[#This Row],[Consumption]],
tbl_Waste_Calculation[[#This Row],[Consumption]]
*
INDEX(tbl_Waste_EF[Conversion Factor],
   MATCH(tbl_Waste_Calculation[[#This Row],[Waste Type]], tbl_Waste_EF[Activity], 0)))</f>
        <v>0</v>
      </c>
      <c r="F16" s="15">
        <f>SUMIFS(tbl_Waste_EF[kg CO2e], tbl_Waste_EF[Activity], tbl_Waste_Calculation[[#This Row],[Waste Type]])</f>
        <v>5.9416</v>
      </c>
      <c r="G16" s="90">
        <f>tbl_Waste_Calculation[[#This Row],[Emission Factor (kg CO2e/tonne)]]*tbl_Waste_Calculation[[#This Row],[Conversion to tonnes]]</f>
        <v>0</v>
      </c>
    </row>
    <row r="17" spans="2:8" ht="20" customHeight="1" x14ac:dyDescent="0.35">
      <c r="B17" s="18" t="s">
        <v>1117</v>
      </c>
      <c r="C17" s="15">
        <f>INDEX(tbl_Waste_Input[Consumption], MATCH(tbl_Waste_Calculation[[#This Row],[Waste Type]], tbl_Waste_Input[Waste Type], 0))</f>
        <v>0</v>
      </c>
      <c r="D17" s="14" t="str">
        <f>INDEX(tbl_Waste_Input[Unit], MATCH(tbl_Waste_Calculation[[#This Row],[Waste Type]], tbl_Waste_Input[Waste Type], 0))</f>
        <v>m3</v>
      </c>
      <c r="E17" s="15">
        <f>IF(tbl_Waste_Calculation[[#This Row],[Unit]] = "tonnes",
tbl_Waste_Calculation[[#This Row],[Consumption]],
tbl_Waste_Calculation[[#This Row],[Consumption]]
*
INDEX(tbl_Waste_EF[Conversion Factor],
   MATCH(tbl_Waste_Calculation[[#This Row],[Waste Type]], tbl_Waste_EF[Activity], 0)))</f>
        <v>0</v>
      </c>
      <c r="F17" s="15">
        <f>SUMIFS(tbl_Waste_EF[kg CO2e], tbl_Waste_EF[Activity], tbl_Waste_Calculation[[#This Row],[Waste Type]])</f>
        <v>1.26338</v>
      </c>
      <c r="G17" s="90">
        <f>tbl_Waste_Calculation[[#This Row],[Emission Factor (kg CO2e/tonne)]]*tbl_Waste_Calculation[[#This Row],[Conversion to tonnes]]</f>
        <v>0</v>
      </c>
    </row>
    <row r="18" spans="2:8" ht="20" customHeight="1" x14ac:dyDescent="0.35">
      <c r="B18" s="18" t="s">
        <v>1118</v>
      </c>
      <c r="C18" s="15">
        <f>INDEX(tbl_Waste_Input[Consumption], MATCH(tbl_Waste_Calculation[[#This Row],[Waste Type]], tbl_Waste_Input[Waste Type], 0))</f>
        <v>0</v>
      </c>
      <c r="D18" s="14" t="str">
        <f>INDEX(tbl_Waste_Input[Unit], MATCH(tbl_Waste_Calculation[[#This Row],[Waste Type]], tbl_Waste_Input[Waste Type], 0))</f>
        <v>tonnes</v>
      </c>
      <c r="E18" s="15">
        <f>IF(tbl_Waste_Calculation[[#This Row],[Unit]] = "tonnes",
tbl_Waste_Calculation[[#This Row],[Consumption]],
tbl_Waste_Calculation[[#This Row],[Consumption]]
*
INDEX(tbl_Waste_EF[Conversion Factor],
   MATCH(tbl_Waste_Calculation[[#This Row],[Waste Type]], tbl_Waste_EF[Activity], 0)))</f>
        <v>0</v>
      </c>
      <c r="F18" s="15">
        <f>SUMIFS(tbl_Waste_EF[kg CO2e], tbl_Waste_EF[Activity], tbl_Waste_Calculation[[#This Row],[Waste Type]])</f>
        <v>4.68568</v>
      </c>
      <c r="G18" s="90">
        <f>tbl_Waste_Calculation[[#This Row],[Emission Factor (kg CO2e/tonne)]]*tbl_Waste_Calculation[[#This Row],[Conversion to tonnes]]</f>
        <v>0</v>
      </c>
    </row>
    <row r="19" spans="2:8" ht="20" customHeight="1" x14ac:dyDescent="0.35">
      <c r="B19" s="18" t="s">
        <v>1119</v>
      </c>
      <c r="C19" s="15">
        <f>INDEX(tbl_Waste_Input[Consumption], MATCH(tbl_Waste_Calculation[[#This Row],[Waste Type]], tbl_Waste_Input[Waste Type], 0))</f>
        <v>0</v>
      </c>
      <c r="D19" s="14" t="str">
        <f>INDEX(tbl_Waste_Input[Unit], MATCH(tbl_Waste_Calculation[[#This Row],[Waste Type]], tbl_Waste_Input[Waste Type], 0))</f>
        <v>m3</v>
      </c>
      <c r="E19" s="15">
        <f>IF(tbl_Waste_Calculation[[#This Row],[Unit]] = "tonnes",
tbl_Waste_Calculation[[#This Row],[Consumption]],
tbl_Waste_Calculation[[#This Row],[Consumption]]
*
INDEX(tbl_Waste_EF[Conversion Factor],
   MATCH(tbl_Waste_Calculation[[#This Row],[Waste Type]], tbl_Waste_EF[Activity], 0)))</f>
        <v>0</v>
      </c>
      <c r="F19" s="15">
        <f>SUMIFS(tbl_Waste_EF[kg CO2e], tbl_Waste_EF[Activity], tbl_Waste_Calculation[[#This Row],[Waste Type]])</f>
        <v>8.98311</v>
      </c>
      <c r="G19" s="90">
        <f>tbl_Waste_Calculation[[#This Row],[Emission Factor (kg CO2e/tonne)]]*tbl_Waste_Calculation[[#This Row],[Conversion to tonnes]]</f>
        <v>0</v>
      </c>
    </row>
    <row r="20" spans="2:8" ht="20" customHeight="1" x14ac:dyDescent="0.35">
      <c r="B20" s="22" t="s">
        <v>1120</v>
      </c>
      <c r="C20" s="23">
        <f>INDEX(tbl_Waste_Input[Consumption], MATCH(tbl_Waste_Calculation[[#This Row],[Waste Type]], tbl_Waste_Input[Waste Type], 0))</f>
        <v>0</v>
      </c>
      <c r="D20" s="25" t="str">
        <f>INDEX(tbl_Waste_Input[Unit], MATCH(tbl_Waste_Calculation[[#This Row],[Waste Type]], tbl_Waste_Input[Waste Type], 0))</f>
        <v>tonnes</v>
      </c>
      <c r="E20" s="23">
        <f>IF(tbl_Waste_Calculation[[#This Row],[Unit]] = "tonnes",
tbl_Waste_Calculation[[#This Row],[Consumption]],
tbl_Waste_Calculation[[#This Row],[Consumption]]
*
INDEX(tbl_Waste_EF[Conversion Factor],
   MATCH(tbl_Waste_Calculation[[#This Row],[Waste Type]], tbl_Waste_EF[Activity], 0)))</f>
        <v>0</v>
      </c>
      <c r="F20" s="23">
        <f>SUMIFS(tbl_Waste_EF[kg CO2e], tbl_Waste_EF[Activity], tbl_Waste_Calculation[[#This Row],[Waste Type]])</f>
        <v>4.68568</v>
      </c>
      <c r="G20" s="82">
        <f>tbl_Waste_Calculation[[#This Row],[Emission Factor (kg CO2e/tonne)]]*tbl_Waste_Calculation[[#This Row],[Conversion to tonnes]]</f>
        <v>0</v>
      </c>
    </row>
    <row r="21" spans="2:8" s="42" customFormat="1" ht="15" thickBot="1" x14ac:dyDescent="0.4"/>
    <row r="22" spans="2:8" ht="15" thickTop="1" x14ac:dyDescent="0.35"/>
    <row r="23" spans="2:8" x14ac:dyDescent="0.35">
      <c r="B23" s="7" t="s">
        <v>1121</v>
      </c>
      <c r="C23" s="7"/>
      <c r="D23" s="67"/>
      <c r="E23" s="67"/>
      <c r="F23" s="67"/>
      <c r="G23" s="67"/>
      <c r="H23" s="67"/>
    </row>
    <row r="24" spans="2:8" ht="5" customHeight="1" x14ac:dyDescent="0.35">
      <c r="B24" s="4"/>
      <c r="C24" s="4"/>
    </row>
    <row r="25" spans="2:8" x14ac:dyDescent="0.35">
      <c r="B25" s="11" t="s">
        <v>1012</v>
      </c>
      <c r="C25" s="45">
        <f>SUM(tbl_Water_Calculation[[Emissions Water Supply 
(kg CO2e)]:[Emissions Water Treatment 
(kg CO2e)]])</f>
        <v>0</v>
      </c>
    </row>
    <row r="27" spans="2:8" ht="29" x14ac:dyDescent="0.35">
      <c r="B27" s="19" t="s">
        <v>1152</v>
      </c>
      <c r="C27" s="20" t="s">
        <v>23</v>
      </c>
      <c r="D27" s="20" t="s">
        <v>40</v>
      </c>
      <c r="E27" s="64" t="s">
        <v>1154</v>
      </c>
      <c r="F27" s="64" t="s">
        <v>1153</v>
      </c>
      <c r="G27" s="64" t="s">
        <v>1156</v>
      </c>
      <c r="H27" s="72" t="s">
        <v>1155</v>
      </c>
    </row>
    <row r="28" spans="2:8" ht="20" customHeight="1" x14ac:dyDescent="0.35">
      <c r="B28" s="22" t="s">
        <v>1149</v>
      </c>
      <c r="C28" s="23">
        <f>INDEX(tbl_Water_Input[Consumption], MATCH(tbl_Water_Calculation[[#This Row],[Water Consumption]], tbl_Water_Input[Water Consumption], 0))</f>
        <v>0</v>
      </c>
      <c r="D28" s="23" t="str">
        <f>INDEX(tbl_Water_Input[Unit], MATCH(tbl_Water_Calculation[[#This Row],[Water Consumption]], tbl_Water_Input[Water Consumption], 0))</f>
        <v>m3</v>
      </c>
      <c r="E28" s="107" cm="1">
        <f t="array" ref="E28">INDEX(tbl_Water_EF[kg CO2e], MATCH(1,("Water Supply" = tbl_Water_EF[Type]) * (tbl_Water_Calculation[[#This Row],[Unit]] = tbl_Water_EF[Unit]), 0))</f>
        <v>0.1913</v>
      </c>
      <c r="F28" s="107" cm="1">
        <f t="array" ref="F28">INDEX(tbl_Water_EF[kg CO2e], MATCH(1,("Water Treatment" = tbl_Water_EF[Type]) * (tbl_Water_Calculation[[#This Row],[Unit]] = tbl_Water_EF[Unit]), 0))</f>
        <v>0.17088</v>
      </c>
      <c r="G28" s="36">
        <f>tbl_Water_Calculation[[#This Row],[Emission Factor Water Supply 
(kg CO2e/unit)]]*tbl_Water_Calculation[[#This Row],[Consumption]]</f>
        <v>0</v>
      </c>
      <c r="H28" s="82">
        <f>tbl_Water_Calculation[[#This Row],[Emission Factor Water Treatment (kg CO2e/unit)]]*tbl_Water_Calculation[[#This Row],[Consumption]]</f>
        <v>0</v>
      </c>
    </row>
  </sheetData>
  <pageMargins left="0.7" right="0.7" top="0.75" bottom="0.75" header="0.3" footer="0.3"/>
  <tableParts count="2">
    <tablePart r:id="rId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0B4CB-9852-4F91-B13E-ACD1BD1E6B4C}">
  <sheetPr>
    <tabColor rgb="FFE7EEEE"/>
  </sheetPr>
  <dimension ref="A1:K38"/>
  <sheetViews>
    <sheetView showGridLines="0" zoomScale="80" zoomScaleNormal="80" workbookViewId="0"/>
  </sheetViews>
  <sheetFormatPr defaultRowHeight="14.5" x14ac:dyDescent="0.35"/>
  <cols>
    <col min="1" max="1" width="2.6328125" style="2" customWidth="1"/>
    <col min="2" max="12" width="30.6328125" style="2" customWidth="1"/>
    <col min="13" max="16384" width="8.7265625" style="2"/>
  </cols>
  <sheetData>
    <row r="1" spans="1:11" s="1" customFormat="1" x14ac:dyDescent="0.35">
      <c r="A1" s="1" t="s">
        <v>1015</v>
      </c>
      <c r="B1" s="147" t="str">
        <f>const_Company_Name &amp; " Corporate Carbon Footprint Calculation"</f>
        <v>[Ihr Unternehmen] Corporate Carbon Footprint Calculation</v>
      </c>
    </row>
    <row r="2" spans="1:11" s="1" customFormat="1" x14ac:dyDescent="0.35">
      <c r="B2" s="147" t="str">
        <f>"01/01/" &amp; const_Reporting_Year &amp; " - 31/12/" &amp; const_Reporting_Year</f>
        <v>01/01/2025 - 31/12/2025</v>
      </c>
    </row>
    <row r="4" spans="1:11" x14ac:dyDescent="0.35">
      <c r="B4" s="7" t="s">
        <v>1157</v>
      </c>
      <c r="C4" s="7"/>
      <c r="D4" s="67"/>
      <c r="E4" s="67"/>
      <c r="F4" s="67"/>
      <c r="G4" s="67"/>
      <c r="H4" s="67"/>
      <c r="I4" s="67"/>
      <c r="J4" s="67"/>
      <c r="K4" s="67"/>
    </row>
    <row r="5" spans="1:11" ht="5" customHeight="1" x14ac:dyDescent="0.35">
      <c r="B5" s="4"/>
      <c r="C5" s="4"/>
    </row>
    <row r="6" spans="1:11" x14ac:dyDescent="0.35">
      <c r="B6" s="11" t="s">
        <v>1012</v>
      </c>
      <c r="C6" s="45">
        <f>SUM(tbl_Business_Travel_Activity_Calc[Emissions 3.06. (kg CO2e)], tbl_Business_Travel_Activity_Calc[Emissions WTT (kg CO2e)], tbl_Hotel_Calc[Emissions 3.06. (kg CO2e)])</f>
        <v>0</v>
      </c>
    </row>
    <row r="7" spans="1:11" x14ac:dyDescent="0.35">
      <c r="B7" s="11"/>
      <c r="C7"/>
    </row>
    <row r="8" spans="1:11" ht="25" customHeight="1" x14ac:dyDescent="0.35">
      <c r="B8" s="71" t="s">
        <v>1158</v>
      </c>
      <c r="C8" s="64" t="s">
        <v>1180</v>
      </c>
      <c r="D8" s="64" t="s">
        <v>1178</v>
      </c>
      <c r="E8" s="72" t="s">
        <v>1187</v>
      </c>
      <c r="F8" s="72" t="s">
        <v>40</v>
      </c>
      <c r="G8" s="64" t="s">
        <v>1182</v>
      </c>
      <c r="H8" s="64" t="s">
        <v>1183</v>
      </c>
      <c r="I8" s="64" t="s">
        <v>1184</v>
      </c>
      <c r="J8" s="72" t="s">
        <v>1185</v>
      </c>
      <c r="K8" s="109" t="s">
        <v>1186</v>
      </c>
    </row>
    <row r="9" spans="1:11" ht="20" customHeight="1" x14ac:dyDescent="0.35">
      <c r="B9" s="18" t="s">
        <v>1179</v>
      </c>
      <c r="C9" s="9" t="s">
        <v>80</v>
      </c>
      <c r="D9" s="15">
        <f>INDEX(tbl_3.06._AB_Input[Distance Travelled], MATCH(tbl_Business_Travel_Activity_Calc[[#This Row],[Travel Type]], tbl_3.06._AB_Input[Travel Type], 0))</f>
        <v>0</v>
      </c>
      <c r="E9" s="15" t="str">
        <f>IF(tbl_Business_Travel_Activity_Calc[[#This Row],[Distance Travelled]]&lt;500, "Short-Haul", "Long-Haul")</f>
        <v>Short-Haul</v>
      </c>
      <c r="F9" s="15" t="str">
        <f>INDEX(tbl_3.06._AB_Input[Unit], MATCH(tbl_Business_Travel_Activity_Calc[[#This Row],[Travel Type]], tbl_3.06._AB_Input[Travel Type], 0))</f>
        <v>km</v>
      </c>
      <c r="G9" s="37" cm="1">
        <f t="array" ref="G9">IFERROR(tbl_Business_Travel_Activity_Calc[[#This Row],[Distance Travelled]:[Distance Travelled]]
*
SUMIFS(btl_Business_Travel_Activity_EF[kg CO2e],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H9" s="37" cm="1">
        <f t="array" ref="H9">IFERROR(tbl_Business_Travel_Activity_Calc[[#This Row],[Distance Travelled]:[Distance Travelled]]
*
SUMIFS(btl_Business_Travel_Activity_EF[kg CO2e of CO2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I9" s="37" cm="1">
        <f t="array" ref="I9">IFERROR(tbl_Business_Travel_Activity_Calc[[#This Row],[Distance Travelled]:[Distance Travelled]]
*
SUMIFS(btl_Business_Travel_Activity_EF[kg CO2e of CH4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J9" s="37" cm="1">
        <f t="array" ref="J9">IFERROR(tbl_Business_Travel_Activity_Calc[[#This Row],[Distance Travelled]:[Distance Travelled]]
*
SUMIFS(btl_Business_Travel_Activity_EF[kg CO2e of N2O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K9" s="37" cm="1">
        <f t="array" ref="K9">IFERROR(tbl_Business_Travel_Activity_Calc[[#This Row],[Distance Travelled]:[Distance Travelled]]
*
SUMIFS(btl_Business_Travel_Activity_EF[kg CO2e 3.03 ],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row>
    <row r="10" spans="1:11" ht="20" customHeight="1" x14ac:dyDescent="0.35">
      <c r="B10" s="18" t="s">
        <v>1173</v>
      </c>
      <c r="C10" s="9" t="s">
        <v>1172</v>
      </c>
      <c r="D10" s="15">
        <f>INDEX(tbl_3.06._AB_Input[Distance Travelled], MATCH(tbl_Business_Travel_Activity_Calc[[#This Row],[Travel Type]], tbl_3.06._AB_Input[Travel Type], 0))</f>
        <v>0</v>
      </c>
      <c r="E10" s="105" t="s">
        <v>80</v>
      </c>
      <c r="F10" s="10" t="str">
        <f>INDEX(tbl_3.06._AB_Input[Unit], MATCH(tbl_Business_Travel_Activity_Calc[[#This Row],[Travel Type]], tbl_3.06._AB_Input[Travel Type], 0))</f>
        <v>km</v>
      </c>
      <c r="G10" s="17" cm="1">
        <f t="array" ref="G10">IFERROR(tbl_Business_Travel_Activity_Calc[[#This Row],[Distance Travelled]:[Distance Travelled]]
*
SUMIFS(btl_Business_Travel_Activity_EF[kg CO2e],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H10" s="17" cm="1">
        <f t="array" ref="H10">IFERROR(tbl_Business_Travel_Activity_Calc[[#This Row],[Distance Travelled]:[Distance Travelled]]
*
SUMIFS(btl_Business_Travel_Activity_EF[kg CO2e of CO2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I10" s="17" cm="1">
        <f t="array" ref="I10">IFERROR(tbl_Business_Travel_Activity_Calc[[#This Row],[Distance Travelled]:[Distance Travelled]]
*
SUMIFS(btl_Business_Travel_Activity_EF[kg CO2e of CH4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J10" s="17" cm="1">
        <f t="array" ref="J10">IFERROR(tbl_Business_Travel_Activity_Calc[[#This Row],[Distance Travelled]:[Distance Travelled]]
*
SUMIFS(btl_Business_Travel_Activity_EF[kg CO2e of N2O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K10" s="17" cm="1">
        <f t="array" ref="K10">IFERROR(tbl_Business_Travel_Activity_Calc[[#This Row],[Distance Travelled]:[Distance Travelled]]
*
SUMIFS(btl_Business_Travel_Activity_EF[kg CO2e 3.03 ],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row>
    <row r="11" spans="1:11" ht="20" customHeight="1" x14ac:dyDescent="0.35">
      <c r="B11" s="18" t="s">
        <v>1170</v>
      </c>
      <c r="C11" s="9" t="s">
        <v>80</v>
      </c>
      <c r="D11" s="15">
        <f>INDEX(tbl_3.06._AB_Input[Distance Travelled], MATCH(tbl_Business_Travel_Activity_Calc[[#This Row],[Travel Type]], tbl_3.06._AB_Input[Travel Type], 0))</f>
        <v>0</v>
      </c>
      <c r="E11" s="15" t="str">
        <f>IF(tbl_Business_Travel_Activity_Calc[[#This Row],[Distance Travelled]]&lt;500, "National", "International")</f>
        <v>National</v>
      </c>
      <c r="F11" s="10" t="str">
        <f>INDEX(tbl_3.06._AB_Input[Unit], MATCH(tbl_Business_Travel_Activity_Calc[[#This Row],[Travel Type]], tbl_3.06._AB_Input[Travel Type], 0))</f>
        <v>km</v>
      </c>
      <c r="G11" s="17" cm="1">
        <f t="array" ref="G11">IFERROR(tbl_Business_Travel_Activity_Calc[[#This Row],[Distance Travelled]:[Distance Travelled]]
*
SUMIFS(btl_Business_Travel_Activity_EF[kg CO2e],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H11" s="17" cm="1">
        <f t="array" ref="H11">IFERROR(tbl_Business_Travel_Activity_Calc[[#This Row],[Distance Travelled]:[Distance Travelled]]
*
SUMIFS(btl_Business_Travel_Activity_EF[kg CO2e of CO2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I11" s="17" cm="1">
        <f t="array" ref="I11">IFERROR(tbl_Business_Travel_Activity_Calc[[#This Row],[Distance Travelled]:[Distance Travelled]]
*
SUMIFS(btl_Business_Travel_Activity_EF[kg CO2e of CH4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J11" s="17" cm="1">
        <f t="array" ref="J11">IFERROR(tbl_Business_Travel_Activity_Calc[[#This Row],[Distance Travelled]:[Distance Travelled]]
*
SUMIFS(btl_Business_Travel_Activity_EF[kg CO2e of N2O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K11" s="17" cm="1">
        <f t="array" ref="K11">IFERROR(tbl_Business_Travel_Activity_Calc[[#This Row],[Distance Travelled]:[Distance Travelled]]
*
SUMIFS(btl_Business_Travel_Activity_EF[kg CO2e 3.03 ],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row>
    <row r="12" spans="1:11" ht="20" customHeight="1" x14ac:dyDescent="0.35">
      <c r="B12" s="18" t="s">
        <v>1174</v>
      </c>
      <c r="C12" s="9" t="s">
        <v>80</v>
      </c>
      <c r="D12" s="15">
        <f>INDEX(tbl_3.06._AB_Input[Distance Travelled], MATCH(tbl_Business_Travel_Activity_Calc[[#This Row],[Travel Type]], tbl_3.06._AB_Input[Travel Type], 0))</f>
        <v>0</v>
      </c>
      <c r="E12" s="55" t="s">
        <v>1175</v>
      </c>
      <c r="F12" s="10" t="str">
        <f>INDEX(tbl_3.06._AB_Input[Unit], MATCH(tbl_Business_Travel_Activity_Calc[[#This Row],[Travel Type]], tbl_3.06._AB_Input[Travel Type], 0))</f>
        <v>km</v>
      </c>
      <c r="G12" s="17" cm="1">
        <f t="array" ref="G12">IFERROR(tbl_Business_Travel_Activity_Calc[[#This Row],[Distance Travelled]:[Distance Travelled]]
*
SUMIFS(btl_Business_Travel_Activity_EF[kg CO2e],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H12" s="17" cm="1">
        <f t="array" ref="H12">IFERROR(tbl_Business_Travel_Activity_Calc[[#This Row],[Distance Travelled]:[Distance Travelled]]
*
SUMIFS(btl_Business_Travel_Activity_EF[kg CO2e of CO2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I12" s="17" cm="1">
        <f t="array" ref="I12">IFERROR(tbl_Business_Travel_Activity_Calc[[#This Row],[Distance Travelled]:[Distance Travelled]]
*
SUMIFS(btl_Business_Travel_Activity_EF[kg CO2e of CH4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J12" s="17" cm="1">
        <f t="array" ref="J12">IFERROR(tbl_Business_Travel_Activity_Calc[[#This Row],[Distance Travelled]:[Distance Travelled]]
*
SUMIFS(btl_Business_Travel_Activity_EF[kg CO2e of N2O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K12" s="17" cm="1">
        <f t="array" ref="K12">IFERROR(tbl_Business_Travel_Activity_Calc[[#This Row],[Distance Travelled]:[Distance Travelled]]
*
SUMIFS(btl_Business_Travel_Activity_EF[kg CO2e 3.03 ],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row>
    <row r="13" spans="1:11" ht="20" customHeight="1" x14ac:dyDescent="0.35">
      <c r="B13" s="22" t="s">
        <v>1176</v>
      </c>
      <c r="C13" s="55" t="s">
        <v>80</v>
      </c>
      <c r="D13" s="23">
        <f>INDEX(tbl_3.06._AB_Input[Distance Travelled], MATCH(tbl_Business_Travel_Activity_Calc[[#This Row],[Travel Type]], tbl_3.06._AB_Input[Travel Type], 0))</f>
        <v>0</v>
      </c>
      <c r="E13" s="55" t="s">
        <v>1177</v>
      </c>
      <c r="F13" s="26" t="str">
        <f>INDEX(tbl_3.06._AB_Input[Unit], MATCH(tbl_Business_Travel_Activity_Calc[[#This Row],[Travel Type]], tbl_3.06._AB_Input[Travel Type], 0))</f>
        <v>km</v>
      </c>
      <c r="G13" s="36" cm="1">
        <f t="array" ref="G13">IFERROR(tbl_Business_Travel_Activity_Calc[[#This Row],[Distance Travelled]:[Distance Travelled]]
*
SUMIFS(btl_Business_Travel_Activity_EF[kg CO2e],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H13" s="36" cm="1">
        <f t="array" ref="H13">IFERROR(tbl_Business_Travel_Activity_Calc[[#This Row],[Distance Travelled]:[Distance Travelled]]
*
SUMIFS(btl_Business_Travel_Activity_EF[kg CO2e of CO2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I13" s="36" cm="1">
        <f t="array" ref="I13">IFERROR(tbl_Business_Travel_Activity_Calc[[#This Row],[Distance Travelled]:[Distance Travelled]]
*
SUMIFS(btl_Business_Travel_Activity_EF[kg CO2e of CH4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J13" s="36" cm="1">
        <f t="array" ref="J13">IFERROR(tbl_Business_Travel_Activity_Calc[[#This Row],[Distance Travelled]:[Distance Travelled]]
*
SUMIFS(btl_Business_Travel_Activity_EF[kg CO2e of N2O per unit],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c r="K13" s="36" cm="1">
        <f t="array" ref="K13">IFERROR(tbl_Business_Travel_Activity_Calc[[#This Row],[Distance Travelled]:[Distance Travelled]]
*
SUMIFS(btl_Business_Travel_Activity_EF[kg CO2e 3.03 ],
   btl_Business_Travel_Activity_EF[[Activity]:[Activity]], tbl_Business_Travel_Activity_Calc[[#This Row],[Travel Type]:[Travel Type]],
      btl_Business_Travel_Activity_EF[[Distance]:[Distance]], tbl_Business_Travel_Activity_Calc[[#This Row],[Flight Category]:[Flight Category]],
         btl_Business_Travel_Activity_EF[[Class]:[Class]], tbl_Business_Travel_Activity_Calc[[#This Row],[Attribute Value]:[Attribute Value]]), "")</f>
        <v>0</v>
      </c>
    </row>
    <row r="15" spans="1:11" ht="25" customHeight="1" x14ac:dyDescent="0.35">
      <c r="B15" s="19" t="s">
        <v>1188</v>
      </c>
      <c r="C15" s="20" t="s">
        <v>1192</v>
      </c>
      <c r="D15" s="20" t="s">
        <v>40</v>
      </c>
      <c r="E15" s="21" t="s">
        <v>255</v>
      </c>
      <c r="F15" s="21" t="s">
        <v>1194</v>
      </c>
      <c r="G15" s="21" t="s">
        <v>1182</v>
      </c>
    </row>
    <row r="16" spans="1:11" ht="20" customHeight="1" x14ac:dyDescent="0.35">
      <c r="B16" s="111" t="s">
        <v>1325</v>
      </c>
      <c r="C16" s="15">
        <f>INDEX(tbl_Hotels_AB_Input[Nights Stayed], MATCH(tbl_Hotel_Calc[[#This Row],[Hotel Stay]], tbl_Hotels_AB_Input[Hotel Stay], 0))</f>
        <v>0</v>
      </c>
      <c r="D16" s="9" t="s">
        <v>1189</v>
      </c>
      <c r="E16" s="10">
        <f>INDEX(tbl_Hotels_AB_Input[Country], MATCH(tbl_Hotel_Calc[[#This Row],[Hotel Stay]], tbl_Hotels_AB_Input[Hotel Stay], 0))</f>
        <v>0</v>
      </c>
      <c r="F16" s="105">
        <f>SUMIFS(tbl_Business_Travel_Hotels[kg CO2e], tbl_Business_Travel_Hotels[Country], tbl_Hotel_Calc[[#This Row],[Country]])</f>
        <v>0</v>
      </c>
      <c r="G16" s="90">
        <f>tbl_Hotel_Calc[[#This Row],[Emission Factor (kg CO2e/night)]]*tbl_Hotel_Calc[[#This Row],[Nights Stayed]]</f>
        <v>0</v>
      </c>
    </row>
    <row r="17" spans="2:9" ht="20" customHeight="1" x14ac:dyDescent="0.35">
      <c r="B17" s="15" t="s">
        <v>1326</v>
      </c>
      <c r="C17" s="15">
        <f>INDEX(tbl_Hotels_AB_Input[Nights Stayed], MATCH(tbl_Hotel_Calc[[#This Row],[Hotel Stay]], tbl_Hotels_AB_Input[Hotel Stay], 0))</f>
        <v>0</v>
      </c>
      <c r="D17" s="9" t="s">
        <v>1189</v>
      </c>
      <c r="E17" s="10">
        <f>INDEX(tbl_Hotels_AB_Input[Country], MATCH(tbl_Hotel_Calc[[#This Row],[Hotel Stay]], tbl_Hotels_AB_Input[Hotel Stay], 0))</f>
        <v>0</v>
      </c>
      <c r="F17" s="105">
        <f>SUMIFS(tbl_Business_Travel_Hotels[kg CO2e], tbl_Business_Travel_Hotels[Country], tbl_Hotel_Calc[[#This Row],[Country]])</f>
        <v>0</v>
      </c>
      <c r="G17" s="90">
        <f>tbl_Hotel_Calc[[#This Row],[Emission Factor (kg CO2e/night)]]*tbl_Hotel_Calc[[#This Row],[Nights Stayed]]</f>
        <v>0</v>
      </c>
    </row>
    <row r="18" spans="2:9" ht="20" customHeight="1" x14ac:dyDescent="0.35">
      <c r="B18" s="15" t="s">
        <v>1327</v>
      </c>
      <c r="C18" s="15">
        <f>INDEX(tbl_Hotels_AB_Input[Nights Stayed], MATCH(tbl_Hotel_Calc[[#This Row],[Hotel Stay]], tbl_Hotels_AB_Input[Hotel Stay], 0))</f>
        <v>0</v>
      </c>
      <c r="D18" s="9" t="s">
        <v>1189</v>
      </c>
      <c r="E18" s="10">
        <f>INDEX(tbl_Hotels_AB_Input[Country], MATCH(tbl_Hotel_Calc[[#This Row],[Hotel Stay]], tbl_Hotels_AB_Input[Hotel Stay], 0))</f>
        <v>0</v>
      </c>
      <c r="F18" s="105">
        <f>SUMIFS(tbl_Business_Travel_Hotels[kg CO2e], tbl_Business_Travel_Hotels[Country], tbl_Hotel_Calc[[#This Row],[Country]])</f>
        <v>0</v>
      </c>
      <c r="G18" s="90">
        <f>tbl_Hotel_Calc[[#This Row],[Emission Factor (kg CO2e/night)]]*tbl_Hotel_Calc[[#This Row],[Nights Stayed]]</f>
        <v>0</v>
      </c>
    </row>
    <row r="19" spans="2:9" ht="20" customHeight="1" x14ac:dyDescent="0.35">
      <c r="B19" s="15" t="s">
        <v>1328</v>
      </c>
      <c r="C19" s="15">
        <f>INDEX(tbl_Hotels_AB_Input[Nights Stayed], MATCH(tbl_Hotel_Calc[[#This Row],[Hotel Stay]], tbl_Hotels_AB_Input[Hotel Stay], 0))</f>
        <v>0</v>
      </c>
      <c r="D19" s="9" t="s">
        <v>1189</v>
      </c>
      <c r="E19" s="10">
        <f>INDEX(tbl_Hotels_AB_Input[Country], MATCH(tbl_Hotel_Calc[[#This Row],[Hotel Stay]], tbl_Hotels_AB_Input[Hotel Stay], 0))</f>
        <v>0</v>
      </c>
      <c r="F19" s="105">
        <f>SUMIFS(tbl_Business_Travel_Hotels[kg CO2e], tbl_Business_Travel_Hotels[Country], tbl_Hotel_Calc[[#This Row],[Country]])</f>
        <v>0</v>
      </c>
      <c r="G19" s="90">
        <f>tbl_Hotel_Calc[[#This Row],[Emission Factor (kg CO2e/night)]]*tbl_Hotel_Calc[[#This Row],[Nights Stayed]]</f>
        <v>0</v>
      </c>
    </row>
    <row r="20" spans="2:9" ht="20" customHeight="1" x14ac:dyDescent="0.35">
      <c r="B20" s="111" t="s">
        <v>1329</v>
      </c>
      <c r="C20" s="15">
        <f>INDEX(tbl_Hotels_AB_Input[Nights Stayed], MATCH(tbl_Hotel_Calc[[#This Row],[Hotel Stay]], tbl_Hotels_AB_Input[Hotel Stay], 0))</f>
        <v>0</v>
      </c>
      <c r="D20" s="9" t="s">
        <v>1189</v>
      </c>
      <c r="E20" s="10">
        <f>INDEX(tbl_Hotels_AB_Input[Country], MATCH(tbl_Hotel_Calc[[#This Row],[Hotel Stay]], tbl_Hotels_AB_Input[Hotel Stay], 0))</f>
        <v>0</v>
      </c>
      <c r="F20" s="105">
        <f>SUMIFS(tbl_Business_Travel_Hotels[kg CO2e], tbl_Business_Travel_Hotels[Country], tbl_Hotel_Calc[[#This Row],[Country]])</f>
        <v>0</v>
      </c>
      <c r="G20" s="90">
        <f>tbl_Hotel_Calc[[#This Row],[Emission Factor (kg CO2e/night)]]*tbl_Hotel_Calc[[#This Row],[Nights Stayed]]</f>
        <v>0</v>
      </c>
      <c r="I20"/>
    </row>
    <row r="21" spans="2:9" ht="20" customHeight="1" x14ac:dyDescent="0.35">
      <c r="B21" s="15" t="s">
        <v>1330</v>
      </c>
      <c r="C21" s="15">
        <f>INDEX(tbl_Hotels_AB_Input[Nights Stayed], MATCH(tbl_Hotel_Calc[[#This Row],[Hotel Stay]], tbl_Hotels_AB_Input[Hotel Stay], 0))</f>
        <v>0</v>
      </c>
      <c r="D21" s="9" t="s">
        <v>1189</v>
      </c>
      <c r="E21" s="10">
        <f>INDEX(tbl_Hotels_AB_Input[Country], MATCH(tbl_Hotel_Calc[[#This Row],[Hotel Stay]], tbl_Hotels_AB_Input[Hotel Stay], 0))</f>
        <v>0</v>
      </c>
      <c r="F21" s="105">
        <f>SUMIFS(tbl_Business_Travel_Hotels[kg CO2e], tbl_Business_Travel_Hotels[Country], tbl_Hotel_Calc[[#This Row],[Country]])</f>
        <v>0</v>
      </c>
      <c r="G21" s="90">
        <f>tbl_Hotel_Calc[[#This Row],[Emission Factor (kg CO2e/night)]]*tbl_Hotel_Calc[[#This Row],[Nights Stayed]]</f>
        <v>0</v>
      </c>
    </row>
    <row r="22" spans="2:9" ht="20" customHeight="1" x14ac:dyDescent="0.35">
      <c r="B22" s="15" t="s">
        <v>1331</v>
      </c>
      <c r="C22" s="15">
        <f>INDEX(tbl_Hotels_AB_Input[Nights Stayed], MATCH(tbl_Hotel_Calc[[#This Row],[Hotel Stay]], tbl_Hotels_AB_Input[Hotel Stay], 0))</f>
        <v>0</v>
      </c>
      <c r="D22" s="9" t="s">
        <v>1189</v>
      </c>
      <c r="E22" s="10">
        <f>INDEX(tbl_Hotels_AB_Input[Country], MATCH(tbl_Hotel_Calc[[#This Row],[Hotel Stay]], tbl_Hotels_AB_Input[Hotel Stay], 0))</f>
        <v>0</v>
      </c>
      <c r="F22" s="105">
        <f>SUMIFS(tbl_Business_Travel_Hotels[kg CO2e], tbl_Business_Travel_Hotels[Country], tbl_Hotel_Calc[[#This Row],[Country]])</f>
        <v>0</v>
      </c>
      <c r="G22" s="90">
        <f>tbl_Hotel_Calc[[#This Row],[Emission Factor (kg CO2e/night)]]*tbl_Hotel_Calc[[#This Row],[Nights Stayed]]</f>
        <v>0</v>
      </c>
    </row>
    <row r="23" spans="2:9" ht="20" customHeight="1" x14ac:dyDescent="0.35">
      <c r="B23" s="15" t="s">
        <v>1332</v>
      </c>
      <c r="C23" s="15">
        <f>INDEX(tbl_Hotels_AB_Input[Nights Stayed], MATCH(tbl_Hotel_Calc[[#This Row],[Hotel Stay]], tbl_Hotels_AB_Input[Hotel Stay], 0))</f>
        <v>0</v>
      </c>
      <c r="D23" s="9" t="s">
        <v>1189</v>
      </c>
      <c r="E23" s="10">
        <f>INDEX(tbl_Hotels_AB_Input[Country], MATCH(tbl_Hotel_Calc[[#This Row],[Hotel Stay]], tbl_Hotels_AB_Input[Hotel Stay], 0))</f>
        <v>0</v>
      </c>
      <c r="F23" s="105">
        <f>SUMIFS(tbl_Business_Travel_Hotels[kg CO2e], tbl_Business_Travel_Hotels[Country], tbl_Hotel_Calc[[#This Row],[Country]])</f>
        <v>0</v>
      </c>
      <c r="G23" s="90">
        <f>tbl_Hotel_Calc[[#This Row],[Emission Factor (kg CO2e/night)]]*tbl_Hotel_Calc[[#This Row],[Nights Stayed]]</f>
        <v>0</v>
      </c>
    </row>
    <row r="24" spans="2:9" ht="20" customHeight="1" x14ac:dyDescent="0.35">
      <c r="B24" s="111" t="s">
        <v>1333</v>
      </c>
      <c r="C24" s="15">
        <f>INDEX(tbl_Hotels_AB_Input[Nights Stayed], MATCH(tbl_Hotel_Calc[[#This Row],[Hotel Stay]], tbl_Hotels_AB_Input[Hotel Stay], 0))</f>
        <v>0</v>
      </c>
      <c r="D24" s="9" t="s">
        <v>1189</v>
      </c>
      <c r="E24" s="10">
        <f>INDEX(tbl_Hotels_AB_Input[Country], MATCH(tbl_Hotel_Calc[[#This Row],[Hotel Stay]], tbl_Hotels_AB_Input[Hotel Stay], 0))</f>
        <v>0</v>
      </c>
      <c r="F24" s="105">
        <f>SUMIFS(tbl_Business_Travel_Hotels[kg CO2e], tbl_Business_Travel_Hotels[Country], tbl_Hotel_Calc[[#This Row],[Country]])</f>
        <v>0</v>
      </c>
      <c r="G24" s="90">
        <f>tbl_Hotel_Calc[[#This Row],[Emission Factor (kg CO2e/night)]]*tbl_Hotel_Calc[[#This Row],[Nights Stayed]]</f>
        <v>0</v>
      </c>
    </row>
    <row r="25" spans="2:9" ht="20" customHeight="1" x14ac:dyDescent="0.35">
      <c r="B25" s="15" t="s">
        <v>1334</v>
      </c>
      <c r="C25" s="15">
        <f>INDEX(tbl_Hotels_AB_Input[Nights Stayed], MATCH(tbl_Hotel_Calc[[#This Row],[Hotel Stay]], tbl_Hotels_AB_Input[Hotel Stay], 0))</f>
        <v>0</v>
      </c>
      <c r="D25" s="9" t="s">
        <v>1189</v>
      </c>
      <c r="E25" s="10">
        <f>INDEX(tbl_Hotels_AB_Input[Country], MATCH(tbl_Hotel_Calc[[#This Row],[Hotel Stay]], tbl_Hotels_AB_Input[Hotel Stay], 0))</f>
        <v>0</v>
      </c>
      <c r="F25" s="105">
        <f>SUMIFS(tbl_Business_Travel_Hotels[kg CO2e], tbl_Business_Travel_Hotels[Country], tbl_Hotel_Calc[[#This Row],[Country]])</f>
        <v>0</v>
      </c>
      <c r="G25" s="90">
        <f>tbl_Hotel_Calc[[#This Row],[Emission Factor (kg CO2e/night)]]*tbl_Hotel_Calc[[#This Row],[Nights Stayed]]</f>
        <v>0</v>
      </c>
    </row>
    <row r="26" spans="2:9" s="42" customFormat="1" ht="15" thickBot="1" x14ac:dyDescent="0.4"/>
    <row r="27" spans="2:9" ht="15" thickTop="1" x14ac:dyDescent="0.35"/>
    <row r="28" spans="2:9" x14ac:dyDescent="0.35">
      <c r="B28" s="7" t="s">
        <v>1195</v>
      </c>
      <c r="C28" s="67"/>
      <c r="D28" s="67"/>
      <c r="E28" s="67"/>
      <c r="F28" s="67"/>
    </row>
    <row r="29" spans="2:9" ht="5" customHeight="1" x14ac:dyDescent="0.35"/>
    <row r="30" spans="2:9" x14ac:dyDescent="0.35">
      <c r="B30" s="11" t="s">
        <v>1012</v>
      </c>
      <c r="C30" s="45">
        <f>SUM(tbl_Business_Travel_Spend_Calc[Emissions (kg CO2e)])</f>
        <v>0</v>
      </c>
    </row>
    <row r="32" spans="2:9" ht="29" x14ac:dyDescent="0.35">
      <c r="B32" s="19" t="s">
        <v>1158</v>
      </c>
      <c r="C32" s="21" t="s">
        <v>255</v>
      </c>
      <c r="D32" s="20" t="s">
        <v>1201</v>
      </c>
      <c r="E32" s="64" t="s">
        <v>1202</v>
      </c>
      <c r="F32" s="20" t="s">
        <v>1011</v>
      </c>
    </row>
    <row r="33" ht="20" customHeight="1" x14ac:dyDescent="0.35">
      <c r="B33" s="18" t="s">
        <v>1197</v>
      </c>
      <c r="C33" s="16">
        <f>INDEX(tbl_3.06._SB_Inputs[Country], MATCH(tbl_Business_Travel_Spend_Calc[[#This Row],[Travel Type]], tbl_3.06._SB_Inputs[Travel Type], 0))</f>
        <v>0</v>
      </c>
      <c r="D33" s="105">
        <f>SUMIFS(tbl_3.06._SB_Inputs[Spend (EUR)], tbl_3.06._SB_Inputs[Travel Type], tbl_Business_Travel_Spend_Calc[[#This Row],[Travel Type]])</f>
        <v>0</v>
      </c>
      <c r="E33" s="90">
        <f>IFERROR(AVERAGEIFS(
    INDEX(tbl_Business_Travel_Spend[[Afghanistan]:[Median Value]], 0, MATCH(tbl_Business_Travel_Spend_Calc[[#This Row],[Country]], tbl_Business_Travel_Spend[[#Headers],[Afghanistan]:[Median Value]], 0)),
    tbl_Business_Travel_Spend[Travel Category], tbl_Business_Travel_Spend_Calc[[#This Row],[Travel Type]]
), "")</f>
      </c>
      <c r="F33" s="90">
        <f>IFERROR(tbl_Business_Travel_Spend_Calc[[#This Row],[Emission Factor
(kg CO2e/2025 EUR)]]*tbl_Business_Travel_Spend_Calc[[#This Row],[Adjusted Spend]],0)</f>
        <v>0</v>
      </c>
    </row>
    <row r="34" ht="20" customHeight="1" x14ac:dyDescent="0.35">
      <c r="B34" s="18" t="s">
        <v>1163</v>
      </c>
      <c r="C34" s="75">
        <f>INDEX(tbl_3.06._SB_Inputs[Country], MATCH(tbl_Business_Travel_Spend_Calc[[#This Row],[Travel Type]], tbl_3.06._SB_Inputs[Travel Type], 0))</f>
        <v>0</v>
      </c>
      <c r="D34" s="105">
        <f>SUMIFS(tbl_3.06._SB_Inputs[Spend (EUR)], tbl_3.06._SB_Inputs[Travel Type], tbl_Business_Travel_Spend_Calc[[#This Row],[Travel Type]])</f>
        <v>0</v>
      </c>
      <c r="E34" s="90">
        <f>IFERROR(AVERAGEIFS(
    INDEX(tbl_Business_Travel_Spend[[Afghanistan]:[Median Value]], 0, MATCH(tbl_Business_Travel_Spend_Calc[[#This Row],[Country]], tbl_Business_Travel_Spend[[#Headers],[Afghanistan]:[Median Value]], 0)),
    tbl_Business_Travel_Spend[Travel Category], tbl_Business_Travel_Spend_Calc[[#This Row],[Travel Type]]
), "")</f>
      </c>
      <c r="F34" s="90">
        <f>IFERROR(tbl_Business_Travel_Spend_Calc[[#This Row],[Emission Factor
(kg CO2e/2025 EUR)]]*tbl_Business_Travel_Spend_Calc[[#This Row],[Adjusted Spend]],0)</f>
        <v>0</v>
      </c>
    </row>
    <row r="35" ht="20" customHeight="1" x14ac:dyDescent="0.35">
      <c r="B35" s="18" t="s">
        <v>1174</v>
      </c>
      <c r="C35" s="75">
        <f>INDEX(tbl_3.06._SB_Inputs[Country], MATCH(tbl_Business_Travel_Spend_Calc[[#This Row],[Travel Type]], tbl_3.06._SB_Inputs[Travel Type], 0))</f>
        <v>0</v>
      </c>
      <c r="D35" s="105">
        <f>SUMIFS(tbl_3.06._SB_Inputs[Spend (EUR)], tbl_3.06._SB_Inputs[Travel Type], tbl_Business_Travel_Spend_Calc[[#This Row],[Travel Type]])</f>
        <v>0</v>
      </c>
      <c r="E35" s="90">
        <f>IFERROR(AVERAGEIFS(
    INDEX(tbl_Business_Travel_Spend[[Afghanistan]:[Median Value]], 0, MATCH(tbl_Business_Travel_Spend_Calc[[#This Row],[Country]], tbl_Business_Travel_Spend[[#Headers],[Afghanistan]:[Median Value]], 0)),
    tbl_Business_Travel_Spend[Travel Category], tbl_Business_Travel_Spend_Calc[[#This Row],[Travel Type]]
), "")</f>
      </c>
      <c r="F35" s="90">
        <f>IFERROR(tbl_Business_Travel_Spend_Calc[[#This Row],[Emission Factor
(kg CO2e/2025 EUR)]]*tbl_Business_Travel_Spend_Calc[[#This Row],[Adjusted Spend]],0)</f>
        <v>0</v>
      </c>
    </row>
    <row r="36" ht="20" customHeight="1" x14ac:dyDescent="0.35">
      <c r="B36" s="18" t="s">
        <v>1198</v>
      </c>
      <c r="C36" s="75">
        <f>INDEX(tbl_3.06._SB_Inputs[Country], MATCH(tbl_Business_Travel_Spend_Calc[[#This Row],[Travel Type]], tbl_3.06._SB_Inputs[Travel Type], 0))</f>
        <v>0</v>
      </c>
      <c r="D36" s="105">
        <f>SUMIFS(tbl_3.06._SB_Inputs[Spend (EUR)], tbl_3.06._SB_Inputs[Travel Type], tbl_Business_Travel_Spend_Calc[[#This Row],[Travel Type]])</f>
        <v>0</v>
      </c>
      <c r="E36" s="90">
        <f>IFERROR(AVERAGEIFS(
    INDEX(tbl_Business_Travel_Spend[[Afghanistan]:[Median Value]], 0, MATCH(tbl_Business_Travel_Spend_Calc[[#This Row],[Country]], tbl_Business_Travel_Spend[[#Headers],[Afghanistan]:[Median Value]], 0)),
    tbl_Business_Travel_Spend[Travel Category], tbl_Business_Travel_Spend_Calc[[#This Row],[Travel Type]]
), "")</f>
      </c>
      <c r="F36" s="90">
        <f>IFERROR(tbl_Business_Travel_Spend_Calc[[#This Row],[Emission Factor
(kg CO2e/2025 EUR)]]*tbl_Business_Travel_Spend_Calc[[#This Row],[Adjusted Spend]],0)</f>
        <v>0</v>
      </c>
    </row>
    <row r="37" ht="20" customHeight="1" x14ac:dyDescent="0.35">
      <c r="B37" s="18" t="s">
        <v>1199</v>
      </c>
      <c r="C37" s="75">
        <f>INDEX(tbl_3.06._SB_Inputs[Country], MATCH(tbl_Business_Travel_Spend_Calc[[#This Row],[Travel Type]], tbl_3.06._SB_Inputs[Travel Type], 0))</f>
        <v>0</v>
      </c>
      <c r="D37" s="105">
        <f>SUMIFS(tbl_3.06._SB_Inputs[Spend (EUR)], tbl_3.06._SB_Inputs[Travel Type], tbl_Business_Travel_Spend_Calc[[#This Row],[Travel Type]])</f>
        <v>0</v>
      </c>
      <c r="E37" s="90">
        <f>IFERROR(AVERAGEIFS(
    INDEX(tbl_Business_Travel_Spend[[Afghanistan]:[Median Value]], 0, MATCH(tbl_Business_Travel_Spend_Calc[[#This Row],[Country]], tbl_Business_Travel_Spend[[#Headers],[Afghanistan]:[Median Value]], 0)),
    tbl_Business_Travel_Spend[Travel Category], tbl_Business_Travel_Spend_Calc[[#This Row],[Travel Type]]
), "")</f>
      </c>
      <c r="F37" s="90">
        <f>IFERROR(tbl_Business_Travel_Spend_Calc[[#This Row],[Emission Factor
(kg CO2e/2025 EUR)]]*tbl_Business_Travel_Spend_Calc[[#This Row],[Adjusted Spend]],0)</f>
        <v>0</v>
      </c>
    </row>
    <row r="38" ht="20" customHeight="1" x14ac:dyDescent="0.35">
      <c r="B38" s="22" t="s">
        <v>1200</v>
      </c>
      <c r="C38" s="83">
        <f>INDEX(tbl_3.06._SB_Inputs[Country], MATCH(tbl_Business_Travel_Spend_Calc[[#This Row],[Travel Type]], tbl_3.06._SB_Inputs[Travel Type], 0))</f>
        <v>0</v>
      </c>
      <c r="D38" s="108">
        <f>SUMIFS(tbl_3.06._SB_Inputs[Spend (EUR)], tbl_3.06._SB_Inputs[Travel Type], tbl_Business_Travel_Spend_Calc[[#This Row],[Travel Type]])</f>
        <v>0</v>
      </c>
      <c r="E38" s="82">
        <f>IFERROR(AVERAGEIFS(
    INDEX(tbl_Business_Travel_Spend[[Afghanistan]:[Median Value]], 0, MATCH(tbl_Business_Travel_Spend_Calc[[#This Row],[Country]], tbl_Business_Travel_Spend[[#Headers],[Afghanistan]:[Median Value]], 0)),
    tbl_Business_Travel_Spend[Travel Category], tbl_Business_Travel_Spend_Calc[[#This Row],[Travel Type]]
), "")</f>
      </c>
      <c r="F38" s="82">
        <f>IFERROR(tbl_Business_Travel_Spend_Calc[[#This Row],[Emission Factor
(kg CO2e/2025 EUR)]]*tbl_Business_Travel_Spend_Calc[[#This Row],[Adjusted Spend]],0)</f>
        <v>0</v>
      </c>
    </row>
  </sheetData>
  <pageMargins left="0.7" right="0.7" top="0.75" bottom="0.75" header="0.3" footer="0.3"/>
  <ignoredErrors>
    <ignoredError sqref="C9:C13" calculatedColumn="1"/>
  </ignoredErrors>
  <tableParts count="3">
    <tablePart r:id="rId1"/>
    <tablePart r:id="rId2"/>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F2C48-40F4-45EB-B62B-9AA318459D6A}">
  <sheetPr>
    <tabColor rgb="FFE7EEEE"/>
  </sheetPr>
  <dimension ref="B1:AI35"/>
  <sheetViews>
    <sheetView showGridLines="0" zoomScale="80" zoomScaleNormal="80" workbookViewId="0"/>
  </sheetViews>
  <sheetFormatPr defaultRowHeight="14.5" outlineLevelCol="1" x14ac:dyDescent="0.35"/>
  <cols>
    <col min="1" max="1" width="2.6328125" style="2" customWidth="1"/>
    <col min="2" max="15" width="30.6328125" style="2" customWidth="1"/>
    <col min="16" max="18" width="30.6328125" style="2" customWidth="1" outlineLevel="1"/>
    <col min="19" max="19" width="30.6328125" style="2" customWidth="1"/>
    <col min="20" max="22" width="30.6328125" style="2" customWidth="1" outlineLevel="1"/>
    <col min="23" max="23" width="30.6328125" style="2" customWidth="1"/>
    <col min="24" max="26" width="30.6328125" style="2" customWidth="1" outlineLevel="1"/>
    <col min="27" max="27" width="30.6328125" style="2" customWidth="1"/>
    <col min="28" max="30" width="30.6328125" style="2" customWidth="1" outlineLevel="1"/>
    <col min="31" max="35" width="30.6328125" style="2" customWidth="1"/>
    <col min="36" max="16384" width="8.7265625" style="2"/>
  </cols>
  <sheetData>
    <row r="1" spans="2:35" s="1" customFormat="1" x14ac:dyDescent="0.35">
      <c r="B1" s="147" t="str">
        <f>const_Company_Name &amp; " Corporate Carbon Footprint Calculation"</f>
        <v>[Ihr Unternehmen] Corporate Carbon Footprint Calculation</v>
      </c>
    </row>
    <row r="2" spans="2:35" s="1" customFormat="1" x14ac:dyDescent="0.35">
      <c r="B2" s="147" t="str">
        <f>"01/01/" &amp; const_Reporting_Year &amp; " - 31/12/" &amp; const_Reporting_Year</f>
        <v>01/01/2025 - 31/12/2025</v>
      </c>
    </row>
    <row r="4" spans="2:35" x14ac:dyDescent="0.35">
      <c r="B4" s="7" t="s">
        <v>1157</v>
      </c>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row>
    <row r="5" spans="2:35" ht="5" customHeight="1" x14ac:dyDescent="0.35">
      <c r="B5" s="4"/>
    </row>
    <row r="6" spans="2:35" x14ac:dyDescent="0.35">
      <c r="B6" s="11" t="s">
        <v>1012</v>
      </c>
      <c r="C6" s="45">
        <f>SUM(tbl_Commuting_Calc[Emissions Car (kg CO2e)], tbl_Commuting_Calc[Emissions Rail (kg CO2e)], tbl_Commuting_Calc[Emissions Bus (kg CO2e)], tbl_Commuting_Calc[Emissions Self-Propelled (kg CO2e)])</f>
        <v>0</v>
      </c>
    </row>
    <row r="7" spans="2:35" x14ac:dyDescent="0.35">
      <c r="B7" s="11"/>
    </row>
    <row r="8" spans="2:35" ht="29" x14ac:dyDescent="0.35">
      <c r="B8" s="71" t="s">
        <v>808</v>
      </c>
      <c r="C8" s="64" t="s">
        <v>1210</v>
      </c>
      <c r="D8" s="64" t="s">
        <v>1204</v>
      </c>
      <c r="E8" s="64" t="s">
        <v>1205</v>
      </c>
      <c r="F8" s="64" t="s">
        <v>1206</v>
      </c>
      <c r="G8" s="64" t="s">
        <v>1207</v>
      </c>
      <c r="H8" s="64" t="s">
        <v>1209</v>
      </c>
      <c r="I8" s="72" t="s">
        <v>1208</v>
      </c>
      <c r="J8" s="64" t="s">
        <v>1211</v>
      </c>
      <c r="K8" s="64" t="s">
        <v>1335</v>
      </c>
      <c r="L8" s="64" t="s">
        <v>1212</v>
      </c>
      <c r="M8" s="64" t="s">
        <v>1213</v>
      </c>
      <c r="N8" s="64" t="s">
        <v>1214</v>
      </c>
      <c r="O8" s="64" t="s">
        <v>1215</v>
      </c>
      <c r="P8" s="64" t="s">
        <v>1216</v>
      </c>
      <c r="Q8" s="64" t="s">
        <v>1229</v>
      </c>
      <c r="R8" s="64" t="s">
        <v>1230</v>
      </c>
      <c r="S8" s="72" t="s">
        <v>1231</v>
      </c>
      <c r="T8" s="64" t="s">
        <v>1217</v>
      </c>
      <c r="U8" s="64" t="s">
        <v>1232</v>
      </c>
      <c r="V8" s="64" t="s">
        <v>1233</v>
      </c>
      <c r="W8" s="72" t="s">
        <v>1234</v>
      </c>
      <c r="X8" s="64" t="s">
        <v>1218</v>
      </c>
      <c r="Y8" s="64" t="s">
        <v>1235</v>
      </c>
      <c r="Z8" s="64" t="s">
        <v>1236</v>
      </c>
      <c r="AA8" s="72" t="s">
        <v>1237</v>
      </c>
      <c r="AB8" s="64" t="s">
        <v>1219</v>
      </c>
      <c r="AC8" s="64" t="s">
        <v>1238</v>
      </c>
      <c r="AD8" s="64" t="s">
        <v>1239</v>
      </c>
      <c r="AE8" s="72" t="s">
        <v>1240</v>
      </c>
      <c r="AF8" s="64" t="s">
        <v>1265</v>
      </c>
      <c r="AG8" s="64" t="s">
        <v>1266</v>
      </c>
      <c r="AH8" s="64" t="s">
        <v>1267</v>
      </c>
      <c r="AI8" s="64" t="s">
        <v>1268</v>
      </c>
    </row>
    <row r="9" spans="2:35" ht="20" customHeight="1" x14ac:dyDescent="0.35">
      <c r="B9" s="18" t="str">
        <f>'Scope 3.7'!B11</f>
        <v>Location 1</v>
      </c>
      <c r="C9" s="15">
        <f>INDEX(tbl_Employee_Commuting_Inputs[Employees (FTE Count)], MATCH(tbl_Commuting_Calc[[#This Row],[Location]], tbl_Employee_Commuting_Inputs[Location], 0))</f>
        <v>0</v>
      </c>
      <c r="D9" s="59">
        <f>INDEX(tbl_Employee_Commuting_Inputs[Car %], MATCH(tbl_Commuting_Calc[[#This Row],[Location]], tbl_Employee_Commuting_Inputs[Location], 0))</f>
        <v>0</v>
      </c>
      <c r="E9" s="59">
        <f>INDEX(tbl_Employee_Commuting_Inputs[Rail %], MATCH(tbl_Commuting_Calc[[#This Row],[Location]], tbl_Employee_Commuting_Inputs[Location], 0))</f>
        <v>0</v>
      </c>
      <c r="F9" s="59">
        <f>INDEX(tbl_Employee_Commuting_Inputs[Bus %], MATCH(tbl_Commuting_Calc[[#This Row],[Location]], tbl_Employee_Commuting_Inputs[Location], 0))</f>
        <v>0</v>
      </c>
      <c r="G9" s="59">
        <f>INDEX(tbl_Employee_Commuting_Inputs[Self-Propelled %], MATCH(tbl_Commuting_Calc[[#This Row],[Location]], tbl_Employee_Commuting_Inputs[Location], 0))</f>
        <v>0</v>
      </c>
      <c r="H9" s="59">
        <f>SUM(tbl_Commuting_Calc[[#This Row],[Car %]:[Self-Propelled %]])</f>
        <v>0</v>
      </c>
      <c r="I9" s="16">
        <f>INDEX(tbl_Employee_Commuting_Inputs[Avg. Distance One-Way], MATCH(tbl_Commuting_Calc[[#This Row],[Location]], tbl_Employee_Commuting_Inputs[Location], 0))</f>
        <v>0</v>
      </c>
      <c r="J9" s="111">
        <f>(tbl_Commuting_Calc[[#This Row],[Avg. Distance One-Way]]*tbl_Commuting_Calc[[#This Row],[Employees (FTE Count)]])*2</f>
        <v>0</v>
      </c>
      <c r="K9" s="111" cm="1">
        <f t="array" ref="K9">tbl_Commuting_Calc[[#This Row],[Total Distance (Two-Way)]]*const_Working_days_annum</f>
        <v>0</v>
      </c>
      <c r="L9" s="110">
        <f>tbl_Commuting_Calc[[#This Row],[Total Yearly Distance]]*tbl_Commuting_Calc[[#This Row],[Car %]]</f>
        <v>0</v>
      </c>
      <c r="M9" s="110">
        <f>tbl_Commuting_Calc[[#This Row],[Total Yearly Distance]]*tbl_Commuting_Calc[[#This Row],[Rail %]]</f>
        <v>0</v>
      </c>
      <c r="N9" s="110">
        <f>tbl_Commuting_Calc[[#This Row],[Total Yearly Distance]]*tbl_Commuting_Calc[[#This Row],[Bus %]]</f>
        <v>0</v>
      </c>
      <c r="O9" s="110">
        <f>tbl_Commuting_Calc[[#This Row],[Total Yearly Distance]]*tbl_Commuting_Calc[[#This Row],[Self-Propelled %]]</f>
        <v>0</v>
      </c>
      <c r="P9" s="37" cm="1">
        <f t="array" ref="P9">tbl_Commuting_Calc[[#This Row],[Total Distance Car (km)]:[Total Distance Car (km)]] * INDEX(tbl_Commuting_EFs[kg CO2e including WTT], MATCH("Car", tbl_Commuting_EFs[[Transport Mode]:[Transport Mode]], 0))</f>
        <v>0</v>
      </c>
      <c r="Q9" s="37" cm="1">
        <f t="array" ref="Q9">tbl_Commuting_Calc[[#This Row],[Total Distance Car (km)]:[Total Distance Car (km)]] * INDEX(tbl_Commuting_EFs[kg CO2e of CO2 per unit], MATCH("Car", tbl_Commuting_EFs[[Transport Mode]:[Transport Mode]], 0))</f>
        <v>0</v>
      </c>
      <c r="R9" s="37" cm="1">
        <f t="array" ref="R9">tbl_Commuting_Calc[[#This Row],[Total Distance Car (km)]:[Total Distance Car (km)]] * INDEX(tbl_Commuting_EFs[kg CO2e of CH4 per unit], MATCH("Car", tbl_Commuting_EFs[[Transport Mode]:[Transport Mode]], 0))</f>
        <v>0</v>
      </c>
      <c r="S9" s="37" cm="1">
        <f t="array" ref="S9">tbl_Commuting_Calc[[#This Row],[Total Distance Car (km)]:[Total Distance Car (km)]] * INDEX(tbl_Commuting_EFs[kg CO2e of N2O per unit], MATCH("Car", tbl_Commuting_EFs[[Transport Mode]:[Transport Mode]], 0))</f>
        <v>0</v>
      </c>
      <c r="T9" s="37" cm="1">
        <f t="array" ref="T9">tbl_Commuting_Calc[[#This Row],[Total Distance Rail (km)]:[Total Distance Rail (km)]] * INDEX(tbl_Commuting_EFs[kg CO2e including WTT], MATCH("Rail", tbl_Commuting_EFs[[Transport Mode]:[Transport Mode]], 0))</f>
        <v>0</v>
      </c>
      <c r="U9" s="37" cm="1">
        <f t="array" ref="U9">tbl_Commuting_Calc[[#This Row],[Total Distance Rail (km)]:[Total Distance Rail (km)]] * INDEX(tbl_Commuting_EFs[kg CO2e of CO2 per unit], MATCH("Rail", tbl_Commuting_EFs[[Transport Mode]:[Transport Mode]], 0))</f>
        <v>0</v>
      </c>
      <c r="V9" s="37" cm="1">
        <f t="array" ref="V9">tbl_Commuting_Calc[[#This Row],[Total Distance Rail (km)]:[Total Distance Rail (km)]] * INDEX(tbl_Commuting_EFs[kg CO2e of CH4 per unit], MATCH("Rail", tbl_Commuting_EFs[[Transport Mode]:[Transport Mode]], 0))</f>
        <v>0</v>
      </c>
      <c r="W9" s="37" cm="1">
        <f t="array" ref="W9">tbl_Commuting_Calc[[#This Row],[Total Distance Rail (km)]:[Total Distance Rail (km)]] * INDEX(tbl_Commuting_EFs[kg CO2e of N2O per unit], MATCH("Rail", tbl_Commuting_EFs[[Transport Mode]:[Transport Mode]], 0))</f>
        <v>0</v>
      </c>
      <c r="X9" s="37" cm="1">
        <f t="array" ref="X9">tbl_Commuting_Calc[[#This Row],[Total Distance Bus (km)]:[Total Distance Bus (km)]] * INDEX(tbl_Commuting_EFs[kg CO2e including WTT], MATCH("Bus", tbl_Commuting_EFs[[Transport Mode]:[Transport Mode]], 0))</f>
        <v>0</v>
      </c>
      <c r="Y9" s="37" cm="1">
        <f t="array" ref="Y9">tbl_Commuting_Calc[[#This Row],[Total Distance Bus (km)]:[Total Distance Bus (km)]] * INDEX(tbl_Commuting_EFs[kg CO2e of CO2 per unit], MATCH("Bus", tbl_Commuting_EFs[[Transport Mode]:[Transport Mode]], 0))</f>
        <v>0</v>
      </c>
      <c r="Z9" s="37" cm="1">
        <f t="array" ref="Z9">tbl_Commuting_Calc[[#This Row],[Total Distance Bus (km)]:[Total Distance Bus (km)]] * INDEX(tbl_Commuting_EFs[kg CO2e of CH4 per unit], MATCH("Bus", tbl_Commuting_EFs[[Transport Mode]:[Transport Mode]], 0))</f>
        <v>0</v>
      </c>
      <c r="AA9" s="37" cm="1">
        <f t="array" ref="AA9">tbl_Commuting_Calc[[#This Row],[Total Distance Bus (km)]:[Total Distance Bus (km)]] * INDEX(tbl_Commuting_EFs[kg CO2e of N2O per unit], MATCH("Bus", tbl_Commuting_EFs[[Transport Mode]:[Transport Mode]], 0))</f>
        <v>0</v>
      </c>
      <c r="AB9" s="37" cm="1">
        <f t="array" ref="AB9">tbl_Commuting_Calc[[#This Row],[Total Distance Car (km)]:[Total Distance Car (km)]] * INDEX(tbl_Commuting_EFs[kg CO2e including WTT], MATCH("Self-Propelled", tbl_Commuting_EFs[[Transport Mode]:[Transport Mode]], 0))</f>
        <v>0</v>
      </c>
      <c r="AC9" s="37" cm="1">
        <f t="array" ref="AC9">tbl_Commuting_Calc[[#This Row],[Total Distance Car (km)]:[Total Distance Car (km)]] * INDEX(tbl_Commuting_EFs[kg CO2e of CO2 per unit], MATCH("Self-Propelled", tbl_Commuting_EFs[[Transport Mode]:[Transport Mode]], 0))</f>
        <v>0</v>
      </c>
      <c r="AD9" s="37" cm="1">
        <f t="array" ref="AD9">tbl_Commuting_Calc[[#This Row],[Total Distance Car (km)]:[Total Distance Car (km)]] * INDEX(tbl_Commuting_EFs[kg CO2e of CH4 per unit], MATCH("Self-Propelled", tbl_Commuting_EFs[[Transport Mode]:[Transport Mode]], 0))</f>
        <v>0</v>
      </c>
      <c r="AE9" s="37" cm="1">
        <f t="array" ref="AE9">tbl_Commuting_Calc[[#This Row],[Total Distance Car (km)]:[Total Distance Car (km)]] * INDEX(tbl_Commuting_EFs[kg CO2e of N2O per unit], MATCH("Self-Propelled", tbl_Commuting_EFs[[Transport Mode]:[Transport Mode]], 0))</f>
        <v>0</v>
      </c>
      <c r="AF9" s="121">
        <f>SUM(tbl_Commuting_Calc[[#This Row],[Emissions Self-Propelled (kg CO2e)]], tbl_Commuting_Calc[[#This Row],[Emissions Bus (kg CO2e)]], tbl_Commuting_Calc[[#This Row],[Emissions Rail (kg CO2e)]], tbl_Commuting_Calc[[#This Row],[Emissions Car (kg CO2e)]])</f>
        <v>0</v>
      </c>
      <c r="AG9" s="121">
        <f>SUM(tbl_Commuting_Calc[[#This Row],[Emissions CO2 Self-Propelled (kg CO2e)]], tbl_Commuting_Calc[[#This Row],[Emissions CO2 Bus (kg CO2e)]], tbl_Commuting_Calc[[#This Row],[Emissions CO2 Rail (kg CO2e)]], tbl_Commuting_Calc[[#This Row],[Emissions CO2 Car (kg CO2e)]])</f>
        <v>0</v>
      </c>
      <c r="AH9" s="121">
        <f>SUM(tbl_Commuting_Calc[[#This Row],[Emissions CH4 Self-Propelled (kg CO2e)]], tbl_Commuting_Calc[[#This Row],[Emissions CH4 Bus (kg CO2e)]], tbl_Commuting_Calc[[#This Row],[Emissions CH4 Rail (kg CO2e)]], tbl_Commuting_Calc[[#This Row],[Emissions CH4 Car (kg CO2e)]])</f>
        <v>0</v>
      </c>
      <c r="AI9" s="121">
        <f>SUM(tbl_Commuting_Calc[[#This Row],[Emissions N2O Self-Propelled (kg CO2e)]], tbl_Commuting_Calc[[#This Row],[Emissions N2O Bus (kg CO2e)]], tbl_Commuting_Calc[[#This Row],[Emissions N2O Rail (kg CO2e)]], tbl_Commuting_Calc[[#This Row],[Emissions N2O Car (kg CO2e)]])</f>
        <v>0</v>
      </c>
    </row>
    <row r="10" spans="2:35" ht="20" customHeight="1" x14ac:dyDescent="0.35">
      <c r="B10" s="18" t="str">
        <f>'Scope 3.7'!B12</f>
        <v>Location 2</v>
      </c>
      <c r="C10" s="15">
        <f>INDEX(tbl_Employee_Commuting_Inputs[Employees (FTE Count)], MATCH(tbl_Commuting_Calc[[#This Row],[Location]], tbl_Employee_Commuting_Inputs[Location], 0))</f>
        <v>0</v>
      </c>
      <c r="D10" s="59">
        <f>INDEX(tbl_Employee_Commuting_Inputs[Car %], MATCH(tbl_Commuting_Calc[[#This Row],[Location]], tbl_Employee_Commuting_Inputs[Location], 0))</f>
        <v>0</v>
      </c>
      <c r="E10" s="59">
        <f>INDEX(tbl_Employee_Commuting_Inputs[Rail %], MATCH(tbl_Commuting_Calc[[#This Row],[Location]], tbl_Employee_Commuting_Inputs[Location], 0))</f>
        <v>0</v>
      </c>
      <c r="F10" s="59">
        <f>INDEX(tbl_Employee_Commuting_Inputs[Bus %], MATCH(tbl_Commuting_Calc[[#This Row],[Location]], tbl_Employee_Commuting_Inputs[Location], 0))</f>
        <v>0</v>
      </c>
      <c r="G10" s="59">
        <f>INDEX(tbl_Employee_Commuting_Inputs[Self-Propelled %], MATCH(tbl_Commuting_Calc[[#This Row],[Location]], tbl_Employee_Commuting_Inputs[Location], 0))</f>
        <v>0</v>
      </c>
      <c r="H10" s="59">
        <f>SUM(tbl_Commuting_Calc[[#This Row],[Car %]:[Self-Propelled %]])</f>
        <v>0</v>
      </c>
      <c r="I10" s="105">
        <f>INDEX(tbl_Employee_Commuting_Inputs[Avg. Distance One-Way], MATCH(tbl_Commuting_Calc[[#This Row],[Location]], tbl_Employee_Commuting_Inputs[Location], 0))</f>
        <v>0</v>
      </c>
      <c r="J10" s="15">
        <f>(tbl_Commuting_Calc[[#This Row],[Avg. Distance One-Way]]*tbl_Commuting_Calc[[#This Row],[Employees (FTE Count)]])*2</f>
        <v>0</v>
      </c>
      <c r="K10" s="15" cm="1">
        <f t="array" ref="K10">tbl_Commuting_Calc[[#This Row],[Total Distance (Two-Way)]]*const_Working_days_annum</f>
        <v>0</v>
      </c>
      <c r="L10" s="110">
        <f>tbl_Commuting_Calc[[#This Row],[Total Yearly Distance]]*tbl_Commuting_Calc[[#This Row],[Car %]]</f>
        <v>0</v>
      </c>
      <c r="M10" s="110">
        <f>tbl_Commuting_Calc[[#This Row],[Total Yearly Distance]]*tbl_Commuting_Calc[[#This Row],[Rail %]]</f>
        <v>0</v>
      </c>
      <c r="N10" s="110">
        <f>tbl_Commuting_Calc[[#This Row],[Total Yearly Distance]]*tbl_Commuting_Calc[[#This Row],[Bus %]]</f>
        <v>0</v>
      </c>
      <c r="O10" s="110">
        <f>tbl_Commuting_Calc[[#This Row],[Total Yearly Distance]]*tbl_Commuting_Calc[[#This Row],[Self-Propelled %]]</f>
        <v>0</v>
      </c>
      <c r="P10" s="17" cm="1">
        <f t="array" ref="P10">tbl_Commuting_Calc[[#This Row],[Total Distance Car (km)]:[Total Distance Car (km)]] * INDEX(tbl_Commuting_EFs[kg CO2e including WTT], MATCH("Car", tbl_Commuting_EFs[[Transport Mode]:[Transport Mode]], 0))</f>
        <v>0</v>
      </c>
      <c r="Q10" s="17" cm="1">
        <f t="array" ref="Q10">tbl_Commuting_Calc[[#This Row],[Total Distance Car (km)]:[Total Distance Car (km)]] * INDEX(tbl_Commuting_EFs[kg CO2e of CO2 per unit], MATCH("Car", tbl_Commuting_EFs[[Transport Mode]:[Transport Mode]], 0))</f>
        <v>0</v>
      </c>
      <c r="R10" s="17" cm="1">
        <f t="array" ref="R10">tbl_Commuting_Calc[[#This Row],[Total Distance Car (km)]:[Total Distance Car (km)]] * INDEX(tbl_Commuting_EFs[kg CO2e of CH4 per unit], MATCH("Car", tbl_Commuting_EFs[[Transport Mode]:[Transport Mode]], 0))</f>
        <v>0</v>
      </c>
      <c r="S10" s="17" cm="1">
        <f t="array" ref="S10">tbl_Commuting_Calc[[#This Row],[Total Distance Car (km)]:[Total Distance Car (km)]] * INDEX(tbl_Commuting_EFs[kg CO2e of N2O per unit], MATCH("Car", tbl_Commuting_EFs[[Transport Mode]:[Transport Mode]], 0))</f>
        <v>0</v>
      </c>
      <c r="T10" s="17" cm="1">
        <f t="array" ref="T10">tbl_Commuting_Calc[[#This Row],[Total Distance Rail (km)]:[Total Distance Rail (km)]] * INDEX(tbl_Commuting_EFs[kg CO2e including WTT], MATCH("Rail", tbl_Commuting_EFs[[Transport Mode]:[Transport Mode]], 0))</f>
        <v>0</v>
      </c>
      <c r="U10" s="17" cm="1">
        <f t="array" ref="U10">tbl_Commuting_Calc[[#This Row],[Total Distance Rail (km)]:[Total Distance Rail (km)]] * INDEX(tbl_Commuting_EFs[kg CO2e of CO2 per unit], MATCH("Rail", tbl_Commuting_EFs[[Transport Mode]:[Transport Mode]], 0))</f>
        <v>0</v>
      </c>
      <c r="V10" s="17" cm="1">
        <f t="array" ref="V10">tbl_Commuting_Calc[[#This Row],[Total Distance Rail (km)]:[Total Distance Rail (km)]] * INDEX(tbl_Commuting_EFs[kg CO2e of CH4 per unit], MATCH("Rail", tbl_Commuting_EFs[[Transport Mode]:[Transport Mode]], 0))</f>
        <v>0</v>
      </c>
      <c r="W10" s="17" cm="1">
        <f t="array" ref="W10">tbl_Commuting_Calc[[#This Row],[Total Distance Rail (km)]:[Total Distance Rail (km)]] * INDEX(tbl_Commuting_EFs[kg CO2e of N2O per unit], MATCH("Rail", tbl_Commuting_EFs[[Transport Mode]:[Transport Mode]], 0))</f>
        <v>0</v>
      </c>
      <c r="X10" s="17" cm="1">
        <f t="array" ref="X10">tbl_Commuting_Calc[[#This Row],[Total Distance Bus (km)]:[Total Distance Bus (km)]] * INDEX(tbl_Commuting_EFs[kg CO2e including WTT], MATCH("Bus", tbl_Commuting_EFs[[Transport Mode]:[Transport Mode]], 0))</f>
        <v>0</v>
      </c>
      <c r="Y10" s="17" cm="1">
        <f t="array" ref="Y10">tbl_Commuting_Calc[[#This Row],[Total Distance Bus (km)]:[Total Distance Bus (km)]] * INDEX(tbl_Commuting_EFs[kg CO2e of CO2 per unit], MATCH("Bus", tbl_Commuting_EFs[[Transport Mode]:[Transport Mode]], 0))</f>
        <v>0</v>
      </c>
      <c r="Z10" s="17" cm="1">
        <f t="array" ref="Z10">tbl_Commuting_Calc[[#This Row],[Total Distance Bus (km)]:[Total Distance Bus (km)]] * INDEX(tbl_Commuting_EFs[kg CO2e of CH4 per unit], MATCH("Bus", tbl_Commuting_EFs[[Transport Mode]:[Transport Mode]], 0))</f>
        <v>0</v>
      </c>
      <c r="AA10" s="17" cm="1">
        <f t="array" ref="AA10">tbl_Commuting_Calc[[#This Row],[Total Distance Bus (km)]:[Total Distance Bus (km)]] * INDEX(tbl_Commuting_EFs[kg CO2e of N2O per unit], MATCH("Bus", tbl_Commuting_EFs[[Transport Mode]:[Transport Mode]], 0))</f>
        <v>0</v>
      </c>
      <c r="AB10" s="113" cm="1">
        <f t="array" ref="AB10">tbl_Commuting_Calc[[#This Row],[Total Distance Car (km)]:[Total Distance Car (km)]] * INDEX(tbl_Commuting_EFs[kg CO2e including WTT], MATCH("Self-Propelled", tbl_Commuting_EFs[[Transport Mode]:[Transport Mode]], 0))</f>
        <v>0</v>
      </c>
      <c r="AC10" s="113" cm="1">
        <f t="array" ref="AC10">tbl_Commuting_Calc[[#This Row],[Total Distance Car (km)]:[Total Distance Car (km)]] * INDEX(tbl_Commuting_EFs[kg CO2e of CO2 per unit], MATCH("Self-Propelled", tbl_Commuting_EFs[[Transport Mode]:[Transport Mode]], 0))</f>
        <v>0</v>
      </c>
      <c r="AD10" s="113" cm="1">
        <f t="array" ref="AD10">tbl_Commuting_Calc[[#This Row],[Total Distance Car (km)]:[Total Distance Car (km)]] * INDEX(tbl_Commuting_EFs[kg CO2e of CH4 per unit], MATCH("Self-Propelled", tbl_Commuting_EFs[[Transport Mode]:[Transport Mode]], 0))</f>
        <v>0</v>
      </c>
      <c r="AE10" s="113" cm="1">
        <f t="array" ref="AE10">tbl_Commuting_Calc[[#This Row],[Total Distance Car (km)]:[Total Distance Car (km)]] * INDEX(tbl_Commuting_EFs[kg CO2e of N2O per unit], MATCH("Self-Propelled", tbl_Commuting_EFs[[Transport Mode]:[Transport Mode]], 0))</f>
        <v>0</v>
      </c>
      <c r="AF10" s="122">
        <f>SUM(tbl_Commuting_Calc[[#This Row],[Emissions Self-Propelled (kg CO2e)]], tbl_Commuting_Calc[[#This Row],[Emissions Bus (kg CO2e)]], tbl_Commuting_Calc[[#This Row],[Emissions Rail (kg CO2e)]], tbl_Commuting_Calc[[#This Row],[Emissions Car (kg CO2e)]])</f>
        <v>0</v>
      </c>
      <c r="AG10" s="122">
        <f>SUM(tbl_Commuting_Calc[[#This Row],[Emissions CO2 Self-Propelled (kg CO2e)]], tbl_Commuting_Calc[[#This Row],[Emissions CO2 Bus (kg CO2e)]], tbl_Commuting_Calc[[#This Row],[Emissions CO2 Rail (kg CO2e)]], tbl_Commuting_Calc[[#This Row],[Emissions CO2 Car (kg CO2e)]])</f>
        <v>0</v>
      </c>
      <c r="AH10" s="122">
        <f>SUM(tbl_Commuting_Calc[[#This Row],[Emissions CH4 Self-Propelled (kg CO2e)]], tbl_Commuting_Calc[[#This Row],[Emissions CH4 Bus (kg CO2e)]], tbl_Commuting_Calc[[#This Row],[Emissions CH4 Rail (kg CO2e)]], tbl_Commuting_Calc[[#This Row],[Emissions CH4 Car (kg CO2e)]])</f>
        <v>0</v>
      </c>
      <c r="AI10" s="122">
        <f>SUM(tbl_Commuting_Calc[[#This Row],[Emissions N2O Self-Propelled (kg CO2e)]], tbl_Commuting_Calc[[#This Row],[Emissions N2O Bus (kg CO2e)]], tbl_Commuting_Calc[[#This Row],[Emissions N2O Rail (kg CO2e)]], tbl_Commuting_Calc[[#This Row],[Emissions N2O Car (kg CO2e)]])</f>
        <v>0</v>
      </c>
    </row>
    <row r="11" spans="2:35" ht="20" customHeight="1" x14ac:dyDescent="0.35">
      <c r="B11" s="18" t="str">
        <f>'Scope 3.7'!B13</f>
        <v>Location 3</v>
      </c>
      <c r="C11" s="15">
        <f>INDEX(tbl_Employee_Commuting_Inputs[Employees (FTE Count)], MATCH(tbl_Commuting_Calc[[#This Row],[Location]], tbl_Employee_Commuting_Inputs[Location], 0))</f>
        <v>0</v>
      </c>
      <c r="D11" s="59">
        <f>INDEX(tbl_Employee_Commuting_Inputs[Car %], MATCH(tbl_Commuting_Calc[[#This Row],[Location]], tbl_Employee_Commuting_Inputs[Location], 0))</f>
        <v>0</v>
      </c>
      <c r="E11" s="59">
        <f>INDEX(tbl_Employee_Commuting_Inputs[Rail %], MATCH(tbl_Commuting_Calc[[#This Row],[Location]], tbl_Employee_Commuting_Inputs[Location], 0))</f>
        <v>0</v>
      </c>
      <c r="F11" s="59">
        <f>INDEX(tbl_Employee_Commuting_Inputs[Bus %], MATCH(tbl_Commuting_Calc[[#This Row],[Location]], tbl_Employee_Commuting_Inputs[Location], 0))</f>
        <v>0</v>
      </c>
      <c r="G11" s="59">
        <f>INDEX(tbl_Employee_Commuting_Inputs[Self-Propelled %], MATCH(tbl_Commuting_Calc[[#This Row],[Location]], tbl_Employee_Commuting_Inputs[Location], 0))</f>
        <v>0</v>
      </c>
      <c r="H11" s="59">
        <f>SUM(tbl_Commuting_Calc[[#This Row],[Car %]:[Self-Propelled %]])</f>
        <v>0</v>
      </c>
      <c r="I11" s="105">
        <f>INDEX(tbl_Employee_Commuting_Inputs[Avg. Distance One-Way], MATCH(tbl_Commuting_Calc[[#This Row],[Location]], tbl_Employee_Commuting_Inputs[Location], 0))</f>
        <v>0</v>
      </c>
      <c r="J11" s="15">
        <f>(tbl_Commuting_Calc[[#This Row],[Avg. Distance One-Way]]*tbl_Commuting_Calc[[#This Row],[Employees (FTE Count)]])*2</f>
        <v>0</v>
      </c>
      <c r="K11" s="15" cm="1">
        <f t="array" ref="K11">tbl_Commuting_Calc[[#This Row],[Total Distance (Two-Way)]]*const_Working_days_annum</f>
        <v>0</v>
      </c>
      <c r="L11" s="110">
        <f>tbl_Commuting_Calc[[#This Row],[Total Yearly Distance]]*tbl_Commuting_Calc[[#This Row],[Car %]]</f>
        <v>0</v>
      </c>
      <c r="M11" s="110">
        <f>tbl_Commuting_Calc[[#This Row],[Total Yearly Distance]]*tbl_Commuting_Calc[[#This Row],[Rail %]]</f>
        <v>0</v>
      </c>
      <c r="N11" s="110">
        <f>tbl_Commuting_Calc[[#This Row],[Total Yearly Distance]]*tbl_Commuting_Calc[[#This Row],[Bus %]]</f>
        <v>0</v>
      </c>
      <c r="O11" s="110">
        <f>tbl_Commuting_Calc[[#This Row],[Total Yearly Distance]]*tbl_Commuting_Calc[[#This Row],[Self-Propelled %]]</f>
        <v>0</v>
      </c>
      <c r="P11" s="17" cm="1">
        <f t="array" ref="P11">tbl_Commuting_Calc[[#This Row],[Total Distance Car (km)]:[Total Distance Car (km)]] * INDEX(tbl_Commuting_EFs[kg CO2e including WTT], MATCH("Car", tbl_Commuting_EFs[[Transport Mode]:[Transport Mode]], 0))</f>
        <v>0</v>
      </c>
      <c r="Q11" s="17" cm="1">
        <f t="array" ref="Q11">tbl_Commuting_Calc[[#This Row],[Total Distance Car (km)]:[Total Distance Car (km)]] * INDEX(tbl_Commuting_EFs[kg CO2e of CO2 per unit], MATCH("Car", tbl_Commuting_EFs[[Transport Mode]:[Transport Mode]], 0))</f>
        <v>0</v>
      </c>
      <c r="R11" s="17" cm="1">
        <f t="array" ref="R11">tbl_Commuting_Calc[[#This Row],[Total Distance Car (km)]:[Total Distance Car (km)]] * INDEX(tbl_Commuting_EFs[kg CO2e of CH4 per unit], MATCH("Car", tbl_Commuting_EFs[[Transport Mode]:[Transport Mode]], 0))</f>
        <v>0</v>
      </c>
      <c r="S11" s="17" cm="1">
        <f t="array" ref="S11">tbl_Commuting_Calc[[#This Row],[Total Distance Car (km)]:[Total Distance Car (km)]] * INDEX(tbl_Commuting_EFs[kg CO2e of N2O per unit], MATCH("Car", tbl_Commuting_EFs[[Transport Mode]:[Transport Mode]], 0))</f>
        <v>0</v>
      </c>
      <c r="T11" s="17" cm="1">
        <f t="array" ref="T11">tbl_Commuting_Calc[[#This Row],[Total Distance Rail (km)]:[Total Distance Rail (km)]] * INDEX(tbl_Commuting_EFs[kg CO2e including WTT], MATCH("Rail", tbl_Commuting_EFs[[Transport Mode]:[Transport Mode]], 0))</f>
        <v>0</v>
      </c>
      <c r="U11" s="17" cm="1">
        <f t="array" ref="U11">tbl_Commuting_Calc[[#This Row],[Total Distance Rail (km)]:[Total Distance Rail (km)]] * INDEX(tbl_Commuting_EFs[kg CO2e of CO2 per unit], MATCH("Rail", tbl_Commuting_EFs[[Transport Mode]:[Transport Mode]], 0))</f>
        <v>0</v>
      </c>
      <c r="V11" s="17" cm="1">
        <f t="array" ref="V11">tbl_Commuting_Calc[[#This Row],[Total Distance Rail (km)]:[Total Distance Rail (km)]] * INDEX(tbl_Commuting_EFs[kg CO2e of CH4 per unit], MATCH("Rail", tbl_Commuting_EFs[[Transport Mode]:[Transport Mode]], 0))</f>
        <v>0</v>
      </c>
      <c r="W11" s="17" cm="1">
        <f t="array" ref="W11">tbl_Commuting_Calc[[#This Row],[Total Distance Rail (km)]:[Total Distance Rail (km)]] * INDEX(tbl_Commuting_EFs[kg CO2e of N2O per unit], MATCH("Rail", tbl_Commuting_EFs[[Transport Mode]:[Transport Mode]], 0))</f>
        <v>0</v>
      </c>
      <c r="X11" s="17" cm="1">
        <f t="array" ref="X11">tbl_Commuting_Calc[[#This Row],[Total Distance Bus (km)]:[Total Distance Bus (km)]] * INDEX(tbl_Commuting_EFs[kg CO2e including WTT], MATCH("Bus", tbl_Commuting_EFs[[Transport Mode]:[Transport Mode]], 0))</f>
        <v>0</v>
      </c>
      <c r="Y11" s="17" cm="1">
        <f t="array" ref="Y11">tbl_Commuting_Calc[[#This Row],[Total Distance Bus (km)]:[Total Distance Bus (km)]] * INDEX(tbl_Commuting_EFs[kg CO2e of CO2 per unit], MATCH("Bus", tbl_Commuting_EFs[[Transport Mode]:[Transport Mode]], 0))</f>
        <v>0</v>
      </c>
      <c r="Z11" s="17" cm="1">
        <f t="array" ref="Z11">tbl_Commuting_Calc[[#This Row],[Total Distance Bus (km)]:[Total Distance Bus (km)]] * INDEX(tbl_Commuting_EFs[kg CO2e of CH4 per unit], MATCH("Bus", tbl_Commuting_EFs[[Transport Mode]:[Transport Mode]], 0))</f>
        <v>0</v>
      </c>
      <c r="AA11" s="17" cm="1">
        <f t="array" ref="AA11">tbl_Commuting_Calc[[#This Row],[Total Distance Bus (km)]:[Total Distance Bus (km)]] * INDEX(tbl_Commuting_EFs[kg CO2e of N2O per unit], MATCH("Bus", tbl_Commuting_EFs[[Transport Mode]:[Transport Mode]], 0))</f>
        <v>0</v>
      </c>
      <c r="AB11" s="113" cm="1">
        <f t="array" ref="AB11">tbl_Commuting_Calc[[#This Row],[Total Distance Car (km)]:[Total Distance Car (km)]] * INDEX(tbl_Commuting_EFs[kg CO2e including WTT], MATCH("Self-Propelled", tbl_Commuting_EFs[[Transport Mode]:[Transport Mode]], 0))</f>
        <v>0</v>
      </c>
      <c r="AC11" s="113" cm="1">
        <f t="array" ref="AC11">tbl_Commuting_Calc[[#This Row],[Total Distance Car (km)]:[Total Distance Car (km)]] * INDEX(tbl_Commuting_EFs[kg CO2e of CO2 per unit], MATCH("Self-Propelled", tbl_Commuting_EFs[[Transport Mode]:[Transport Mode]], 0))</f>
        <v>0</v>
      </c>
      <c r="AD11" s="113" cm="1">
        <f t="array" ref="AD11">tbl_Commuting_Calc[[#This Row],[Total Distance Car (km)]:[Total Distance Car (km)]] * INDEX(tbl_Commuting_EFs[kg CO2e of CH4 per unit], MATCH("Self-Propelled", tbl_Commuting_EFs[[Transport Mode]:[Transport Mode]], 0))</f>
        <v>0</v>
      </c>
      <c r="AE11" s="113" cm="1">
        <f t="array" ref="AE11">tbl_Commuting_Calc[[#This Row],[Total Distance Car (km)]:[Total Distance Car (km)]] * INDEX(tbl_Commuting_EFs[kg CO2e of N2O per unit], MATCH("Self-Propelled", tbl_Commuting_EFs[[Transport Mode]:[Transport Mode]], 0))</f>
        <v>0</v>
      </c>
      <c r="AF11" s="122">
        <f>SUM(tbl_Commuting_Calc[[#This Row],[Emissions Self-Propelled (kg CO2e)]], tbl_Commuting_Calc[[#This Row],[Emissions Bus (kg CO2e)]], tbl_Commuting_Calc[[#This Row],[Emissions Rail (kg CO2e)]], tbl_Commuting_Calc[[#This Row],[Emissions Car (kg CO2e)]])</f>
        <v>0</v>
      </c>
      <c r="AG11" s="122">
        <f>SUM(tbl_Commuting_Calc[[#This Row],[Emissions CO2 Self-Propelled (kg CO2e)]], tbl_Commuting_Calc[[#This Row],[Emissions CO2 Bus (kg CO2e)]], tbl_Commuting_Calc[[#This Row],[Emissions CO2 Rail (kg CO2e)]], tbl_Commuting_Calc[[#This Row],[Emissions CO2 Car (kg CO2e)]])</f>
        <v>0</v>
      </c>
      <c r="AH11" s="122">
        <f>SUM(tbl_Commuting_Calc[[#This Row],[Emissions CH4 Self-Propelled (kg CO2e)]], tbl_Commuting_Calc[[#This Row],[Emissions CH4 Bus (kg CO2e)]], tbl_Commuting_Calc[[#This Row],[Emissions CH4 Rail (kg CO2e)]], tbl_Commuting_Calc[[#This Row],[Emissions CH4 Car (kg CO2e)]])</f>
        <v>0</v>
      </c>
      <c r="AI11" s="122">
        <f>SUM(tbl_Commuting_Calc[[#This Row],[Emissions N2O Self-Propelled (kg CO2e)]], tbl_Commuting_Calc[[#This Row],[Emissions N2O Bus (kg CO2e)]], tbl_Commuting_Calc[[#This Row],[Emissions N2O Rail (kg CO2e)]], tbl_Commuting_Calc[[#This Row],[Emissions N2O Car (kg CO2e)]])</f>
        <v>0</v>
      </c>
    </row>
    <row r="12" spans="2:35" ht="20" customHeight="1" x14ac:dyDescent="0.35">
      <c r="B12" s="18" t="str">
        <f>'Scope 3.7'!B14</f>
        <v>Location 4</v>
      </c>
      <c r="C12" s="15">
        <f>INDEX(tbl_Employee_Commuting_Inputs[Employees (FTE Count)], MATCH(tbl_Commuting_Calc[[#This Row],[Location]], tbl_Employee_Commuting_Inputs[Location], 0))</f>
        <v>0</v>
      </c>
      <c r="D12" s="59">
        <f>INDEX(tbl_Employee_Commuting_Inputs[Car %], MATCH(tbl_Commuting_Calc[[#This Row],[Location]], tbl_Employee_Commuting_Inputs[Location], 0))</f>
        <v>0</v>
      </c>
      <c r="E12" s="59">
        <f>INDEX(tbl_Employee_Commuting_Inputs[Rail %], MATCH(tbl_Commuting_Calc[[#This Row],[Location]], tbl_Employee_Commuting_Inputs[Location], 0))</f>
        <v>0</v>
      </c>
      <c r="F12" s="59">
        <f>INDEX(tbl_Employee_Commuting_Inputs[Bus %], MATCH(tbl_Commuting_Calc[[#This Row],[Location]], tbl_Employee_Commuting_Inputs[Location], 0))</f>
        <v>0</v>
      </c>
      <c r="G12" s="59">
        <f>INDEX(tbl_Employee_Commuting_Inputs[Self-Propelled %], MATCH(tbl_Commuting_Calc[[#This Row],[Location]], tbl_Employee_Commuting_Inputs[Location], 0))</f>
        <v>0</v>
      </c>
      <c r="H12" s="59">
        <f>SUM(tbl_Commuting_Calc[[#This Row],[Car %]:[Self-Propelled %]])</f>
        <v>0</v>
      </c>
      <c r="I12" s="105">
        <f>INDEX(tbl_Employee_Commuting_Inputs[Avg. Distance One-Way], MATCH(tbl_Commuting_Calc[[#This Row],[Location]], tbl_Employee_Commuting_Inputs[Location], 0))</f>
        <v>0</v>
      </c>
      <c r="J12" s="15">
        <f>(tbl_Commuting_Calc[[#This Row],[Avg. Distance One-Way]]*tbl_Commuting_Calc[[#This Row],[Employees (FTE Count)]])*2</f>
        <v>0</v>
      </c>
      <c r="K12" s="15" cm="1">
        <f t="array" ref="K12">tbl_Commuting_Calc[[#This Row],[Total Distance (Two-Way)]]*const_Working_days_annum</f>
        <v>0</v>
      </c>
      <c r="L12" s="110">
        <f>tbl_Commuting_Calc[[#This Row],[Total Yearly Distance]]*tbl_Commuting_Calc[[#This Row],[Car %]]</f>
        <v>0</v>
      </c>
      <c r="M12" s="110">
        <f>tbl_Commuting_Calc[[#This Row],[Total Yearly Distance]]*tbl_Commuting_Calc[[#This Row],[Rail %]]</f>
        <v>0</v>
      </c>
      <c r="N12" s="110">
        <f>tbl_Commuting_Calc[[#This Row],[Total Yearly Distance]]*tbl_Commuting_Calc[[#This Row],[Bus %]]</f>
        <v>0</v>
      </c>
      <c r="O12" s="110">
        <f>tbl_Commuting_Calc[[#This Row],[Total Yearly Distance]]*tbl_Commuting_Calc[[#This Row],[Self-Propelled %]]</f>
        <v>0</v>
      </c>
      <c r="P12" s="17" cm="1">
        <f t="array" ref="P12">tbl_Commuting_Calc[[#This Row],[Total Distance Car (km)]:[Total Distance Car (km)]] * INDEX(tbl_Commuting_EFs[kg CO2e including WTT], MATCH("Car", tbl_Commuting_EFs[[Transport Mode]:[Transport Mode]], 0))</f>
        <v>0</v>
      </c>
      <c r="Q12" s="17" cm="1">
        <f t="array" ref="Q12">tbl_Commuting_Calc[[#This Row],[Total Distance Car (km)]:[Total Distance Car (km)]] * INDEX(tbl_Commuting_EFs[kg CO2e of CO2 per unit], MATCH("Car", tbl_Commuting_EFs[[Transport Mode]:[Transport Mode]], 0))</f>
        <v>0</v>
      </c>
      <c r="R12" s="17" cm="1">
        <f t="array" ref="R12">tbl_Commuting_Calc[[#This Row],[Total Distance Car (km)]:[Total Distance Car (km)]] * INDEX(tbl_Commuting_EFs[kg CO2e of CH4 per unit], MATCH("Car", tbl_Commuting_EFs[[Transport Mode]:[Transport Mode]], 0))</f>
        <v>0</v>
      </c>
      <c r="S12" s="17" cm="1">
        <f t="array" ref="S12">tbl_Commuting_Calc[[#This Row],[Total Distance Car (km)]:[Total Distance Car (km)]] * INDEX(tbl_Commuting_EFs[kg CO2e of N2O per unit], MATCH("Car", tbl_Commuting_EFs[[Transport Mode]:[Transport Mode]], 0))</f>
        <v>0</v>
      </c>
      <c r="T12" s="17" cm="1">
        <f t="array" ref="T12">tbl_Commuting_Calc[[#This Row],[Total Distance Rail (km)]:[Total Distance Rail (km)]] * INDEX(tbl_Commuting_EFs[kg CO2e including WTT], MATCH("Rail", tbl_Commuting_EFs[[Transport Mode]:[Transport Mode]], 0))</f>
        <v>0</v>
      </c>
      <c r="U12" s="17" cm="1">
        <f t="array" ref="U12">tbl_Commuting_Calc[[#This Row],[Total Distance Rail (km)]:[Total Distance Rail (km)]] * INDEX(tbl_Commuting_EFs[kg CO2e of CO2 per unit], MATCH("Rail", tbl_Commuting_EFs[[Transport Mode]:[Transport Mode]], 0))</f>
        <v>0</v>
      </c>
      <c r="V12" s="17" cm="1">
        <f t="array" ref="V12">tbl_Commuting_Calc[[#This Row],[Total Distance Rail (km)]:[Total Distance Rail (km)]] * INDEX(tbl_Commuting_EFs[kg CO2e of CH4 per unit], MATCH("Rail", tbl_Commuting_EFs[[Transport Mode]:[Transport Mode]], 0))</f>
        <v>0</v>
      </c>
      <c r="W12" s="17" cm="1">
        <f t="array" ref="W12">tbl_Commuting_Calc[[#This Row],[Total Distance Rail (km)]:[Total Distance Rail (km)]] * INDEX(tbl_Commuting_EFs[kg CO2e of N2O per unit], MATCH("Rail", tbl_Commuting_EFs[[Transport Mode]:[Transport Mode]], 0))</f>
        <v>0</v>
      </c>
      <c r="X12" s="17" cm="1">
        <f t="array" ref="X12">tbl_Commuting_Calc[[#This Row],[Total Distance Bus (km)]:[Total Distance Bus (km)]] * INDEX(tbl_Commuting_EFs[kg CO2e including WTT], MATCH("Bus", tbl_Commuting_EFs[[Transport Mode]:[Transport Mode]], 0))</f>
        <v>0</v>
      </c>
      <c r="Y12" s="17" cm="1">
        <f t="array" ref="Y12">tbl_Commuting_Calc[[#This Row],[Total Distance Bus (km)]:[Total Distance Bus (km)]] * INDEX(tbl_Commuting_EFs[kg CO2e of CO2 per unit], MATCH("Bus", tbl_Commuting_EFs[[Transport Mode]:[Transport Mode]], 0))</f>
        <v>0</v>
      </c>
      <c r="Z12" s="17" cm="1">
        <f t="array" ref="Z12">tbl_Commuting_Calc[[#This Row],[Total Distance Bus (km)]:[Total Distance Bus (km)]] * INDEX(tbl_Commuting_EFs[kg CO2e of CH4 per unit], MATCH("Bus", tbl_Commuting_EFs[[Transport Mode]:[Transport Mode]], 0))</f>
        <v>0</v>
      </c>
      <c r="AA12" s="17" cm="1">
        <f t="array" ref="AA12">tbl_Commuting_Calc[[#This Row],[Total Distance Bus (km)]:[Total Distance Bus (km)]] * INDEX(tbl_Commuting_EFs[kg CO2e of N2O per unit], MATCH("Bus", tbl_Commuting_EFs[[Transport Mode]:[Transport Mode]], 0))</f>
        <v>0</v>
      </c>
      <c r="AB12" s="113" cm="1">
        <f t="array" ref="AB12">tbl_Commuting_Calc[[#This Row],[Total Distance Car (km)]:[Total Distance Car (km)]] * INDEX(tbl_Commuting_EFs[kg CO2e including WTT], MATCH("Self-Propelled", tbl_Commuting_EFs[[Transport Mode]:[Transport Mode]], 0))</f>
        <v>0</v>
      </c>
      <c r="AC12" s="113" cm="1">
        <f t="array" ref="AC12">tbl_Commuting_Calc[[#This Row],[Total Distance Car (km)]:[Total Distance Car (km)]] * INDEX(tbl_Commuting_EFs[kg CO2e of CO2 per unit], MATCH("Self-Propelled", tbl_Commuting_EFs[[Transport Mode]:[Transport Mode]], 0))</f>
        <v>0</v>
      </c>
      <c r="AD12" s="113" cm="1">
        <f t="array" ref="AD12">tbl_Commuting_Calc[[#This Row],[Total Distance Car (km)]:[Total Distance Car (km)]] * INDEX(tbl_Commuting_EFs[kg CO2e of CH4 per unit], MATCH("Self-Propelled", tbl_Commuting_EFs[[Transport Mode]:[Transport Mode]], 0))</f>
        <v>0</v>
      </c>
      <c r="AE12" s="113" cm="1">
        <f t="array" ref="AE12">tbl_Commuting_Calc[[#This Row],[Total Distance Car (km)]:[Total Distance Car (km)]] * INDEX(tbl_Commuting_EFs[kg CO2e of N2O per unit], MATCH("Self-Propelled", tbl_Commuting_EFs[[Transport Mode]:[Transport Mode]], 0))</f>
        <v>0</v>
      </c>
      <c r="AF12" s="122">
        <f>SUM(tbl_Commuting_Calc[[#This Row],[Emissions Self-Propelled (kg CO2e)]], tbl_Commuting_Calc[[#This Row],[Emissions Bus (kg CO2e)]], tbl_Commuting_Calc[[#This Row],[Emissions Rail (kg CO2e)]], tbl_Commuting_Calc[[#This Row],[Emissions Car (kg CO2e)]])</f>
        <v>0</v>
      </c>
      <c r="AG12" s="122">
        <f>SUM(tbl_Commuting_Calc[[#This Row],[Emissions CO2 Self-Propelled (kg CO2e)]], tbl_Commuting_Calc[[#This Row],[Emissions CO2 Bus (kg CO2e)]], tbl_Commuting_Calc[[#This Row],[Emissions CO2 Rail (kg CO2e)]], tbl_Commuting_Calc[[#This Row],[Emissions CO2 Car (kg CO2e)]])</f>
        <v>0</v>
      </c>
      <c r="AH12" s="122">
        <f>SUM(tbl_Commuting_Calc[[#This Row],[Emissions CH4 Self-Propelled (kg CO2e)]], tbl_Commuting_Calc[[#This Row],[Emissions CH4 Bus (kg CO2e)]], tbl_Commuting_Calc[[#This Row],[Emissions CH4 Rail (kg CO2e)]], tbl_Commuting_Calc[[#This Row],[Emissions CH4 Car (kg CO2e)]])</f>
        <v>0</v>
      </c>
      <c r="AI12" s="122">
        <f>SUM(tbl_Commuting_Calc[[#This Row],[Emissions N2O Self-Propelled (kg CO2e)]], tbl_Commuting_Calc[[#This Row],[Emissions N2O Bus (kg CO2e)]], tbl_Commuting_Calc[[#This Row],[Emissions N2O Rail (kg CO2e)]], tbl_Commuting_Calc[[#This Row],[Emissions N2O Car (kg CO2e)]])</f>
        <v>0</v>
      </c>
    </row>
    <row r="13" spans="2:35" ht="20" customHeight="1" x14ac:dyDescent="0.35">
      <c r="B13" s="18" t="str">
        <f>'Scope 3.7'!B15</f>
        <v>Location 5</v>
      </c>
      <c r="C13" s="15">
        <f>INDEX(tbl_Employee_Commuting_Inputs[Employees (FTE Count)], MATCH(tbl_Commuting_Calc[[#This Row],[Location]], tbl_Employee_Commuting_Inputs[Location], 0))</f>
        <v>0</v>
      </c>
      <c r="D13" s="59">
        <f>INDEX(tbl_Employee_Commuting_Inputs[Car %], MATCH(tbl_Commuting_Calc[[#This Row],[Location]], tbl_Employee_Commuting_Inputs[Location], 0))</f>
        <v>0</v>
      </c>
      <c r="E13" s="59">
        <f>INDEX(tbl_Employee_Commuting_Inputs[Rail %], MATCH(tbl_Commuting_Calc[[#This Row],[Location]], tbl_Employee_Commuting_Inputs[Location], 0))</f>
        <v>0</v>
      </c>
      <c r="F13" s="59">
        <f>INDEX(tbl_Employee_Commuting_Inputs[Bus %], MATCH(tbl_Commuting_Calc[[#This Row],[Location]], tbl_Employee_Commuting_Inputs[Location], 0))</f>
        <v>0</v>
      </c>
      <c r="G13" s="59">
        <f>INDEX(tbl_Employee_Commuting_Inputs[Self-Propelled %], MATCH(tbl_Commuting_Calc[[#This Row],[Location]], tbl_Employee_Commuting_Inputs[Location], 0))</f>
        <v>0</v>
      </c>
      <c r="H13" s="59">
        <f>SUM(tbl_Commuting_Calc[[#This Row],[Car %]:[Self-Propelled %]])</f>
        <v>0</v>
      </c>
      <c r="I13" s="105">
        <f>INDEX(tbl_Employee_Commuting_Inputs[Avg. Distance One-Way], MATCH(tbl_Commuting_Calc[[#This Row],[Location]], tbl_Employee_Commuting_Inputs[Location], 0))</f>
        <v>0</v>
      </c>
      <c r="J13" s="15">
        <f>(tbl_Commuting_Calc[[#This Row],[Avg. Distance One-Way]]*tbl_Commuting_Calc[[#This Row],[Employees (FTE Count)]])*2</f>
        <v>0</v>
      </c>
      <c r="K13" s="15" cm="1">
        <f t="array" ref="K13">tbl_Commuting_Calc[[#This Row],[Total Distance (Two-Way)]]*const_Working_days_annum</f>
        <v>0</v>
      </c>
      <c r="L13" s="110">
        <f>tbl_Commuting_Calc[[#This Row],[Total Yearly Distance]]*tbl_Commuting_Calc[[#This Row],[Car %]]</f>
        <v>0</v>
      </c>
      <c r="M13" s="110">
        <f>tbl_Commuting_Calc[[#This Row],[Total Yearly Distance]]*tbl_Commuting_Calc[[#This Row],[Rail %]]</f>
        <v>0</v>
      </c>
      <c r="N13" s="110">
        <f>tbl_Commuting_Calc[[#This Row],[Total Yearly Distance]]*tbl_Commuting_Calc[[#This Row],[Bus %]]</f>
        <v>0</v>
      </c>
      <c r="O13" s="110">
        <f>tbl_Commuting_Calc[[#This Row],[Total Yearly Distance]]*tbl_Commuting_Calc[[#This Row],[Self-Propelled %]]</f>
        <v>0</v>
      </c>
      <c r="P13" s="17" cm="1">
        <f t="array" ref="P13">tbl_Commuting_Calc[[#This Row],[Total Distance Car (km)]:[Total Distance Car (km)]] * INDEX(tbl_Commuting_EFs[kg CO2e including WTT], MATCH("Car", tbl_Commuting_EFs[[Transport Mode]:[Transport Mode]], 0))</f>
        <v>0</v>
      </c>
      <c r="Q13" s="17" cm="1">
        <f t="array" ref="Q13">tbl_Commuting_Calc[[#This Row],[Total Distance Car (km)]:[Total Distance Car (km)]] * INDEX(tbl_Commuting_EFs[kg CO2e of CO2 per unit], MATCH("Car", tbl_Commuting_EFs[[Transport Mode]:[Transport Mode]], 0))</f>
        <v>0</v>
      </c>
      <c r="R13" s="17" cm="1">
        <f t="array" ref="R13">tbl_Commuting_Calc[[#This Row],[Total Distance Car (km)]:[Total Distance Car (km)]] * INDEX(tbl_Commuting_EFs[kg CO2e of CH4 per unit], MATCH("Car", tbl_Commuting_EFs[[Transport Mode]:[Transport Mode]], 0))</f>
        <v>0</v>
      </c>
      <c r="S13" s="17" cm="1">
        <f t="array" ref="S13">tbl_Commuting_Calc[[#This Row],[Total Distance Car (km)]:[Total Distance Car (km)]] * INDEX(tbl_Commuting_EFs[kg CO2e of N2O per unit], MATCH("Car", tbl_Commuting_EFs[[Transport Mode]:[Transport Mode]], 0))</f>
        <v>0</v>
      </c>
      <c r="T13" s="17" cm="1">
        <f t="array" ref="T13">tbl_Commuting_Calc[[#This Row],[Total Distance Rail (km)]:[Total Distance Rail (km)]] * INDEX(tbl_Commuting_EFs[kg CO2e including WTT], MATCH("Rail", tbl_Commuting_EFs[[Transport Mode]:[Transport Mode]], 0))</f>
        <v>0</v>
      </c>
      <c r="U13" s="17" cm="1">
        <f t="array" ref="U13">tbl_Commuting_Calc[[#This Row],[Total Distance Rail (km)]:[Total Distance Rail (km)]] * INDEX(tbl_Commuting_EFs[kg CO2e of CO2 per unit], MATCH("Rail", tbl_Commuting_EFs[[Transport Mode]:[Transport Mode]], 0))</f>
        <v>0</v>
      </c>
      <c r="V13" s="17" cm="1">
        <f t="array" ref="V13">tbl_Commuting_Calc[[#This Row],[Total Distance Rail (km)]:[Total Distance Rail (km)]] * INDEX(tbl_Commuting_EFs[kg CO2e of CH4 per unit], MATCH("Rail", tbl_Commuting_EFs[[Transport Mode]:[Transport Mode]], 0))</f>
        <v>0</v>
      </c>
      <c r="W13" s="17" cm="1">
        <f t="array" ref="W13">tbl_Commuting_Calc[[#This Row],[Total Distance Rail (km)]:[Total Distance Rail (km)]] * INDEX(tbl_Commuting_EFs[kg CO2e of N2O per unit], MATCH("Rail", tbl_Commuting_EFs[[Transport Mode]:[Transport Mode]], 0))</f>
        <v>0</v>
      </c>
      <c r="X13" s="17" cm="1">
        <f t="array" ref="X13">tbl_Commuting_Calc[[#This Row],[Total Distance Bus (km)]:[Total Distance Bus (km)]] * INDEX(tbl_Commuting_EFs[kg CO2e including WTT], MATCH("Bus", tbl_Commuting_EFs[[Transport Mode]:[Transport Mode]], 0))</f>
        <v>0</v>
      </c>
      <c r="Y13" s="17" cm="1">
        <f t="array" ref="Y13">tbl_Commuting_Calc[[#This Row],[Total Distance Bus (km)]:[Total Distance Bus (km)]] * INDEX(tbl_Commuting_EFs[kg CO2e of CO2 per unit], MATCH("Bus", tbl_Commuting_EFs[[Transport Mode]:[Transport Mode]], 0))</f>
        <v>0</v>
      </c>
      <c r="Z13" s="17" cm="1">
        <f t="array" ref="Z13">tbl_Commuting_Calc[[#This Row],[Total Distance Bus (km)]:[Total Distance Bus (km)]] * INDEX(tbl_Commuting_EFs[kg CO2e of CH4 per unit], MATCH("Bus", tbl_Commuting_EFs[[Transport Mode]:[Transport Mode]], 0))</f>
        <v>0</v>
      </c>
      <c r="AA13" s="17" cm="1">
        <f t="array" ref="AA13">tbl_Commuting_Calc[[#This Row],[Total Distance Bus (km)]:[Total Distance Bus (km)]] * INDEX(tbl_Commuting_EFs[kg CO2e of N2O per unit], MATCH("Bus", tbl_Commuting_EFs[[Transport Mode]:[Transport Mode]], 0))</f>
        <v>0</v>
      </c>
      <c r="AB13" s="113" cm="1">
        <f t="array" ref="AB13">tbl_Commuting_Calc[[#This Row],[Total Distance Car (km)]:[Total Distance Car (km)]] * INDEX(tbl_Commuting_EFs[kg CO2e including WTT], MATCH("Self-Propelled", tbl_Commuting_EFs[[Transport Mode]:[Transport Mode]], 0))</f>
        <v>0</v>
      </c>
      <c r="AC13" s="113" cm="1">
        <f t="array" ref="AC13">tbl_Commuting_Calc[[#This Row],[Total Distance Car (km)]:[Total Distance Car (km)]] * INDEX(tbl_Commuting_EFs[kg CO2e of CO2 per unit], MATCH("Self-Propelled", tbl_Commuting_EFs[[Transport Mode]:[Transport Mode]], 0))</f>
        <v>0</v>
      </c>
      <c r="AD13" s="113" cm="1">
        <f t="array" ref="AD13">tbl_Commuting_Calc[[#This Row],[Total Distance Car (km)]:[Total Distance Car (km)]] * INDEX(tbl_Commuting_EFs[kg CO2e of CH4 per unit], MATCH("Self-Propelled", tbl_Commuting_EFs[[Transport Mode]:[Transport Mode]], 0))</f>
        <v>0</v>
      </c>
      <c r="AE13" s="113" cm="1">
        <f t="array" ref="AE13">tbl_Commuting_Calc[[#This Row],[Total Distance Car (km)]:[Total Distance Car (km)]] * INDEX(tbl_Commuting_EFs[kg CO2e of N2O per unit], MATCH("Self-Propelled", tbl_Commuting_EFs[[Transport Mode]:[Transport Mode]], 0))</f>
        <v>0</v>
      </c>
      <c r="AF13" s="122">
        <f>SUM(tbl_Commuting_Calc[[#This Row],[Emissions Self-Propelled (kg CO2e)]], tbl_Commuting_Calc[[#This Row],[Emissions Bus (kg CO2e)]], tbl_Commuting_Calc[[#This Row],[Emissions Rail (kg CO2e)]], tbl_Commuting_Calc[[#This Row],[Emissions Car (kg CO2e)]])</f>
        <v>0</v>
      </c>
      <c r="AG13" s="122">
        <f>SUM(tbl_Commuting_Calc[[#This Row],[Emissions CO2 Self-Propelled (kg CO2e)]], tbl_Commuting_Calc[[#This Row],[Emissions CO2 Bus (kg CO2e)]], tbl_Commuting_Calc[[#This Row],[Emissions CO2 Rail (kg CO2e)]], tbl_Commuting_Calc[[#This Row],[Emissions CO2 Car (kg CO2e)]])</f>
        <v>0</v>
      </c>
      <c r="AH13" s="122">
        <f>SUM(tbl_Commuting_Calc[[#This Row],[Emissions CH4 Self-Propelled (kg CO2e)]], tbl_Commuting_Calc[[#This Row],[Emissions CH4 Bus (kg CO2e)]], tbl_Commuting_Calc[[#This Row],[Emissions CH4 Rail (kg CO2e)]], tbl_Commuting_Calc[[#This Row],[Emissions CH4 Car (kg CO2e)]])</f>
        <v>0</v>
      </c>
      <c r="AI13" s="122">
        <f>SUM(tbl_Commuting_Calc[[#This Row],[Emissions N2O Self-Propelled (kg CO2e)]], tbl_Commuting_Calc[[#This Row],[Emissions N2O Bus (kg CO2e)]], tbl_Commuting_Calc[[#This Row],[Emissions N2O Rail (kg CO2e)]], tbl_Commuting_Calc[[#This Row],[Emissions N2O Car (kg CO2e)]])</f>
        <v>0</v>
      </c>
    </row>
    <row r="14" spans="2:35" ht="20" customHeight="1" x14ac:dyDescent="0.35">
      <c r="B14" s="18" t="str">
        <f>'Scope 3.7'!B16</f>
        <v>Location 6</v>
      </c>
      <c r="C14" s="15">
        <f>INDEX(tbl_Employee_Commuting_Inputs[Employees (FTE Count)], MATCH(tbl_Commuting_Calc[[#This Row],[Location]], tbl_Employee_Commuting_Inputs[Location], 0))</f>
        <v>0</v>
      </c>
      <c r="D14" s="59">
        <f>INDEX(tbl_Employee_Commuting_Inputs[Car %], MATCH(tbl_Commuting_Calc[[#This Row],[Location]], tbl_Employee_Commuting_Inputs[Location], 0))</f>
        <v>0</v>
      </c>
      <c r="E14" s="59">
        <f>INDEX(tbl_Employee_Commuting_Inputs[Rail %], MATCH(tbl_Commuting_Calc[[#This Row],[Location]], tbl_Employee_Commuting_Inputs[Location], 0))</f>
        <v>0</v>
      </c>
      <c r="F14" s="59">
        <f>INDEX(tbl_Employee_Commuting_Inputs[Bus %], MATCH(tbl_Commuting_Calc[[#This Row],[Location]], tbl_Employee_Commuting_Inputs[Location], 0))</f>
        <v>0</v>
      </c>
      <c r="G14" s="59">
        <f>INDEX(tbl_Employee_Commuting_Inputs[Self-Propelled %], MATCH(tbl_Commuting_Calc[[#This Row],[Location]], tbl_Employee_Commuting_Inputs[Location], 0))</f>
        <v>0</v>
      </c>
      <c r="H14" s="59">
        <f>SUM(tbl_Commuting_Calc[[#This Row],[Car %]:[Self-Propelled %]])</f>
        <v>0</v>
      </c>
      <c r="I14" s="105">
        <f>INDEX(tbl_Employee_Commuting_Inputs[Avg. Distance One-Way], MATCH(tbl_Commuting_Calc[[#This Row],[Location]], tbl_Employee_Commuting_Inputs[Location], 0))</f>
        <v>0</v>
      </c>
      <c r="J14" s="15">
        <f>(tbl_Commuting_Calc[[#This Row],[Avg. Distance One-Way]]*tbl_Commuting_Calc[[#This Row],[Employees (FTE Count)]])*2</f>
        <v>0</v>
      </c>
      <c r="K14" s="15" cm="1">
        <f t="array" ref="K14">tbl_Commuting_Calc[[#This Row],[Total Distance (Two-Way)]]*const_Working_days_annum</f>
        <v>0</v>
      </c>
      <c r="L14" s="110">
        <f>tbl_Commuting_Calc[[#This Row],[Total Yearly Distance]]*tbl_Commuting_Calc[[#This Row],[Car %]]</f>
        <v>0</v>
      </c>
      <c r="M14" s="110">
        <f>tbl_Commuting_Calc[[#This Row],[Total Yearly Distance]]*tbl_Commuting_Calc[[#This Row],[Rail %]]</f>
        <v>0</v>
      </c>
      <c r="N14" s="110">
        <f>tbl_Commuting_Calc[[#This Row],[Total Yearly Distance]]*tbl_Commuting_Calc[[#This Row],[Bus %]]</f>
        <v>0</v>
      </c>
      <c r="O14" s="110">
        <f>tbl_Commuting_Calc[[#This Row],[Total Yearly Distance]]*tbl_Commuting_Calc[[#This Row],[Self-Propelled %]]</f>
        <v>0</v>
      </c>
      <c r="P14" s="17" cm="1">
        <f t="array" ref="P14">tbl_Commuting_Calc[[#This Row],[Total Distance Car (km)]:[Total Distance Car (km)]] * INDEX(tbl_Commuting_EFs[kg CO2e including WTT], MATCH("Car", tbl_Commuting_EFs[[Transport Mode]:[Transport Mode]], 0))</f>
        <v>0</v>
      </c>
      <c r="Q14" s="17" cm="1">
        <f t="array" ref="Q14">tbl_Commuting_Calc[[#This Row],[Total Distance Car (km)]:[Total Distance Car (km)]] * INDEX(tbl_Commuting_EFs[kg CO2e of CO2 per unit], MATCH("Car", tbl_Commuting_EFs[[Transport Mode]:[Transport Mode]], 0))</f>
        <v>0</v>
      </c>
      <c r="R14" s="17" cm="1">
        <f t="array" ref="R14">tbl_Commuting_Calc[[#This Row],[Total Distance Car (km)]:[Total Distance Car (km)]] * INDEX(tbl_Commuting_EFs[kg CO2e of CH4 per unit], MATCH("Car", tbl_Commuting_EFs[[Transport Mode]:[Transport Mode]], 0))</f>
        <v>0</v>
      </c>
      <c r="S14" s="17" cm="1">
        <f t="array" ref="S14">tbl_Commuting_Calc[[#This Row],[Total Distance Car (km)]:[Total Distance Car (km)]] * INDEX(tbl_Commuting_EFs[kg CO2e of N2O per unit], MATCH("Car", tbl_Commuting_EFs[[Transport Mode]:[Transport Mode]], 0))</f>
        <v>0</v>
      </c>
      <c r="T14" s="17" cm="1">
        <f t="array" ref="T14">tbl_Commuting_Calc[[#This Row],[Total Distance Rail (km)]:[Total Distance Rail (km)]] * INDEX(tbl_Commuting_EFs[kg CO2e including WTT], MATCH("Rail", tbl_Commuting_EFs[[Transport Mode]:[Transport Mode]], 0))</f>
        <v>0</v>
      </c>
      <c r="U14" s="17" cm="1">
        <f t="array" ref="U14">tbl_Commuting_Calc[[#This Row],[Total Distance Rail (km)]:[Total Distance Rail (km)]] * INDEX(tbl_Commuting_EFs[kg CO2e of CO2 per unit], MATCH("Rail", tbl_Commuting_EFs[[Transport Mode]:[Transport Mode]], 0))</f>
        <v>0</v>
      </c>
      <c r="V14" s="17" cm="1">
        <f t="array" ref="V14">tbl_Commuting_Calc[[#This Row],[Total Distance Rail (km)]:[Total Distance Rail (km)]] * INDEX(tbl_Commuting_EFs[kg CO2e of CH4 per unit], MATCH("Rail", tbl_Commuting_EFs[[Transport Mode]:[Transport Mode]], 0))</f>
        <v>0</v>
      </c>
      <c r="W14" s="17" cm="1">
        <f t="array" ref="W14">tbl_Commuting_Calc[[#This Row],[Total Distance Rail (km)]:[Total Distance Rail (km)]] * INDEX(tbl_Commuting_EFs[kg CO2e of N2O per unit], MATCH("Rail", tbl_Commuting_EFs[[Transport Mode]:[Transport Mode]], 0))</f>
        <v>0</v>
      </c>
      <c r="X14" s="17" cm="1">
        <f t="array" ref="X14">tbl_Commuting_Calc[[#This Row],[Total Distance Bus (km)]:[Total Distance Bus (km)]] * INDEX(tbl_Commuting_EFs[kg CO2e including WTT], MATCH("Bus", tbl_Commuting_EFs[[Transport Mode]:[Transport Mode]], 0))</f>
        <v>0</v>
      </c>
      <c r="Y14" s="17" cm="1">
        <f t="array" ref="Y14">tbl_Commuting_Calc[[#This Row],[Total Distance Bus (km)]:[Total Distance Bus (km)]] * INDEX(tbl_Commuting_EFs[kg CO2e of CO2 per unit], MATCH("Bus", tbl_Commuting_EFs[[Transport Mode]:[Transport Mode]], 0))</f>
        <v>0</v>
      </c>
      <c r="Z14" s="17" cm="1">
        <f t="array" ref="Z14">tbl_Commuting_Calc[[#This Row],[Total Distance Bus (km)]:[Total Distance Bus (km)]] * INDEX(tbl_Commuting_EFs[kg CO2e of CH4 per unit], MATCH("Bus", tbl_Commuting_EFs[[Transport Mode]:[Transport Mode]], 0))</f>
        <v>0</v>
      </c>
      <c r="AA14" s="17" cm="1">
        <f t="array" ref="AA14">tbl_Commuting_Calc[[#This Row],[Total Distance Bus (km)]:[Total Distance Bus (km)]] * INDEX(tbl_Commuting_EFs[kg CO2e of N2O per unit], MATCH("Bus", tbl_Commuting_EFs[[Transport Mode]:[Transport Mode]], 0))</f>
        <v>0</v>
      </c>
      <c r="AB14" s="113" cm="1">
        <f t="array" ref="AB14">tbl_Commuting_Calc[[#This Row],[Total Distance Car (km)]:[Total Distance Car (km)]] * INDEX(tbl_Commuting_EFs[kg CO2e including WTT], MATCH("Self-Propelled", tbl_Commuting_EFs[[Transport Mode]:[Transport Mode]], 0))</f>
        <v>0</v>
      </c>
      <c r="AC14" s="113" cm="1">
        <f t="array" ref="AC14">tbl_Commuting_Calc[[#This Row],[Total Distance Car (km)]:[Total Distance Car (km)]] * INDEX(tbl_Commuting_EFs[kg CO2e of CO2 per unit], MATCH("Self-Propelled", tbl_Commuting_EFs[[Transport Mode]:[Transport Mode]], 0))</f>
        <v>0</v>
      </c>
      <c r="AD14" s="113" cm="1">
        <f t="array" ref="AD14">tbl_Commuting_Calc[[#This Row],[Total Distance Car (km)]:[Total Distance Car (km)]] * INDEX(tbl_Commuting_EFs[kg CO2e of CH4 per unit], MATCH("Self-Propelled", tbl_Commuting_EFs[[Transport Mode]:[Transport Mode]], 0))</f>
        <v>0</v>
      </c>
      <c r="AE14" s="113" cm="1">
        <f t="array" ref="AE14">tbl_Commuting_Calc[[#This Row],[Total Distance Car (km)]:[Total Distance Car (km)]] * INDEX(tbl_Commuting_EFs[kg CO2e of N2O per unit], MATCH("Self-Propelled", tbl_Commuting_EFs[[Transport Mode]:[Transport Mode]], 0))</f>
        <v>0</v>
      </c>
      <c r="AF14" s="122">
        <f>SUM(tbl_Commuting_Calc[[#This Row],[Emissions Self-Propelled (kg CO2e)]], tbl_Commuting_Calc[[#This Row],[Emissions Bus (kg CO2e)]], tbl_Commuting_Calc[[#This Row],[Emissions Rail (kg CO2e)]], tbl_Commuting_Calc[[#This Row],[Emissions Car (kg CO2e)]])</f>
        <v>0</v>
      </c>
      <c r="AG14" s="122">
        <f>SUM(tbl_Commuting_Calc[[#This Row],[Emissions CO2 Self-Propelled (kg CO2e)]], tbl_Commuting_Calc[[#This Row],[Emissions CO2 Bus (kg CO2e)]], tbl_Commuting_Calc[[#This Row],[Emissions CO2 Rail (kg CO2e)]], tbl_Commuting_Calc[[#This Row],[Emissions CO2 Car (kg CO2e)]])</f>
        <v>0</v>
      </c>
      <c r="AH14" s="122">
        <f>SUM(tbl_Commuting_Calc[[#This Row],[Emissions CH4 Self-Propelled (kg CO2e)]], tbl_Commuting_Calc[[#This Row],[Emissions CH4 Bus (kg CO2e)]], tbl_Commuting_Calc[[#This Row],[Emissions CH4 Rail (kg CO2e)]], tbl_Commuting_Calc[[#This Row],[Emissions CH4 Car (kg CO2e)]])</f>
        <v>0</v>
      </c>
      <c r="AI14" s="122">
        <f>SUM(tbl_Commuting_Calc[[#This Row],[Emissions N2O Self-Propelled (kg CO2e)]], tbl_Commuting_Calc[[#This Row],[Emissions N2O Bus (kg CO2e)]], tbl_Commuting_Calc[[#This Row],[Emissions N2O Rail (kg CO2e)]], tbl_Commuting_Calc[[#This Row],[Emissions N2O Car (kg CO2e)]])</f>
        <v>0</v>
      </c>
    </row>
    <row r="15" spans="2:35" ht="20" customHeight="1" x14ac:dyDescent="0.35">
      <c r="B15" s="18" t="str">
        <f>'Scope 3.7'!B17</f>
        <v>Location 7</v>
      </c>
      <c r="C15" s="15">
        <f>INDEX(tbl_Employee_Commuting_Inputs[Employees (FTE Count)], MATCH(tbl_Commuting_Calc[[#This Row],[Location]], tbl_Employee_Commuting_Inputs[Location], 0))</f>
        <v>0</v>
      </c>
      <c r="D15" s="59">
        <f>INDEX(tbl_Employee_Commuting_Inputs[Car %], MATCH(tbl_Commuting_Calc[[#This Row],[Location]], tbl_Employee_Commuting_Inputs[Location], 0))</f>
        <v>0</v>
      </c>
      <c r="E15" s="59">
        <f>INDEX(tbl_Employee_Commuting_Inputs[Rail %], MATCH(tbl_Commuting_Calc[[#This Row],[Location]], tbl_Employee_Commuting_Inputs[Location], 0))</f>
        <v>0</v>
      </c>
      <c r="F15" s="59">
        <f>INDEX(tbl_Employee_Commuting_Inputs[Bus %], MATCH(tbl_Commuting_Calc[[#This Row],[Location]], tbl_Employee_Commuting_Inputs[Location], 0))</f>
        <v>0</v>
      </c>
      <c r="G15" s="59">
        <f>INDEX(tbl_Employee_Commuting_Inputs[Self-Propelled %], MATCH(tbl_Commuting_Calc[[#This Row],[Location]], tbl_Employee_Commuting_Inputs[Location], 0))</f>
        <v>0</v>
      </c>
      <c r="H15" s="59">
        <f>SUM(tbl_Commuting_Calc[[#This Row],[Car %]:[Self-Propelled %]])</f>
        <v>0</v>
      </c>
      <c r="I15" s="105">
        <f>INDEX(tbl_Employee_Commuting_Inputs[Avg. Distance One-Way], MATCH(tbl_Commuting_Calc[[#This Row],[Location]], tbl_Employee_Commuting_Inputs[Location], 0))</f>
        <v>0</v>
      </c>
      <c r="J15" s="15">
        <f>(tbl_Commuting_Calc[[#This Row],[Avg. Distance One-Way]]*tbl_Commuting_Calc[[#This Row],[Employees (FTE Count)]])*2</f>
        <v>0</v>
      </c>
      <c r="K15" s="15" cm="1">
        <f t="array" ref="K15">tbl_Commuting_Calc[[#This Row],[Total Distance (Two-Way)]]*const_Working_days_annum</f>
        <v>0</v>
      </c>
      <c r="L15" s="110">
        <f>tbl_Commuting_Calc[[#This Row],[Total Yearly Distance]]*tbl_Commuting_Calc[[#This Row],[Car %]]</f>
        <v>0</v>
      </c>
      <c r="M15" s="110">
        <f>tbl_Commuting_Calc[[#This Row],[Total Yearly Distance]]*tbl_Commuting_Calc[[#This Row],[Rail %]]</f>
        <v>0</v>
      </c>
      <c r="N15" s="110">
        <f>tbl_Commuting_Calc[[#This Row],[Total Yearly Distance]]*tbl_Commuting_Calc[[#This Row],[Bus %]]</f>
        <v>0</v>
      </c>
      <c r="O15" s="110">
        <f>tbl_Commuting_Calc[[#This Row],[Total Yearly Distance]]*tbl_Commuting_Calc[[#This Row],[Self-Propelled %]]</f>
        <v>0</v>
      </c>
      <c r="P15" s="17" cm="1">
        <f t="array" ref="P15">tbl_Commuting_Calc[[#This Row],[Total Distance Car (km)]:[Total Distance Car (km)]] * INDEX(tbl_Commuting_EFs[kg CO2e including WTT], MATCH("Car", tbl_Commuting_EFs[[Transport Mode]:[Transport Mode]], 0))</f>
        <v>0</v>
      </c>
      <c r="Q15" s="17" cm="1">
        <f t="array" ref="Q15">tbl_Commuting_Calc[[#This Row],[Total Distance Car (km)]:[Total Distance Car (km)]] * INDEX(tbl_Commuting_EFs[kg CO2e of CO2 per unit], MATCH("Car", tbl_Commuting_EFs[[Transport Mode]:[Transport Mode]], 0))</f>
        <v>0</v>
      </c>
      <c r="R15" s="17" cm="1">
        <f t="array" ref="R15">tbl_Commuting_Calc[[#This Row],[Total Distance Car (km)]:[Total Distance Car (km)]] * INDEX(tbl_Commuting_EFs[kg CO2e of CH4 per unit], MATCH("Car", tbl_Commuting_EFs[[Transport Mode]:[Transport Mode]], 0))</f>
        <v>0</v>
      </c>
      <c r="S15" s="17" cm="1">
        <f t="array" ref="S15">tbl_Commuting_Calc[[#This Row],[Total Distance Car (km)]:[Total Distance Car (km)]] * INDEX(tbl_Commuting_EFs[kg CO2e of N2O per unit], MATCH("Car", tbl_Commuting_EFs[[Transport Mode]:[Transport Mode]], 0))</f>
        <v>0</v>
      </c>
      <c r="T15" s="17" cm="1">
        <f t="array" ref="T15">tbl_Commuting_Calc[[#This Row],[Total Distance Rail (km)]:[Total Distance Rail (km)]] * INDEX(tbl_Commuting_EFs[kg CO2e including WTT], MATCH("Rail", tbl_Commuting_EFs[[Transport Mode]:[Transport Mode]], 0))</f>
        <v>0</v>
      </c>
      <c r="U15" s="17" cm="1">
        <f t="array" ref="U15">tbl_Commuting_Calc[[#This Row],[Total Distance Rail (km)]:[Total Distance Rail (km)]] * INDEX(tbl_Commuting_EFs[kg CO2e of CO2 per unit], MATCH("Rail", tbl_Commuting_EFs[[Transport Mode]:[Transport Mode]], 0))</f>
        <v>0</v>
      </c>
      <c r="V15" s="17" cm="1">
        <f t="array" ref="V15">tbl_Commuting_Calc[[#This Row],[Total Distance Rail (km)]:[Total Distance Rail (km)]] * INDEX(tbl_Commuting_EFs[kg CO2e of CH4 per unit], MATCH("Rail", tbl_Commuting_EFs[[Transport Mode]:[Transport Mode]], 0))</f>
        <v>0</v>
      </c>
      <c r="W15" s="17" cm="1">
        <f t="array" ref="W15">tbl_Commuting_Calc[[#This Row],[Total Distance Rail (km)]:[Total Distance Rail (km)]] * INDEX(tbl_Commuting_EFs[kg CO2e of N2O per unit], MATCH("Rail", tbl_Commuting_EFs[[Transport Mode]:[Transport Mode]], 0))</f>
        <v>0</v>
      </c>
      <c r="X15" s="17" cm="1">
        <f t="array" ref="X15">tbl_Commuting_Calc[[#This Row],[Total Distance Bus (km)]:[Total Distance Bus (km)]] * INDEX(tbl_Commuting_EFs[kg CO2e including WTT], MATCH("Bus", tbl_Commuting_EFs[[Transport Mode]:[Transport Mode]], 0))</f>
        <v>0</v>
      </c>
      <c r="Y15" s="17" cm="1">
        <f t="array" ref="Y15">tbl_Commuting_Calc[[#This Row],[Total Distance Bus (km)]:[Total Distance Bus (km)]] * INDEX(tbl_Commuting_EFs[kg CO2e of CO2 per unit], MATCH("Bus", tbl_Commuting_EFs[[Transport Mode]:[Transport Mode]], 0))</f>
        <v>0</v>
      </c>
      <c r="Z15" s="17" cm="1">
        <f t="array" ref="Z15">tbl_Commuting_Calc[[#This Row],[Total Distance Bus (km)]:[Total Distance Bus (km)]] * INDEX(tbl_Commuting_EFs[kg CO2e of CH4 per unit], MATCH("Bus", tbl_Commuting_EFs[[Transport Mode]:[Transport Mode]], 0))</f>
        <v>0</v>
      </c>
      <c r="AA15" s="17" cm="1">
        <f t="array" ref="AA15">tbl_Commuting_Calc[[#This Row],[Total Distance Bus (km)]:[Total Distance Bus (km)]] * INDEX(tbl_Commuting_EFs[kg CO2e of N2O per unit], MATCH("Bus", tbl_Commuting_EFs[[Transport Mode]:[Transport Mode]], 0))</f>
        <v>0</v>
      </c>
      <c r="AB15" s="113" cm="1">
        <f t="array" ref="AB15">tbl_Commuting_Calc[[#This Row],[Total Distance Car (km)]:[Total Distance Car (km)]] * INDEX(tbl_Commuting_EFs[kg CO2e including WTT], MATCH("Self-Propelled", tbl_Commuting_EFs[[Transport Mode]:[Transport Mode]], 0))</f>
        <v>0</v>
      </c>
      <c r="AC15" s="113" cm="1">
        <f t="array" ref="AC15">tbl_Commuting_Calc[[#This Row],[Total Distance Car (km)]:[Total Distance Car (km)]] * INDEX(tbl_Commuting_EFs[kg CO2e of CO2 per unit], MATCH("Self-Propelled", tbl_Commuting_EFs[[Transport Mode]:[Transport Mode]], 0))</f>
        <v>0</v>
      </c>
      <c r="AD15" s="113" cm="1">
        <f t="array" ref="AD15">tbl_Commuting_Calc[[#This Row],[Total Distance Car (km)]:[Total Distance Car (km)]] * INDEX(tbl_Commuting_EFs[kg CO2e of CH4 per unit], MATCH("Self-Propelled", tbl_Commuting_EFs[[Transport Mode]:[Transport Mode]], 0))</f>
        <v>0</v>
      </c>
      <c r="AE15" s="113" cm="1">
        <f t="array" ref="AE15">tbl_Commuting_Calc[[#This Row],[Total Distance Car (km)]:[Total Distance Car (km)]] * INDEX(tbl_Commuting_EFs[kg CO2e of N2O per unit], MATCH("Self-Propelled", tbl_Commuting_EFs[[Transport Mode]:[Transport Mode]], 0))</f>
        <v>0</v>
      </c>
      <c r="AF15" s="122">
        <f>SUM(tbl_Commuting_Calc[[#This Row],[Emissions Self-Propelled (kg CO2e)]], tbl_Commuting_Calc[[#This Row],[Emissions Bus (kg CO2e)]], tbl_Commuting_Calc[[#This Row],[Emissions Rail (kg CO2e)]], tbl_Commuting_Calc[[#This Row],[Emissions Car (kg CO2e)]])</f>
        <v>0</v>
      </c>
      <c r="AG15" s="122">
        <f>SUM(tbl_Commuting_Calc[[#This Row],[Emissions CO2 Self-Propelled (kg CO2e)]], tbl_Commuting_Calc[[#This Row],[Emissions CO2 Bus (kg CO2e)]], tbl_Commuting_Calc[[#This Row],[Emissions CO2 Rail (kg CO2e)]], tbl_Commuting_Calc[[#This Row],[Emissions CO2 Car (kg CO2e)]])</f>
        <v>0</v>
      </c>
      <c r="AH15" s="122">
        <f>SUM(tbl_Commuting_Calc[[#This Row],[Emissions CH4 Self-Propelled (kg CO2e)]], tbl_Commuting_Calc[[#This Row],[Emissions CH4 Bus (kg CO2e)]], tbl_Commuting_Calc[[#This Row],[Emissions CH4 Rail (kg CO2e)]], tbl_Commuting_Calc[[#This Row],[Emissions CH4 Car (kg CO2e)]])</f>
        <v>0</v>
      </c>
      <c r="AI15" s="122">
        <f>SUM(tbl_Commuting_Calc[[#This Row],[Emissions N2O Self-Propelled (kg CO2e)]], tbl_Commuting_Calc[[#This Row],[Emissions N2O Bus (kg CO2e)]], tbl_Commuting_Calc[[#This Row],[Emissions N2O Rail (kg CO2e)]], tbl_Commuting_Calc[[#This Row],[Emissions N2O Car (kg CO2e)]])</f>
        <v>0</v>
      </c>
    </row>
    <row r="16" spans="2:35" ht="20" customHeight="1" x14ac:dyDescent="0.35">
      <c r="B16" s="18" t="str">
        <f>'Scope 3.7'!B18</f>
        <v>Location 8</v>
      </c>
      <c r="C16" s="15">
        <f>INDEX(tbl_Employee_Commuting_Inputs[Employees (FTE Count)], MATCH(tbl_Commuting_Calc[[#This Row],[Location]], tbl_Employee_Commuting_Inputs[Location], 0))</f>
        <v>0</v>
      </c>
      <c r="D16" s="59">
        <f>INDEX(tbl_Employee_Commuting_Inputs[Car %], MATCH(tbl_Commuting_Calc[[#This Row],[Location]], tbl_Employee_Commuting_Inputs[Location], 0))</f>
        <v>0</v>
      </c>
      <c r="E16" s="59">
        <f>INDEX(tbl_Employee_Commuting_Inputs[Rail %], MATCH(tbl_Commuting_Calc[[#This Row],[Location]], tbl_Employee_Commuting_Inputs[Location], 0))</f>
        <v>0</v>
      </c>
      <c r="F16" s="59">
        <f>INDEX(tbl_Employee_Commuting_Inputs[Bus %], MATCH(tbl_Commuting_Calc[[#This Row],[Location]], tbl_Employee_Commuting_Inputs[Location], 0))</f>
        <v>0</v>
      </c>
      <c r="G16" s="59">
        <f>INDEX(tbl_Employee_Commuting_Inputs[Self-Propelled %], MATCH(tbl_Commuting_Calc[[#This Row],[Location]], tbl_Employee_Commuting_Inputs[Location], 0))</f>
        <v>0</v>
      </c>
      <c r="H16" s="59">
        <f>SUM(tbl_Commuting_Calc[[#This Row],[Car %]:[Self-Propelled %]])</f>
        <v>0</v>
      </c>
      <c r="I16" s="105">
        <f>INDEX(tbl_Employee_Commuting_Inputs[Avg. Distance One-Way], MATCH(tbl_Commuting_Calc[[#This Row],[Location]], tbl_Employee_Commuting_Inputs[Location], 0))</f>
        <v>0</v>
      </c>
      <c r="J16" s="15">
        <f>(tbl_Commuting_Calc[[#This Row],[Avg. Distance One-Way]]*tbl_Commuting_Calc[[#This Row],[Employees (FTE Count)]])*2</f>
        <v>0</v>
      </c>
      <c r="K16" s="15" cm="1">
        <f t="array" ref="K16">tbl_Commuting_Calc[[#This Row],[Total Distance (Two-Way)]]*const_Working_days_annum</f>
        <v>0</v>
      </c>
      <c r="L16" s="110">
        <f>tbl_Commuting_Calc[[#This Row],[Total Yearly Distance]]*tbl_Commuting_Calc[[#This Row],[Car %]]</f>
        <v>0</v>
      </c>
      <c r="M16" s="110">
        <f>tbl_Commuting_Calc[[#This Row],[Total Yearly Distance]]*tbl_Commuting_Calc[[#This Row],[Rail %]]</f>
        <v>0</v>
      </c>
      <c r="N16" s="110">
        <f>tbl_Commuting_Calc[[#This Row],[Total Yearly Distance]]*tbl_Commuting_Calc[[#This Row],[Bus %]]</f>
        <v>0</v>
      </c>
      <c r="O16" s="110">
        <f>tbl_Commuting_Calc[[#This Row],[Total Yearly Distance]]*tbl_Commuting_Calc[[#This Row],[Self-Propelled %]]</f>
        <v>0</v>
      </c>
      <c r="P16" s="17" cm="1">
        <f t="array" ref="P16">tbl_Commuting_Calc[[#This Row],[Total Distance Car (km)]:[Total Distance Car (km)]] * INDEX(tbl_Commuting_EFs[kg CO2e including WTT], MATCH("Car", tbl_Commuting_EFs[[Transport Mode]:[Transport Mode]], 0))</f>
        <v>0</v>
      </c>
      <c r="Q16" s="17" cm="1">
        <f t="array" ref="Q16">tbl_Commuting_Calc[[#This Row],[Total Distance Car (km)]:[Total Distance Car (km)]] * INDEX(tbl_Commuting_EFs[kg CO2e of CO2 per unit], MATCH("Car", tbl_Commuting_EFs[[Transport Mode]:[Transport Mode]], 0))</f>
        <v>0</v>
      </c>
      <c r="R16" s="17" cm="1">
        <f t="array" ref="R16">tbl_Commuting_Calc[[#This Row],[Total Distance Car (km)]:[Total Distance Car (km)]] * INDEX(tbl_Commuting_EFs[kg CO2e of CH4 per unit], MATCH("Car", tbl_Commuting_EFs[[Transport Mode]:[Transport Mode]], 0))</f>
        <v>0</v>
      </c>
      <c r="S16" s="17" cm="1">
        <f t="array" ref="S16">tbl_Commuting_Calc[[#This Row],[Total Distance Car (km)]:[Total Distance Car (km)]] * INDEX(tbl_Commuting_EFs[kg CO2e of N2O per unit], MATCH("Car", tbl_Commuting_EFs[[Transport Mode]:[Transport Mode]], 0))</f>
        <v>0</v>
      </c>
      <c r="T16" s="17" cm="1">
        <f t="array" ref="T16">tbl_Commuting_Calc[[#This Row],[Total Distance Rail (km)]:[Total Distance Rail (km)]] * INDEX(tbl_Commuting_EFs[kg CO2e including WTT], MATCH("Rail", tbl_Commuting_EFs[[Transport Mode]:[Transport Mode]], 0))</f>
        <v>0</v>
      </c>
      <c r="U16" s="17" cm="1">
        <f t="array" ref="U16">tbl_Commuting_Calc[[#This Row],[Total Distance Rail (km)]:[Total Distance Rail (km)]] * INDEX(tbl_Commuting_EFs[kg CO2e of CO2 per unit], MATCH("Rail", tbl_Commuting_EFs[[Transport Mode]:[Transport Mode]], 0))</f>
        <v>0</v>
      </c>
      <c r="V16" s="17" cm="1">
        <f t="array" ref="V16">tbl_Commuting_Calc[[#This Row],[Total Distance Rail (km)]:[Total Distance Rail (km)]] * INDEX(tbl_Commuting_EFs[kg CO2e of CH4 per unit], MATCH("Rail", tbl_Commuting_EFs[[Transport Mode]:[Transport Mode]], 0))</f>
        <v>0</v>
      </c>
      <c r="W16" s="17" cm="1">
        <f t="array" ref="W16">tbl_Commuting_Calc[[#This Row],[Total Distance Rail (km)]:[Total Distance Rail (km)]] * INDEX(tbl_Commuting_EFs[kg CO2e of N2O per unit], MATCH("Rail", tbl_Commuting_EFs[[Transport Mode]:[Transport Mode]], 0))</f>
        <v>0</v>
      </c>
      <c r="X16" s="17" cm="1">
        <f t="array" ref="X16">tbl_Commuting_Calc[[#This Row],[Total Distance Bus (km)]:[Total Distance Bus (km)]] * INDEX(tbl_Commuting_EFs[kg CO2e including WTT], MATCH("Bus", tbl_Commuting_EFs[[Transport Mode]:[Transport Mode]], 0))</f>
        <v>0</v>
      </c>
      <c r="Y16" s="17" cm="1">
        <f t="array" ref="Y16">tbl_Commuting_Calc[[#This Row],[Total Distance Bus (km)]:[Total Distance Bus (km)]] * INDEX(tbl_Commuting_EFs[kg CO2e of CO2 per unit], MATCH("Bus", tbl_Commuting_EFs[[Transport Mode]:[Transport Mode]], 0))</f>
        <v>0</v>
      </c>
      <c r="Z16" s="17" cm="1">
        <f t="array" ref="Z16">tbl_Commuting_Calc[[#This Row],[Total Distance Bus (km)]:[Total Distance Bus (km)]] * INDEX(tbl_Commuting_EFs[kg CO2e of CH4 per unit], MATCH("Bus", tbl_Commuting_EFs[[Transport Mode]:[Transport Mode]], 0))</f>
        <v>0</v>
      </c>
      <c r="AA16" s="17" cm="1">
        <f t="array" ref="AA16">tbl_Commuting_Calc[[#This Row],[Total Distance Bus (km)]:[Total Distance Bus (km)]] * INDEX(tbl_Commuting_EFs[kg CO2e of N2O per unit], MATCH("Bus", tbl_Commuting_EFs[[Transport Mode]:[Transport Mode]], 0))</f>
        <v>0</v>
      </c>
      <c r="AB16" s="113" cm="1">
        <f t="array" ref="AB16">tbl_Commuting_Calc[[#This Row],[Total Distance Car (km)]:[Total Distance Car (km)]] * INDEX(tbl_Commuting_EFs[kg CO2e including WTT], MATCH("Self-Propelled", tbl_Commuting_EFs[[Transport Mode]:[Transport Mode]], 0))</f>
        <v>0</v>
      </c>
      <c r="AC16" s="113" cm="1">
        <f t="array" ref="AC16">tbl_Commuting_Calc[[#This Row],[Total Distance Car (km)]:[Total Distance Car (km)]] * INDEX(tbl_Commuting_EFs[kg CO2e of CO2 per unit], MATCH("Self-Propelled", tbl_Commuting_EFs[[Transport Mode]:[Transport Mode]], 0))</f>
        <v>0</v>
      </c>
      <c r="AD16" s="113" cm="1">
        <f t="array" ref="AD16">tbl_Commuting_Calc[[#This Row],[Total Distance Car (km)]:[Total Distance Car (km)]] * INDEX(tbl_Commuting_EFs[kg CO2e of CH4 per unit], MATCH("Self-Propelled", tbl_Commuting_EFs[[Transport Mode]:[Transport Mode]], 0))</f>
        <v>0</v>
      </c>
      <c r="AE16" s="113" cm="1">
        <f t="array" ref="AE16">tbl_Commuting_Calc[[#This Row],[Total Distance Car (km)]:[Total Distance Car (km)]] * INDEX(tbl_Commuting_EFs[kg CO2e of N2O per unit], MATCH("Self-Propelled", tbl_Commuting_EFs[[Transport Mode]:[Transport Mode]], 0))</f>
        <v>0</v>
      </c>
      <c r="AF16" s="122">
        <f>SUM(tbl_Commuting_Calc[[#This Row],[Emissions Self-Propelled (kg CO2e)]], tbl_Commuting_Calc[[#This Row],[Emissions Bus (kg CO2e)]], tbl_Commuting_Calc[[#This Row],[Emissions Rail (kg CO2e)]], tbl_Commuting_Calc[[#This Row],[Emissions Car (kg CO2e)]])</f>
        <v>0</v>
      </c>
      <c r="AG16" s="122">
        <f>SUM(tbl_Commuting_Calc[[#This Row],[Emissions CO2 Self-Propelled (kg CO2e)]], tbl_Commuting_Calc[[#This Row],[Emissions CO2 Bus (kg CO2e)]], tbl_Commuting_Calc[[#This Row],[Emissions CO2 Rail (kg CO2e)]], tbl_Commuting_Calc[[#This Row],[Emissions CO2 Car (kg CO2e)]])</f>
        <v>0</v>
      </c>
      <c r="AH16" s="122">
        <f>SUM(tbl_Commuting_Calc[[#This Row],[Emissions CH4 Self-Propelled (kg CO2e)]], tbl_Commuting_Calc[[#This Row],[Emissions CH4 Bus (kg CO2e)]], tbl_Commuting_Calc[[#This Row],[Emissions CH4 Rail (kg CO2e)]], tbl_Commuting_Calc[[#This Row],[Emissions CH4 Car (kg CO2e)]])</f>
        <v>0</v>
      </c>
      <c r="AI16" s="122">
        <f>SUM(tbl_Commuting_Calc[[#This Row],[Emissions N2O Self-Propelled (kg CO2e)]], tbl_Commuting_Calc[[#This Row],[Emissions N2O Bus (kg CO2e)]], tbl_Commuting_Calc[[#This Row],[Emissions N2O Rail (kg CO2e)]], tbl_Commuting_Calc[[#This Row],[Emissions N2O Car (kg CO2e)]])</f>
        <v>0</v>
      </c>
    </row>
    <row r="17" spans="2:35" ht="20" customHeight="1" x14ac:dyDescent="0.35">
      <c r="B17" s="18" t="str">
        <f>'Scope 3.7'!B19</f>
        <v>Location 9</v>
      </c>
      <c r="C17" s="15">
        <f>INDEX(tbl_Employee_Commuting_Inputs[Employees (FTE Count)], MATCH(tbl_Commuting_Calc[[#This Row],[Location]], tbl_Employee_Commuting_Inputs[Location], 0))</f>
        <v>0</v>
      </c>
      <c r="D17" s="59">
        <f>INDEX(tbl_Employee_Commuting_Inputs[Car %], MATCH(tbl_Commuting_Calc[[#This Row],[Location]], tbl_Employee_Commuting_Inputs[Location], 0))</f>
        <v>0</v>
      </c>
      <c r="E17" s="59">
        <f>INDEX(tbl_Employee_Commuting_Inputs[Rail %], MATCH(tbl_Commuting_Calc[[#This Row],[Location]], tbl_Employee_Commuting_Inputs[Location], 0))</f>
        <v>0</v>
      </c>
      <c r="F17" s="59">
        <f>INDEX(tbl_Employee_Commuting_Inputs[Bus %], MATCH(tbl_Commuting_Calc[[#This Row],[Location]], tbl_Employee_Commuting_Inputs[Location], 0))</f>
        <v>0</v>
      </c>
      <c r="G17" s="59">
        <f>INDEX(tbl_Employee_Commuting_Inputs[Self-Propelled %], MATCH(tbl_Commuting_Calc[[#This Row],[Location]], tbl_Employee_Commuting_Inputs[Location], 0))</f>
        <v>0</v>
      </c>
      <c r="H17" s="59">
        <f>SUM(tbl_Commuting_Calc[[#This Row],[Car %]:[Self-Propelled %]])</f>
        <v>0</v>
      </c>
      <c r="I17" s="105">
        <f>INDEX(tbl_Employee_Commuting_Inputs[Avg. Distance One-Way], MATCH(tbl_Commuting_Calc[[#This Row],[Location]], tbl_Employee_Commuting_Inputs[Location], 0))</f>
        <v>0</v>
      </c>
      <c r="J17" s="15">
        <f>(tbl_Commuting_Calc[[#This Row],[Avg. Distance One-Way]]*tbl_Commuting_Calc[[#This Row],[Employees (FTE Count)]])*2</f>
        <v>0</v>
      </c>
      <c r="K17" s="15" cm="1">
        <f t="array" ref="K17">tbl_Commuting_Calc[[#This Row],[Total Distance (Two-Way)]]*const_Working_days_annum</f>
        <v>0</v>
      </c>
      <c r="L17" s="110">
        <f>tbl_Commuting_Calc[[#This Row],[Total Yearly Distance]]*tbl_Commuting_Calc[[#This Row],[Car %]]</f>
        <v>0</v>
      </c>
      <c r="M17" s="110">
        <f>tbl_Commuting_Calc[[#This Row],[Total Yearly Distance]]*tbl_Commuting_Calc[[#This Row],[Rail %]]</f>
        <v>0</v>
      </c>
      <c r="N17" s="110">
        <f>tbl_Commuting_Calc[[#This Row],[Total Yearly Distance]]*tbl_Commuting_Calc[[#This Row],[Bus %]]</f>
        <v>0</v>
      </c>
      <c r="O17" s="110">
        <f>tbl_Commuting_Calc[[#This Row],[Total Yearly Distance]]*tbl_Commuting_Calc[[#This Row],[Self-Propelled %]]</f>
        <v>0</v>
      </c>
      <c r="P17" s="17" cm="1">
        <f t="array" ref="P17">tbl_Commuting_Calc[[#This Row],[Total Distance Car (km)]:[Total Distance Car (km)]] * INDEX(tbl_Commuting_EFs[kg CO2e including WTT], MATCH("Car", tbl_Commuting_EFs[[Transport Mode]:[Transport Mode]], 0))</f>
        <v>0</v>
      </c>
      <c r="Q17" s="17" cm="1">
        <f t="array" ref="Q17">tbl_Commuting_Calc[[#This Row],[Total Distance Car (km)]:[Total Distance Car (km)]] * INDEX(tbl_Commuting_EFs[kg CO2e of CO2 per unit], MATCH("Car", tbl_Commuting_EFs[[Transport Mode]:[Transport Mode]], 0))</f>
        <v>0</v>
      </c>
      <c r="R17" s="17" cm="1">
        <f t="array" ref="R17">tbl_Commuting_Calc[[#This Row],[Total Distance Car (km)]:[Total Distance Car (km)]] * INDEX(tbl_Commuting_EFs[kg CO2e of CH4 per unit], MATCH("Car", tbl_Commuting_EFs[[Transport Mode]:[Transport Mode]], 0))</f>
        <v>0</v>
      </c>
      <c r="S17" s="17" cm="1">
        <f t="array" ref="S17">tbl_Commuting_Calc[[#This Row],[Total Distance Car (km)]:[Total Distance Car (km)]] * INDEX(tbl_Commuting_EFs[kg CO2e of N2O per unit], MATCH("Car", tbl_Commuting_EFs[[Transport Mode]:[Transport Mode]], 0))</f>
        <v>0</v>
      </c>
      <c r="T17" s="17" cm="1">
        <f t="array" ref="T17">tbl_Commuting_Calc[[#This Row],[Total Distance Rail (km)]:[Total Distance Rail (km)]] * INDEX(tbl_Commuting_EFs[kg CO2e including WTT], MATCH("Rail", tbl_Commuting_EFs[[Transport Mode]:[Transport Mode]], 0))</f>
        <v>0</v>
      </c>
      <c r="U17" s="17" cm="1">
        <f t="array" ref="U17">tbl_Commuting_Calc[[#This Row],[Total Distance Rail (km)]:[Total Distance Rail (km)]] * INDEX(tbl_Commuting_EFs[kg CO2e of CO2 per unit], MATCH("Rail", tbl_Commuting_EFs[[Transport Mode]:[Transport Mode]], 0))</f>
        <v>0</v>
      </c>
      <c r="V17" s="17" cm="1">
        <f t="array" ref="V17">tbl_Commuting_Calc[[#This Row],[Total Distance Rail (km)]:[Total Distance Rail (km)]] * INDEX(tbl_Commuting_EFs[kg CO2e of CH4 per unit], MATCH("Rail", tbl_Commuting_EFs[[Transport Mode]:[Transport Mode]], 0))</f>
        <v>0</v>
      </c>
      <c r="W17" s="17" cm="1">
        <f t="array" ref="W17">tbl_Commuting_Calc[[#This Row],[Total Distance Rail (km)]:[Total Distance Rail (km)]] * INDEX(tbl_Commuting_EFs[kg CO2e of N2O per unit], MATCH("Rail", tbl_Commuting_EFs[[Transport Mode]:[Transport Mode]], 0))</f>
        <v>0</v>
      </c>
      <c r="X17" s="17" cm="1">
        <f t="array" ref="X17">tbl_Commuting_Calc[[#This Row],[Total Distance Bus (km)]:[Total Distance Bus (km)]] * INDEX(tbl_Commuting_EFs[kg CO2e including WTT], MATCH("Bus", tbl_Commuting_EFs[[Transport Mode]:[Transport Mode]], 0))</f>
        <v>0</v>
      </c>
      <c r="Y17" s="17" cm="1">
        <f t="array" ref="Y17">tbl_Commuting_Calc[[#This Row],[Total Distance Bus (km)]:[Total Distance Bus (km)]] * INDEX(tbl_Commuting_EFs[kg CO2e of CO2 per unit], MATCH("Bus", tbl_Commuting_EFs[[Transport Mode]:[Transport Mode]], 0))</f>
        <v>0</v>
      </c>
      <c r="Z17" s="17" cm="1">
        <f t="array" ref="Z17">tbl_Commuting_Calc[[#This Row],[Total Distance Bus (km)]:[Total Distance Bus (km)]] * INDEX(tbl_Commuting_EFs[kg CO2e of CH4 per unit], MATCH("Bus", tbl_Commuting_EFs[[Transport Mode]:[Transport Mode]], 0))</f>
        <v>0</v>
      </c>
      <c r="AA17" s="17" cm="1">
        <f t="array" ref="AA17">tbl_Commuting_Calc[[#This Row],[Total Distance Bus (km)]:[Total Distance Bus (km)]] * INDEX(tbl_Commuting_EFs[kg CO2e of N2O per unit], MATCH("Bus", tbl_Commuting_EFs[[Transport Mode]:[Transport Mode]], 0))</f>
        <v>0</v>
      </c>
      <c r="AB17" s="113" cm="1">
        <f t="array" ref="AB17">tbl_Commuting_Calc[[#This Row],[Total Distance Car (km)]:[Total Distance Car (km)]] * INDEX(tbl_Commuting_EFs[kg CO2e including WTT], MATCH("Self-Propelled", tbl_Commuting_EFs[[Transport Mode]:[Transport Mode]], 0))</f>
        <v>0</v>
      </c>
      <c r="AC17" s="113" cm="1">
        <f t="array" ref="AC17">tbl_Commuting_Calc[[#This Row],[Total Distance Car (km)]:[Total Distance Car (km)]] * INDEX(tbl_Commuting_EFs[kg CO2e of CO2 per unit], MATCH("Self-Propelled", tbl_Commuting_EFs[[Transport Mode]:[Transport Mode]], 0))</f>
        <v>0</v>
      </c>
      <c r="AD17" s="113" cm="1">
        <f t="array" ref="AD17">tbl_Commuting_Calc[[#This Row],[Total Distance Car (km)]:[Total Distance Car (km)]] * INDEX(tbl_Commuting_EFs[kg CO2e of CH4 per unit], MATCH("Self-Propelled", tbl_Commuting_EFs[[Transport Mode]:[Transport Mode]], 0))</f>
        <v>0</v>
      </c>
      <c r="AE17" s="113" cm="1">
        <f t="array" ref="AE17">tbl_Commuting_Calc[[#This Row],[Total Distance Car (km)]:[Total Distance Car (km)]] * INDEX(tbl_Commuting_EFs[kg CO2e of N2O per unit], MATCH("Self-Propelled", tbl_Commuting_EFs[[Transport Mode]:[Transport Mode]], 0))</f>
        <v>0</v>
      </c>
      <c r="AF17" s="122">
        <f>SUM(tbl_Commuting_Calc[[#This Row],[Emissions Self-Propelled (kg CO2e)]], tbl_Commuting_Calc[[#This Row],[Emissions Bus (kg CO2e)]], tbl_Commuting_Calc[[#This Row],[Emissions Rail (kg CO2e)]], tbl_Commuting_Calc[[#This Row],[Emissions Car (kg CO2e)]])</f>
        <v>0</v>
      </c>
      <c r="AG17" s="122">
        <f>SUM(tbl_Commuting_Calc[[#This Row],[Emissions CO2 Self-Propelled (kg CO2e)]], tbl_Commuting_Calc[[#This Row],[Emissions CO2 Bus (kg CO2e)]], tbl_Commuting_Calc[[#This Row],[Emissions CO2 Rail (kg CO2e)]], tbl_Commuting_Calc[[#This Row],[Emissions CO2 Car (kg CO2e)]])</f>
        <v>0</v>
      </c>
      <c r="AH17" s="122">
        <f>SUM(tbl_Commuting_Calc[[#This Row],[Emissions CH4 Self-Propelled (kg CO2e)]], tbl_Commuting_Calc[[#This Row],[Emissions CH4 Bus (kg CO2e)]], tbl_Commuting_Calc[[#This Row],[Emissions CH4 Rail (kg CO2e)]], tbl_Commuting_Calc[[#This Row],[Emissions CH4 Car (kg CO2e)]])</f>
        <v>0</v>
      </c>
      <c r="AI17" s="122">
        <f>SUM(tbl_Commuting_Calc[[#This Row],[Emissions N2O Self-Propelled (kg CO2e)]], tbl_Commuting_Calc[[#This Row],[Emissions N2O Bus (kg CO2e)]], tbl_Commuting_Calc[[#This Row],[Emissions N2O Rail (kg CO2e)]], tbl_Commuting_Calc[[#This Row],[Emissions N2O Car (kg CO2e)]])</f>
        <v>0</v>
      </c>
    </row>
    <row r="18" spans="2:35" ht="20" customHeight="1" x14ac:dyDescent="0.35">
      <c r="B18" s="18" t="str">
        <f>'Scope 3.7'!B20</f>
        <v>Location 10</v>
      </c>
      <c r="C18" s="15">
        <f>INDEX(tbl_Employee_Commuting_Inputs[Employees (FTE Count)], MATCH(tbl_Commuting_Calc[[#This Row],[Location]], tbl_Employee_Commuting_Inputs[Location], 0))</f>
        <v>0</v>
      </c>
      <c r="D18" s="59">
        <f>INDEX(tbl_Employee_Commuting_Inputs[Car %], MATCH(tbl_Commuting_Calc[[#This Row],[Location]], tbl_Employee_Commuting_Inputs[Location], 0))</f>
        <v>0</v>
      </c>
      <c r="E18" s="59">
        <f>INDEX(tbl_Employee_Commuting_Inputs[Rail %], MATCH(tbl_Commuting_Calc[[#This Row],[Location]], tbl_Employee_Commuting_Inputs[Location], 0))</f>
        <v>0</v>
      </c>
      <c r="F18" s="59">
        <f>INDEX(tbl_Employee_Commuting_Inputs[Bus %], MATCH(tbl_Commuting_Calc[[#This Row],[Location]], tbl_Employee_Commuting_Inputs[Location], 0))</f>
        <v>0</v>
      </c>
      <c r="G18" s="59">
        <f>INDEX(tbl_Employee_Commuting_Inputs[Self-Propelled %], MATCH(tbl_Commuting_Calc[[#This Row],[Location]], tbl_Employee_Commuting_Inputs[Location], 0))</f>
        <v>0</v>
      </c>
      <c r="H18" s="59">
        <f>SUM(tbl_Commuting_Calc[[#This Row],[Car %]:[Self-Propelled %]])</f>
        <v>0</v>
      </c>
      <c r="I18" s="105">
        <f>INDEX(tbl_Employee_Commuting_Inputs[Avg. Distance One-Way], MATCH(tbl_Commuting_Calc[[#This Row],[Location]], tbl_Employee_Commuting_Inputs[Location], 0))</f>
        <v>0</v>
      </c>
      <c r="J18" s="15">
        <f>(tbl_Commuting_Calc[[#This Row],[Avg. Distance One-Way]]*tbl_Commuting_Calc[[#This Row],[Employees (FTE Count)]])*2</f>
        <v>0</v>
      </c>
      <c r="K18" s="15" cm="1">
        <f t="array" ref="K18">tbl_Commuting_Calc[[#This Row],[Total Distance (Two-Way)]]*const_Working_days_annum</f>
        <v>0</v>
      </c>
      <c r="L18" s="110">
        <f>tbl_Commuting_Calc[[#This Row],[Total Yearly Distance]]*tbl_Commuting_Calc[[#This Row],[Car %]]</f>
        <v>0</v>
      </c>
      <c r="M18" s="110">
        <f>tbl_Commuting_Calc[[#This Row],[Total Yearly Distance]]*tbl_Commuting_Calc[[#This Row],[Rail %]]</f>
        <v>0</v>
      </c>
      <c r="N18" s="110">
        <f>tbl_Commuting_Calc[[#This Row],[Total Yearly Distance]]*tbl_Commuting_Calc[[#This Row],[Bus %]]</f>
        <v>0</v>
      </c>
      <c r="O18" s="110">
        <f>tbl_Commuting_Calc[[#This Row],[Total Yearly Distance]]*tbl_Commuting_Calc[[#This Row],[Self-Propelled %]]</f>
        <v>0</v>
      </c>
      <c r="P18" s="17" cm="1">
        <f t="array" ref="P18">tbl_Commuting_Calc[[#This Row],[Total Distance Car (km)]:[Total Distance Car (km)]] * INDEX(tbl_Commuting_EFs[kg CO2e including WTT], MATCH("Car", tbl_Commuting_EFs[[Transport Mode]:[Transport Mode]], 0))</f>
        <v>0</v>
      </c>
      <c r="Q18" s="17" cm="1">
        <f t="array" ref="Q18">tbl_Commuting_Calc[[#This Row],[Total Distance Car (km)]:[Total Distance Car (km)]] * INDEX(tbl_Commuting_EFs[kg CO2e of CO2 per unit], MATCH("Car", tbl_Commuting_EFs[[Transport Mode]:[Transport Mode]], 0))</f>
        <v>0</v>
      </c>
      <c r="R18" s="17" cm="1">
        <f t="array" ref="R18">tbl_Commuting_Calc[[#This Row],[Total Distance Car (km)]:[Total Distance Car (km)]] * INDEX(tbl_Commuting_EFs[kg CO2e of CH4 per unit], MATCH("Car", tbl_Commuting_EFs[[Transport Mode]:[Transport Mode]], 0))</f>
        <v>0</v>
      </c>
      <c r="S18" s="17" cm="1">
        <f t="array" ref="S18">tbl_Commuting_Calc[[#This Row],[Total Distance Car (km)]:[Total Distance Car (km)]] * INDEX(tbl_Commuting_EFs[kg CO2e of N2O per unit], MATCH("Car", tbl_Commuting_EFs[[Transport Mode]:[Transport Mode]], 0))</f>
        <v>0</v>
      </c>
      <c r="T18" s="17" cm="1">
        <f t="array" ref="T18">tbl_Commuting_Calc[[#This Row],[Total Distance Rail (km)]:[Total Distance Rail (km)]] * INDEX(tbl_Commuting_EFs[kg CO2e including WTT], MATCH("Rail", tbl_Commuting_EFs[[Transport Mode]:[Transport Mode]], 0))</f>
        <v>0</v>
      </c>
      <c r="U18" s="17" cm="1">
        <f t="array" ref="U18">tbl_Commuting_Calc[[#This Row],[Total Distance Rail (km)]:[Total Distance Rail (km)]] * INDEX(tbl_Commuting_EFs[kg CO2e of CO2 per unit], MATCH("Rail", tbl_Commuting_EFs[[Transport Mode]:[Transport Mode]], 0))</f>
        <v>0</v>
      </c>
      <c r="V18" s="17" cm="1">
        <f t="array" ref="V18">tbl_Commuting_Calc[[#This Row],[Total Distance Rail (km)]:[Total Distance Rail (km)]] * INDEX(tbl_Commuting_EFs[kg CO2e of CH4 per unit], MATCH("Rail", tbl_Commuting_EFs[[Transport Mode]:[Transport Mode]], 0))</f>
        <v>0</v>
      </c>
      <c r="W18" s="17" cm="1">
        <f t="array" ref="W18">tbl_Commuting_Calc[[#This Row],[Total Distance Rail (km)]:[Total Distance Rail (km)]] * INDEX(tbl_Commuting_EFs[kg CO2e of N2O per unit], MATCH("Rail", tbl_Commuting_EFs[[Transport Mode]:[Transport Mode]], 0))</f>
        <v>0</v>
      </c>
      <c r="X18" s="17" cm="1">
        <f t="array" ref="X18">tbl_Commuting_Calc[[#This Row],[Total Distance Bus (km)]:[Total Distance Bus (km)]] * INDEX(tbl_Commuting_EFs[kg CO2e including WTT], MATCH("Bus", tbl_Commuting_EFs[[Transport Mode]:[Transport Mode]], 0))</f>
        <v>0</v>
      </c>
      <c r="Y18" s="17" cm="1">
        <f t="array" ref="Y18">tbl_Commuting_Calc[[#This Row],[Total Distance Bus (km)]:[Total Distance Bus (km)]] * INDEX(tbl_Commuting_EFs[kg CO2e of CO2 per unit], MATCH("Bus", tbl_Commuting_EFs[[Transport Mode]:[Transport Mode]], 0))</f>
        <v>0</v>
      </c>
      <c r="Z18" s="17" cm="1">
        <f t="array" ref="Z18">tbl_Commuting_Calc[[#This Row],[Total Distance Bus (km)]:[Total Distance Bus (km)]] * INDEX(tbl_Commuting_EFs[kg CO2e of CH4 per unit], MATCH("Bus", tbl_Commuting_EFs[[Transport Mode]:[Transport Mode]], 0))</f>
        <v>0</v>
      </c>
      <c r="AA18" s="17" cm="1">
        <f t="array" ref="AA18">tbl_Commuting_Calc[[#This Row],[Total Distance Bus (km)]:[Total Distance Bus (km)]] * INDEX(tbl_Commuting_EFs[kg CO2e of N2O per unit], MATCH("Bus", tbl_Commuting_EFs[[Transport Mode]:[Transport Mode]], 0))</f>
        <v>0</v>
      </c>
      <c r="AB18" s="113" cm="1">
        <f t="array" ref="AB18">tbl_Commuting_Calc[[#This Row],[Total Distance Car (km)]:[Total Distance Car (km)]] * INDEX(tbl_Commuting_EFs[kg CO2e including WTT], MATCH("Self-Propelled", tbl_Commuting_EFs[[Transport Mode]:[Transport Mode]], 0))</f>
        <v>0</v>
      </c>
      <c r="AC18" s="113" cm="1">
        <f t="array" ref="AC18">tbl_Commuting_Calc[[#This Row],[Total Distance Car (km)]:[Total Distance Car (km)]] * INDEX(tbl_Commuting_EFs[kg CO2e of CO2 per unit], MATCH("Self-Propelled", tbl_Commuting_EFs[[Transport Mode]:[Transport Mode]], 0))</f>
        <v>0</v>
      </c>
      <c r="AD18" s="113" cm="1">
        <f t="array" ref="AD18">tbl_Commuting_Calc[[#This Row],[Total Distance Car (km)]:[Total Distance Car (km)]] * INDEX(tbl_Commuting_EFs[kg CO2e of CH4 per unit], MATCH("Self-Propelled", tbl_Commuting_EFs[[Transport Mode]:[Transport Mode]], 0))</f>
        <v>0</v>
      </c>
      <c r="AE18" s="113" cm="1">
        <f t="array" ref="AE18">tbl_Commuting_Calc[[#This Row],[Total Distance Car (km)]:[Total Distance Car (km)]] * INDEX(tbl_Commuting_EFs[kg CO2e of N2O per unit], MATCH("Self-Propelled", tbl_Commuting_EFs[[Transport Mode]:[Transport Mode]], 0))</f>
        <v>0</v>
      </c>
      <c r="AF18" s="122">
        <f>SUM(tbl_Commuting_Calc[[#This Row],[Emissions Self-Propelled (kg CO2e)]], tbl_Commuting_Calc[[#This Row],[Emissions Bus (kg CO2e)]], tbl_Commuting_Calc[[#This Row],[Emissions Rail (kg CO2e)]], tbl_Commuting_Calc[[#This Row],[Emissions Car (kg CO2e)]])</f>
        <v>0</v>
      </c>
      <c r="AG18" s="122">
        <f>SUM(tbl_Commuting_Calc[[#This Row],[Emissions CO2 Self-Propelled (kg CO2e)]], tbl_Commuting_Calc[[#This Row],[Emissions CO2 Bus (kg CO2e)]], tbl_Commuting_Calc[[#This Row],[Emissions CO2 Rail (kg CO2e)]], tbl_Commuting_Calc[[#This Row],[Emissions CO2 Car (kg CO2e)]])</f>
        <v>0</v>
      </c>
      <c r="AH18" s="122">
        <f>SUM(tbl_Commuting_Calc[[#This Row],[Emissions CH4 Self-Propelled (kg CO2e)]], tbl_Commuting_Calc[[#This Row],[Emissions CH4 Bus (kg CO2e)]], tbl_Commuting_Calc[[#This Row],[Emissions CH4 Rail (kg CO2e)]], tbl_Commuting_Calc[[#This Row],[Emissions CH4 Car (kg CO2e)]])</f>
        <v>0</v>
      </c>
      <c r="AI18" s="122">
        <f>SUM(tbl_Commuting_Calc[[#This Row],[Emissions N2O Self-Propelled (kg CO2e)]], tbl_Commuting_Calc[[#This Row],[Emissions N2O Bus (kg CO2e)]], tbl_Commuting_Calc[[#This Row],[Emissions N2O Rail (kg CO2e)]], tbl_Commuting_Calc[[#This Row],[Emissions N2O Car (kg CO2e)]])</f>
        <v>0</v>
      </c>
    </row>
    <row r="19" spans="2:35" s="42" customFormat="1" ht="15" thickBot="1" x14ac:dyDescent="0.4"/>
    <row r="20" spans="2:35" ht="15" thickTop="1" x14ac:dyDescent="0.35"/>
    <row r="21" spans="2:35" x14ac:dyDescent="0.35">
      <c r="B21" s="7" t="s">
        <v>1157</v>
      </c>
      <c r="C21" s="67"/>
      <c r="D21" s="67"/>
      <c r="E21" s="67"/>
      <c r="F21" s="67"/>
      <c r="G21" s="67"/>
      <c r="H21" s="67"/>
    </row>
    <row r="22" spans="2:35" ht="5" customHeight="1" x14ac:dyDescent="0.35">
      <c r="B22" s="4"/>
    </row>
    <row r="23" spans="2:35" x14ac:dyDescent="0.35">
      <c r="B23" s="11" t="s">
        <v>1012</v>
      </c>
      <c r="C23" s="45">
        <f>SUM(tbl_Teleworking_Calc[Emissions (kg CO2e)])</f>
        <v>0</v>
      </c>
    </row>
    <row r="25" spans="2:35" ht="29" x14ac:dyDescent="0.35">
      <c r="B25" s="19" t="s">
        <v>808</v>
      </c>
      <c r="C25" s="21" t="s">
        <v>1210</v>
      </c>
      <c r="D25" s="64" t="s">
        <v>1295</v>
      </c>
      <c r="E25" s="64" t="s">
        <v>1297</v>
      </c>
      <c r="F25" s="64" t="s">
        <v>1298</v>
      </c>
      <c r="G25" s="64" t="s">
        <v>1302</v>
      </c>
      <c r="H25" s="64" t="s">
        <v>1011</v>
      </c>
    </row>
    <row r="26" spans="2:35" ht="20" customHeight="1" x14ac:dyDescent="0.35">
      <c r="B26" s="18" t="str">
        <f>'Scope 3.7'!B28</f>
        <v>Location 1</v>
      </c>
      <c r="C26" s="96">
        <f>'Scope 3.7'!C28</f>
        <v>0</v>
      </c>
      <c r="D26" s="96">
        <f>'Scope 3.7'!D28</f>
        <v>0</v>
      </c>
      <c r="E26" s="96">
        <f>tbl_Teleworking_Calc[[#This Row],[Average Teleworking Days per Week]]*8</f>
        <v>0</v>
      </c>
      <c r="F26" s="96">
        <f>tbl_Teleworking_Calc[[#This Row],[Average Teleworking Hours per Week]]*const_Working_weeks_annum</f>
        <v>0</v>
      </c>
      <c r="G26" s="124" cm="1">
        <f t="array" ref="G26">tbl_Teleworking_EFs[kg CO2e]</f>
        <v>0.33378</v>
      </c>
      <c r="H26" s="124">
        <f>tbl_Teleworking_Calc[[#This Row],[Emission Factor (kg CO2e/Hour)]]*tbl_Teleworking_Calc[[#This Row],[Average Teleworking Hours per Year]]</f>
        <v>0</v>
      </c>
    </row>
    <row r="27" spans="2:35" ht="20" customHeight="1" x14ac:dyDescent="0.35">
      <c r="B27" s="18" t="str">
        <f>'Scope 3.7'!B29</f>
        <v>Location 2</v>
      </c>
      <c r="C27" s="96">
        <f>'Scope 3.7'!C29</f>
        <v>0</v>
      </c>
      <c r="D27" s="96">
        <f>'Scope 3.7'!D29</f>
        <v>0</v>
      </c>
      <c r="E27" s="96">
        <f>tbl_Teleworking_Calc[[#This Row],[Average Teleworking Days per Week]]*8</f>
        <v>0</v>
      </c>
      <c r="F27" s="96">
        <f>tbl_Teleworking_Calc[[#This Row],[Average Teleworking Hours per Week]]*const_Working_weeks_annum</f>
        <v>0</v>
      </c>
      <c r="G27" s="124" cm="1">
        <f t="array" ref="G27">tbl_Teleworking_EFs[kg CO2e]</f>
        <v>0.33378</v>
      </c>
      <c r="H27" s="124">
        <f>tbl_Teleworking_Calc[[#This Row],[Emission Factor (kg CO2e/Hour)]]*tbl_Teleworking_Calc[[#This Row],[Average Teleworking Hours per Year]]</f>
        <v>0</v>
      </c>
    </row>
    <row r="28" spans="2:35" ht="20" customHeight="1" x14ac:dyDescent="0.35">
      <c r="B28" s="18" t="str">
        <f>'Scope 3.7'!B30</f>
        <v>Location 3</v>
      </c>
      <c r="C28" s="96">
        <f>'Scope 3.7'!C30</f>
        <v>0</v>
      </c>
      <c r="D28" s="96">
        <f>'Scope 3.7'!D30</f>
        <v>0</v>
      </c>
      <c r="E28" s="96">
        <f>tbl_Teleworking_Calc[[#This Row],[Average Teleworking Days per Week]]*8</f>
        <v>0</v>
      </c>
      <c r="F28" s="96">
        <f>tbl_Teleworking_Calc[[#This Row],[Average Teleworking Hours per Week]]*const_Working_weeks_annum</f>
        <v>0</v>
      </c>
      <c r="G28" s="124" cm="1">
        <f t="array" ref="G28">tbl_Teleworking_EFs[kg CO2e]</f>
        <v>0.33378</v>
      </c>
      <c r="H28" s="124">
        <f>tbl_Teleworking_Calc[[#This Row],[Emission Factor (kg CO2e/Hour)]]*tbl_Teleworking_Calc[[#This Row],[Average Teleworking Hours per Year]]</f>
        <v>0</v>
      </c>
    </row>
    <row r="29" spans="2:35" ht="20" customHeight="1" x14ac:dyDescent="0.35">
      <c r="B29" s="18" t="str">
        <f>'Scope 3.7'!B31</f>
        <v>Location 4</v>
      </c>
      <c r="C29" s="96">
        <f>'Scope 3.7'!C31</f>
        <v>0</v>
      </c>
      <c r="D29" s="96">
        <f>'Scope 3.7'!D31</f>
        <v>0</v>
      </c>
      <c r="E29" s="96">
        <f>tbl_Teleworking_Calc[[#This Row],[Average Teleworking Days per Week]]*8</f>
        <v>0</v>
      </c>
      <c r="F29" s="96">
        <f>tbl_Teleworking_Calc[[#This Row],[Average Teleworking Hours per Week]]*const_Working_weeks_annum</f>
        <v>0</v>
      </c>
      <c r="G29" s="124" cm="1">
        <f t="array" ref="G29">tbl_Teleworking_EFs[kg CO2e]</f>
        <v>0.33378</v>
      </c>
      <c r="H29" s="124">
        <f>tbl_Teleworking_Calc[[#This Row],[Emission Factor (kg CO2e/Hour)]]*tbl_Teleworking_Calc[[#This Row],[Average Teleworking Hours per Year]]</f>
        <v>0</v>
      </c>
    </row>
    <row r="30" spans="2:35" ht="20" customHeight="1" x14ac:dyDescent="0.35">
      <c r="B30" s="18" t="str">
        <f>'Scope 3.7'!B32</f>
        <v>Location 5</v>
      </c>
      <c r="C30" s="96">
        <f>'Scope 3.7'!C32</f>
        <v>0</v>
      </c>
      <c r="D30" s="96">
        <f>'Scope 3.7'!D32</f>
        <v>0</v>
      </c>
      <c r="E30" s="96">
        <f>tbl_Teleworking_Calc[[#This Row],[Average Teleworking Days per Week]]*8</f>
        <v>0</v>
      </c>
      <c r="F30" s="96">
        <f>tbl_Teleworking_Calc[[#This Row],[Average Teleworking Hours per Week]]*const_Working_weeks_annum</f>
        <v>0</v>
      </c>
      <c r="G30" s="124" cm="1">
        <f t="array" ref="G30">tbl_Teleworking_EFs[kg CO2e]</f>
        <v>0.33378</v>
      </c>
      <c r="H30" s="124">
        <f>tbl_Teleworking_Calc[[#This Row],[Emission Factor (kg CO2e/Hour)]]*tbl_Teleworking_Calc[[#This Row],[Average Teleworking Hours per Year]]</f>
        <v>0</v>
      </c>
    </row>
    <row r="31" spans="2:35" ht="20" customHeight="1" x14ac:dyDescent="0.35">
      <c r="B31" s="18" t="str">
        <f>'Scope 3.7'!B33</f>
        <v>Location 6</v>
      </c>
      <c r="C31" s="96">
        <f>'Scope 3.7'!C33</f>
        <v>0</v>
      </c>
      <c r="D31" s="96">
        <f>'Scope 3.7'!D33</f>
        <v>0</v>
      </c>
      <c r="E31" s="96">
        <f>tbl_Teleworking_Calc[[#This Row],[Average Teleworking Days per Week]]*8</f>
        <v>0</v>
      </c>
      <c r="F31" s="96">
        <f>tbl_Teleworking_Calc[[#This Row],[Average Teleworking Hours per Week]]*const_Working_weeks_annum</f>
        <v>0</v>
      </c>
      <c r="G31" s="124" cm="1">
        <f t="array" ref="G31">tbl_Teleworking_EFs[kg CO2e]</f>
        <v>0.33378</v>
      </c>
      <c r="H31" s="124">
        <f>tbl_Teleworking_Calc[[#This Row],[Emission Factor (kg CO2e/Hour)]]*tbl_Teleworking_Calc[[#This Row],[Average Teleworking Hours per Year]]</f>
        <v>0</v>
      </c>
    </row>
    <row r="32" spans="2:35" ht="20" customHeight="1" x14ac:dyDescent="0.35">
      <c r="B32" s="18" t="str">
        <f>'Scope 3.7'!B34</f>
        <v>Location 7</v>
      </c>
      <c r="C32" s="96">
        <f>'Scope 3.7'!C34</f>
        <v>0</v>
      </c>
      <c r="D32" s="96">
        <f>'Scope 3.7'!D34</f>
        <v>0</v>
      </c>
      <c r="E32" s="96">
        <f>tbl_Teleworking_Calc[[#This Row],[Average Teleworking Days per Week]]*8</f>
        <v>0</v>
      </c>
      <c r="F32" s="96">
        <f>tbl_Teleworking_Calc[[#This Row],[Average Teleworking Hours per Week]]*const_Working_weeks_annum</f>
        <v>0</v>
      </c>
      <c r="G32" s="124" cm="1">
        <f t="array" ref="G32">tbl_Teleworking_EFs[kg CO2e]</f>
        <v>0.33378</v>
      </c>
      <c r="H32" s="124">
        <f>tbl_Teleworking_Calc[[#This Row],[Emission Factor (kg CO2e/Hour)]]*tbl_Teleworking_Calc[[#This Row],[Average Teleworking Hours per Year]]</f>
        <v>0</v>
      </c>
    </row>
    <row r="33" spans="2:8" ht="20" customHeight="1" x14ac:dyDescent="0.35">
      <c r="B33" s="18" t="str">
        <f>'Scope 3.7'!B35</f>
        <v>Location 8</v>
      </c>
      <c r="C33" s="96">
        <f>'Scope 3.7'!C35</f>
        <v>0</v>
      </c>
      <c r="D33" s="96">
        <f>'Scope 3.7'!D35</f>
        <v>0</v>
      </c>
      <c r="E33" s="96">
        <f>tbl_Teleworking_Calc[[#This Row],[Average Teleworking Days per Week]]*8</f>
        <v>0</v>
      </c>
      <c r="F33" s="96">
        <f>tbl_Teleworking_Calc[[#This Row],[Average Teleworking Hours per Week]]*const_Working_weeks_annum</f>
        <v>0</v>
      </c>
      <c r="G33" s="124" cm="1">
        <f t="array" ref="G33">tbl_Teleworking_EFs[kg CO2e]</f>
        <v>0.33378</v>
      </c>
      <c r="H33" s="124">
        <f>tbl_Teleworking_Calc[[#This Row],[Emission Factor (kg CO2e/Hour)]]*tbl_Teleworking_Calc[[#This Row],[Average Teleworking Hours per Year]]</f>
        <v>0</v>
      </c>
    </row>
    <row r="34" spans="2:8" ht="20" customHeight="1" x14ac:dyDescent="0.35">
      <c r="B34" s="18" t="str">
        <f>'Scope 3.7'!B36</f>
        <v>Location 9</v>
      </c>
      <c r="C34" s="96">
        <f>'Scope 3.7'!C36</f>
        <v>0</v>
      </c>
      <c r="D34" s="96">
        <f>'Scope 3.7'!D36</f>
        <v>0</v>
      </c>
      <c r="E34" s="96">
        <f>tbl_Teleworking_Calc[[#This Row],[Average Teleworking Days per Week]]*8</f>
        <v>0</v>
      </c>
      <c r="F34" s="96">
        <f>tbl_Teleworking_Calc[[#This Row],[Average Teleworking Hours per Week]]*const_Working_weeks_annum</f>
        <v>0</v>
      </c>
      <c r="G34" s="124" cm="1">
        <f t="array" ref="G34">tbl_Teleworking_EFs[kg CO2e]</f>
        <v>0.33378</v>
      </c>
      <c r="H34" s="124">
        <f>tbl_Teleworking_Calc[[#This Row],[Emission Factor (kg CO2e/Hour)]]*tbl_Teleworking_Calc[[#This Row],[Average Teleworking Hours per Year]]</f>
        <v>0</v>
      </c>
    </row>
    <row r="35" spans="2:8" ht="20" customHeight="1" x14ac:dyDescent="0.35">
      <c r="B35" s="18" t="str">
        <f>'Scope 3.7'!B37</f>
        <v>Location 10</v>
      </c>
      <c r="C35" s="96">
        <f>'Scope 3.7'!C37</f>
        <v>0</v>
      </c>
      <c r="D35" s="96">
        <f>'Scope 3.7'!D37</f>
        <v>0</v>
      </c>
      <c r="E35" s="96">
        <f>tbl_Teleworking_Calc[[#This Row],[Average Teleworking Days per Week]]*8</f>
        <v>0</v>
      </c>
      <c r="F35" s="96">
        <f>tbl_Teleworking_Calc[[#This Row],[Average Teleworking Hours per Week]]*const_Working_weeks_annum</f>
        <v>0</v>
      </c>
      <c r="G35" s="124" cm="1">
        <f t="array" ref="G35">tbl_Teleworking_EFs[kg CO2e]</f>
        <v>0.33378</v>
      </c>
      <c r="H35" s="124">
        <f>tbl_Teleworking_Calc[[#This Row],[Emission Factor (kg CO2e/Hour)]]*tbl_Teleworking_Calc[[#This Row],[Average Teleworking Hours per Year]]</f>
        <v>0</v>
      </c>
    </row>
  </sheetData>
  <phoneticPr fontId="22" type="noConversion"/>
  <conditionalFormatting sqref="H9:H18">
    <cfRule type="cellIs" dxfId="1" priority="1" operator="lessThan">
      <formula>1</formula>
    </cfRule>
    <cfRule type="cellIs" dxfId="0" priority="2" operator="equal">
      <formula>1</formula>
    </cfRule>
  </conditionalFormatting>
  <pageMargins left="0.7" right="0.7" top="0.75" bottom="0.75" header="0.3" footer="0.3"/>
  <tableParts count="2">
    <tablePart r:id="rId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AAC8-0871-45CE-B257-83D2C0FDD9B1}">
  <dimension ref="B2:D46"/>
  <sheetViews>
    <sheetView workbookViewId="0">
      <selection activeCell="C2" sqref="C2"/>
    </sheetView>
  </sheetViews>
  <sheetFormatPr defaultRowHeight="14.5" x14ac:dyDescent="0.35"/>
  <cols>
    <col min="2" max="2" width="26.26953125" bestFit="1" customWidth="1"/>
  </cols>
  <sheetData>
    <row r="2" spans="2:4" x14ac:dyDescent="0.35">
      <c r="B2" s="9" t="s">
        <v>858</v>
      </c>
      <c r="D2" s="9" t="s">
        <v>873</v>
      </c>
    </row>
    <row r="3" spans="2:4" x14ac:dyDescent="0.35">
      <c r="B3" s="9" t="s">
        <v>859</v>
      </c>
      <c r="D3" s="9" t="s">
        <v>1018</v>
      </c>
    </row>
    <row r="4" spans="2:4" x14ac:dyDescent="0.35">
      <c r="B4" s="9" t="s">
        <v>860</v>
      </c>
      <c r="D4" s="9" t="s">
        <v>1020</v>
      </c>
    </row>
    <row r="5" spans="2:4" x14ac:dyDescent="0.35">
      <c r="B5" s="9" t="s">
        <v>861</v>
      </c>
      <c r="D5" s="9" t="s">
        <v>1022</v>
      </c>
    </row>
    <row r="6" spans="2:4" x14ac:dyDescent="0.35">
      <c r="B6" s="9" t="s">
        <v>862</v>
      </c>
      <c r="D6" s="9" t="s">
        <v>1024</v>
      </c>
    </row>
    <row r="7" spans="2:4" x14ac:dyDescent="0.35">
      <c r="B7" s="9" t="s">
        <v>863</v>
      </c>
      <c r="D7" s="9" t="s">
        <v>1026</v>
      </c>
    </row>
    <row r="8" spans="2:4" x14ac:dyDescent="0.35">
      <c r="B8" s="9" t="s">
        <v>864</v>
      </c>
      <c r="D8" s="9" t="s">
        <v>1028</v>
      </c>
    </row>
    <row r="9" spans="2:4" x14ac:dyDescent="0.35">
      <c r="B9" s="9" t="s">
        <v>865</v>
      </c>
      <c r="D9" s="9" t="s">
        <v>1030</v>
      </c>
    </row>
    <row r="10" spans="2:4" x14ac:dyDescent="0.35">
      <c r="B10" s="9" t="s">
        <v>866</v>
      </c>
      <c r="D10" s="9" t="s">
        <v>1032</v>
      </c>
    </row>
    <row r="11" spans="2:4" x14ac:dyDescent="0.35">
      <c r="B11" s="9" t="s">
        <v>867</v>
      </c>
      <c r="D11" s="9" t="s">
        <v>1034</v>
      </c>
    </row>
    <row r="12" spans="2:4" x14ac:dyDescent="0.35">
      <c r="B12" s="9" t="s">
        <v>868</v>
      </c>
      <c r="D12" s="9" t="s">
        <v>1036</v>
      </c>
    </row>
    <row r="13" spans="2:4" x14ac:dyDescent="0.35">
      <c r="B13" s="9" t="s">
        <v>869</v>
      </c>
      <c r="D13" s="9" t="s">
        <v>1038</v>
      </c>
    </row>
    <row r="14" spans="2:4" x14ac:dyDescent="0.35">
      <c r="B14" s="9" t="s">
        <v>870</v>
      </c>
      <c r="D14" s="9" t="s">
        <v>1040</v>
      </c>
    </row>
    <row r="15" spans="2:4" x14ac:dyDescent="0.35">
      <c r="D15" s="9" t="s">
        <v>1042</v>
      </c>
    </row>
    <row r="16" spans="2:4" x14ac:dyDescent="0.35">
      <c r="D16" s="9" t="s">
        <v>1044</v>
      </c>
    </row>
    <row r="17" spans="4:4" x14ac:dyDescent="0.35">
      <c r="D17" s="9" t="s">
        <v>1046</v>
      </c>
    </row>
    <row r="18" spans="4:4" x14ac:dyDescent="0.35">
      <c r="D18" s="9" t="s">
        <v>1048</v>
      </c>
    </row>
    <row r="19" spans="4:4" x14ac:dyDescent="0.35">
      <c r="D19" s="9" t="s">
        <v>1050</v>
      </c>
    </row>
    <row r="20" spans="4:4" x14ac:dyDescent="0.35">
      <c r="D20" s="9" t="s">
        <v>1052</v>
      </c>
    </row>
    <row r="21" spans="4:4" x14ac:dyDescent="0.35">
      <c r="D21" s="9" t="s">
        <v>1054</v>
      </c>
    </row>
    <row r="22" spans="4:4" x14ac:dyDescent="0.35">
      <c r="D22" s="9" t="s">
        <v>1056</v>
      </c>
    </row>
    <row r="23" spans="4:4" x14ac:dyDescent="0.35">
      <c r="D23" s="9" t="s">
        <v>1058</v>
      </c>
    </row>
    <row r="24" spans="4:4" x14ac:dyDescent="0.35">
      <c r="D24" s="9" t="s">
        <v>1060</v>
      </c>
    </row>
    <row r="25" spans="4:4" x14ac:dyDescent="0.35">
      <c r="D25" s="9" t="s">
        <v>1062</v>
      </c>
    </row>
    <row r="26" spans="4:4" x14ac:dyDescent="0.35">
      <c r="D26" s="9" t="s">
        <v>1064</v>
      </c>
    </row>
    <row r="27" spans="4:4" x14ac:dyDescent="0.35">
      <c r="D27" s="9" t="s">
        <v>1066</v>
      </c>
    </row>
    <row r="28" spans="4:4" x14ac:dyDescent="0.35">
      <c r="D28" s="9" t="s">
        <v>1068</v>
      </c>
    </row>
    <row r="29" spans="4:4" x14ac:dyDescent="0.35">
      <c r="D29" s="9" t="s">
        <v>1070</v>
      </c>
    </row>
    <row r="30" spans="4:4" x14ac:dyDescent="0.35">
      <c r="D30" s="9" t="s">
        <v>1072</v>
      </c>
    </row>
    <row r="31" spans="4:4" x14ac:dyDescent="0.35">
      <c r="D31" s="9" t="s">
        <v>1074</v>
      </c>
    </row>
    <row r="32" spans="4:4" x14ac:dyDescent="0.35">
      <c r="D32" s="9" t="s">
        <v>1076</v>
      </c>
    </row>
    <row r="33" spans="4:4" x14ac:dyDescent="0.35">
      <c r="D33" s="9" t="s">
        <v>1078</v>
      </c>
    </row>
    <row r="34" spans="4:4" x14ac:dyDescent="0.35">
      <c r="D34" s="9" t="s">
        <v>1080</v>
      </c>
    </row>
    <row r="35" spans="4:4" x14ac:dyDescent="0.35">
      <c r="D35" s="9" t="s">
        <v>1082</v>
      </c>
    </row>
    <row r="36" spans="4:4" x14ac:dyDescent="0.35">
      <c r="D36" s="9" t="s">
        <v>1084</v>
      </c>
    </row>
    <row r="37" spans="4:4" x14ac:dyDescent="0.35">
      <c r="D37" s="9" t="s">
        <v>1086</v>
      </c>
    </row>
    <row r="38" spans="4:4" x14ac:dyDescent="0.35">
      <c r="D38" s="9" t="s">
        <v>1088</v>
      </c>
    </row>
    <row r="39" spans="4:4" x14ac:dyDescent="0.35">
      <c r="D39" s="9" t="s">
        <v>1090</v>
      </c>
    </row>
    <row r="40" spans="4:4" x14ac:dyDescent="0.35">
      <c r="D40" s="9" t="s">
        <v>1092</v>
      </c>
    </row>
    <row r="41" spans="4:4" x14ac:dyDescent="0.35">
      <c r="D41" s="9" t="s">
        <v>1094</v>
      </c>
    </row>
    <row r="42" spans="4:4" x14ac:dyDescent="0.35">
      <c r="D42" s="9" t="s">
        <v>1096</v>
      </c>
    </row>
    <row r="43" spans="4:4" x14ac:dyDescent="0.35">
      <c r="D43" s="9" t="s">
        <v>1098</v>
      </c>
    </row>
    <row r="44" spans="4:4" x14ac:dyDescent="0.35">
      <c r="D44" s="9" t="s">
        <v>1100</v>
      </c>
    </row>
    <row r="45" spans="4:4" x14ac:dyDescent="0.35">
      <c r="D45" s="55" t="s">
        <v>1102</v>
      </c>
    </row>
    <row r="46" spans="4:4" x14ac:dyDescent="0.35">
      <c r="D46" s="9" t="s">
        <v>1105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61CB9-E323-4159-97DB-17F073722203}">
  <sheetPr>
    <tabColor rgb="FFE7EEEE"/>
  </sheetPr>
  <dimension ref="B1:D52"/>
  <sheetViews>
    <sheetView showGridLines="0" zoomScale="80" zoomScaleNormal="80" workbookViewId="0">
      <selection activeCell="J39" sqref="J39"/>
    </sheetView>
  </sheetViews>
  <sheetFormatPr defaultRowHeight="14.5" x14ac:dyDescent="0.35"/>
  <cols>
    <col min="1" max="1" width="2.6328125" style="2" customWidth="1"/>
    <col min="2" max="3" width="30.6328125" style="2" customWidth="1"/>
    <col min="4" max="4" width="156.81640625" style="2" bestFit="1" customWidth="1"/>
    <col min="5" max="16384" width="8.7265625" style="2"/>
  </cols>
  <sheetData>
    <row r="1" spans="2:4" s="1" customFormat="1" x14ac:dyDescent="0.35">
      <c r="B1" s="147" t="str">
        <f>const_Company_Name &amp; " Corporate Carbon Footprint Calculation"</f>
        <v>[Ihr Unternehmen] Corporate Carbon Footprint Calculation</v>
      </c>
    </row>
    <row r="2" spans="2:4" s="1" customFormat="1" x14ac:dyDescent="0.35">
      <c r="B2" s="147" t="str">
        <f>"01/01/" &amp; const_Reporting_Year &amp; " - 31/12/" &amp; const_Reporting_Year</f>
        <v>01/01/2025 - 31/12/2025</v>
      </c>
    </row>
    <row r="4" spans="2:4" x14ac:dyDescent="0.35">
      <c r="B4" s="19" t="s">
        <v>872</v>
      </c>
      <c r="C4" s="20" t="s">
        <v>1016</v>
      </c>
      <c r="D4" s="21" t="s">
        <v>256</v>
      </c>
    </row>
    <row r="5" spans="2:4" x14ac:dyDescent="0.35">
      <c r="B5" s="18" t="s">
        <v>873</v>
      </c>
      <c r="C5" s="15">
        <v>1.1306</v>
      </c>
      <c r="D5" s="101" t="s">
        <v>1017</v>
      </c>
    </row>
    <row r="6" spans="2:4" x14ac:dyDescent="0.35">
      <c r="B6" s="18" t="s">
        <v>1018</v>
      </c>
      <c r="C6" s="15">
        <v>0.7157</v>
      </c>
      <c r="D6" s="101" t="s">
        <v>1019</v>
      </c>
    </row>
    <row r="7" spans="2:4" x14ac:dyDescent="0.35">
      <c r="B7" s="18" t="s">
        <v>1020</v>
      </c>
      <c r="C7" s="15">
        <v>1.3188</v>
      </c>
      <c r="D7" s="101" t="s">
        <v>1021</v>
      </c>
    </row>
    <row r="8" spans="2:4" x14ac:dyDescent="0.35">
      <c r="B8" s="18" t="s">
        <v>1022</v>
      </c>
      <c r="C8" s="15">
        <v>0.64490000000000003</v>
      </c>
      <c r="D8" s="101" t="s">
        <v>1023</v>
      </c>
    </row>
    <row r="9" spans="2:4" x14ac:dyDescent="0.35">
      <c r="B9" s="18" t="s">
        <v>1024</v>
      </c>
      <c r="C9" s="15">
        <v>1.2E-2</v>
      </c>
      <c r="D9" s="101" t="s">
        <v>1025</v>
      </c>
    </row>
    <row r="10" spans="2:4" x14ac:dyDescent="0.35">
      <c r="B10" s="18" t="s">
        <v>1026</v>
      </c>
      <c r="C10" s="15">
        <v>5.2200000000000003E-2</v>
      </c>
      <c r="D10" s="101" t="s">
        <v>1027</v>
      </c>
    </row>
    <row r="11" spans="2:4" x14ac:dyDescent="0.35">
      <c r="B11" s="18" t="s">
        <v>1028</v>
      </c>
      <c r="C11" s="15">
        <v>0.76549999999999996</v>
      </c>
      <c r="D11" s="101" t="s">
        <v>1029</v>
      </c>
    </row>
    <row r="12" spans="2:4" x14ac:dyDescent="0.35">
      <c r="B12" s="18" t="s">
        <v>1030</v>
      </c>
      <c r="C12" s="15">
        <v>0.27239999999999998</v>
      </c>
      <c r="D12" s="101" t="s">
        <v>1031</v>
      </c>
    </row>
    <row r="13" spans="2:4" x14ac:dyDescent="0.35">
      <c r="B13" s="18" t="s">
        <v>1032</v>
      </c>
      <c r="C13" s="15">
        <v>6.7000000000000002E-3</v>
      </c>
      <c r="D13" s="101" t="s">
        <v>1033</v>
      </c>
    </row>
    <row r="14" spans="2:4" x14ac:dyDescent="0.35">
      <c r="B14" s="18" t="s">
        <v>1034</v>
      </c>
      <c r="C14" s="15">
        <v>0.13919999999999999</v>
      </c>
      <c r="D14" s="101" t="s">
        <v>1035</v>
      </c>
    </row>
    <row r="15" spans="2:4" x14ac:dyDescent="0.35">
      <c r="B15" s="18" t="s">
        <v>1036</v>
      </c>
      <c r="C15" s="15">
        <v>6.9999999999999999E-4</v>
      </c>
      <c r="D15" s="101" t="s">
        <v>1037</v>
      </c>
    </row>
    <row r="16" spans="2:4" x14ac:dyDescent="0.35">
      <c r="B16" s="18" t="s">
        <v>1038</v>
      </c>
      <c r="C16" s="15">
        <v>9.64E-2</v>
      </c>
      <c r="D16" s="101" t="s">
        <v>1039</v>
      </c>
    </row>
    <row r="17" spans="2:4" x14ac:dyDescent="0.35">
      <c r="B17" s="18" t="s">
        <v>1040</v>
      </c>
      <c r="C17" s="15">
        <v>2.5839999999999999E-3</v>
      </c>
      <c r="D17" s="101" t="s">
        <v>1041</v>
      </c>
    </row>
    <row r="18" spans="2:4" x14ac:dyDescent="0.35">
      <c r="B18" s="18" t="s">
        <v>1042</v>
      </c>
      <c r="C18" s="15">
        <v>1.2070000000000001</v>
      </c>
      <c r="D18" s="101" t="s">
        <v>1043</v>
      </c>
    </row>
    <row r="19" spans="2:4" x14ac:dyDescent="0.35">
      <c r="B19" s="18" t="s">
        <v>1044</v>
      </c>
      <c r="C19" s="15">
        <v>1.4101999999999999</v>
      </c>
      <c r="D19" s="101" t="s">
        <v>1045</v>
      </c>
    </row>
    <row r="20" spans="2:4" x14ac:dyDescent="0.35">
      <c r="B20" s="18" t="s">
        <v>1046</v>
      </c>
      <c r="C20" s="15">
        <v>0.58189999999999997</v>
      </c>
      <c r="D20" s="101" t="s">
        <v>1047</v>
      </c>
    </row>
    <row r="21" spans="2:4" x14ac:dyDescent="0.35">
      <c r="B21" s="18" t="s">
        <v>1048</v>
      </c>
      <c r="C21" s="15">
        <v>2.0000000000000001E-4</v>
      </c>
      <c r="D21" s="101" t="s">
        <v>1049</v>
      </c>
    </row>
    <row r="22" spans="2:4" x14ac:dyDescent="0.35">
      <c r="B22" s="18" t="s">
        <v>1050</v>
      </c>
      <c r="C22" s="15">
        <v>0.1022</v>
      </c>
      <c r="D22" s="101" t="s">
        <v>1051</v>
      </c>
    </row>
    <row r="23" spans="2:4" x14ac:dyDescent="0.35">
      <c r="B23" s="18" t="s">
        <v>1052</v>
      </c>
      <c r="C23" s="15">
        <v>0.15618000000000001</v>
      </c>
      <c r="D23" s="101" t="s">
        <v>1053</v>
      </c>
    </row>
    <row r="24" spans="2:4" x14ac:dyDescent="0.35">
      <c r="B24" s="18" t="s">
        <v>1054</v>
      </c>
      <c r="C24" s="15">
        <v>2.6537000000000002</v>
      </c>
      <c r="D24" s="101" t="s">
        <v>1055</v>
      </c>
    </row>
    <row r="25" spans="2:4" x14ac:dyDescent="0.35">
      <c r="B25" s="18" t="s">
        <v>1056</v>
      </c>
      <c r="C25" s="15">
        <v>0.23369999999999999</v>
      </c>
      <c r="D25" s="101" t="s">
        <v>1057</v>
      </c>
    </row>
    <row r="26" spans="2:4" x14ac:dyDescent="0.35">
      <c r="B26" s="18" t="s">
        <v>1058</v>
      </c>
      <c r="C26" s="15">
        <v>5.6000000000000001E-2</v>
      </c>
      <c r="D26" s="101" t="s">
        <v>1059</v>
      </c>
    </row>
    <row r="27" spans="2:4" x14ac:dyDescent="0.35">
      <c r="B27" s="18" t="s">
        <v>1060</v>
      </c>
      <c r="C27" s="15">
        <v>2.5399999999999999E-2</v>
      </c>
      <c r="D27" s="101" t="s">
        <v>1061</v>
      </c>
    </row>
    <row r="28" spans="2:4" x14ac:dyDescent="0.35">
      <c r="B28" s="18" t="s">
        <v>1062</v>
      </c>
      <c r="C28" s="15">
        <v>0.2666</v>
      </c>
      <c r="D28" s="101" t="s">
        <v>1063</v>
      </c>
    </row>
    <row r="29" spans="2:4" x14ac:dyDescent="0.35">
      <c r="B29" s="18" t="s">
        <v>1064</v>
      </c>
      <c r="C29" s="15">
        <v>4.58E-2</v>
      </c>
      <c r="D29" s="101" t="s">
        <v>1065</v>
      </c>
    </row>
    <row r="30" spans="2:4" x14ac:dyDescent="0.35">
      <c r="B30" s="18" t="s">
        <v>1066</v>
      </c>
      <c r="C30" s="15">
        <v>8.0000000000000004E-4</v>
      </c>
      <c r="D30" s="101" t="s">
        <v>1067</v>
      </c>
    </row>
    <row r="31" spans="2:4" x14ac:dyDescent="0.35">
      <c r="B31" s="18" t="s">
        <v>1068</v>
      </c>
      <c r="C31" s="15">
        <v>0.17899999999999999</v>
      </c>
      <c r="D31" s="101" t="s">
        <v>1069</v>
      </c>
    </row>
    <row r="32" spans="2:4" x14ac:dyDescent="0.35">
      <c r="B32" s="18" t="s">
        <v>1070</v>
      </c>
      <c r="C32" s="15">
        <v>9.6469999999999993E-3</v>
      </c>
      <c r="D32" s="101" t="s">
        <v>1071</v>
      </c>
    </row>
    <row r="33" spans="2:4" x14ac:dyDescent="0.35">
      <c r="B33" s="18" t="s">
        <v>1072</v>
      </c>
      <c r="C33" s="15">
        <v>0.2666</v>
      </c>
      <c r="D33" s="101" t="s">
        <v>1073</v>
      </c>
    </row>
    <row r="34" spans="2:4" x14ac:dyDescent="0.35">
      <c r="B34" s="18" t="s">
        <v>1074</v>
      </c>
      <c r="C34" s="15">
        <v>1E-4</v>
      </c>
      <c r="D34" s="101" t="s">
        <v>1075</v>
      </c>
    </row>
    <row r="35" spans="2:4" x14ac:dyDescent="0.35">
      <c r="B35" s="18" t="s">
        <v>1076</v>
      </c>
      <c r="C35" s="15">
        <v>3.2099999999999997E-2</v>
      </c>
      <c r="D35" s="101" t="s">
        <v>1077</v>
      </c>
    </row>
    <row r="36" spans="2:4" x14ac:dyDescent="0.35">
      <c r="B36" s="18" t="s">
        <v>1078</v>
      </c>
      <c r="C36" s="15">
        <v>0.27450000000000002</v>
      </c>
      <c r="D36" s="101" t="s">
        <v>1079</v>
      </c>
    </row>
    <row r="37" spans="2:4" x14ac:dyDescent="0.35">
      <c r="B37" s="18" t="s">
        <v>1080</v>
      </c>
      <c r="C37" s="15">
        <v>0.1283</v>
      </c>
      <c r="D37" s="101" t="s">
        <v>1081</v>
      </c>
    </row>
    <row r="38" spans="2:4" x14ac:dyDescent="0.35">
      <c r="B38" s="18" t="s">
        <v>1082</v>
      </c>
      <c r="C38" s="15">
        <v>3.8460000000000001E-5</v>
      </c>
      <c r="D38" s="101" t="s">
        <v>1083</v>
      </c>
    </row>
    <row r="39" spans="2:4" x14ac:dyDescent="0.35">
      <c r="B39" s="18" t="s">
        <v>1084</v>
      </c>
      <c r="C39" s="15">
        <v>0.22420000000000001</v>
      </c>
      <c r="D39" s="101" t="s">
        <v>1085</v>
      </c>
    </row>
    <row r="40" spans="2:4" x14ac:dyDescent="0.35">
      <c r="B40" s="18" t="s">
        <v>1086</v>
      </c>
      <c r="C40" s="15">
        <v>3.0499999999999999E-2</v>
      </c>
      <c r="D40" s="101" t="s">
        <v>1087</v>
      </c>
    </row>
    <row r="41" spans="2:4" x14ac:dyDescent="0.35">
      <c r="B41" s="18" t="s">
        <v>1088</v>
      </c>
      <c r="C41" s="15">
        <v>2.8E-3</v>
      </c>
      <c r="D41" s="101" t="s">
        <v>1089</v>
      </c>
    </row>
    <row r="42" spans="2:4" x14ac:dyDescent="0.35">
      <c r="B42" s="18" t="s">
        <v>1090</v>
      </c>
      <c r="C42" s="15">
        <v>1.6199999999999999E-2</v>
      </c>
      <c r="D42" s="101" t="s">
        <v>1091</v>
      </c>
    </row>
    <row r="43" spans="2:4" x14ac:dyDescent="0.35">
      <c r="B43" s="18" t="s">
        <v>1092</v>
      </c>
      <c r="C43" s="15">
        <v>3.5000000000000001E-3</v>
      </c>
      <c r="D43" s="101" t="s">
        <v>1093</v>
      </c>
    </row>
    <row r="44" spans="2:4" x14ac:dyDescent="0.35">
      <c r="B44" s="18" t="s">
        <v>1094</v>
      </c>
      <c r="C44" s="15">
        <v>1</v>
      </c>
      <c r="D44" s="101" t="s">
        <v>1095</v>
      </c>
    </row>
    <row r="45" spans="2:4" x14ac:dyDescent="0.35">
      <c r="B45" s="18" t="s">
        <v>1096</v>
      </c>
      <c r="C45" s="15">
        <v>1.1000000000000001E-3</v>
      </c>
      <c r="D45" s="101" t="s">
        <v>1097</v>
      </c>
    </row>
    <row r="46" spans="2:4" x14ac:dyDescent="0.35">
      <c r="B46" s="18" t="s">
        <v>1098</v>
      </c>
      <c r="C46" s="15">
        <v>2.0299999999999999E-2</v>
      </c>
      <c r="D46" s="101" t="s">
        <v>1099</v>
      </c>
    </row>
    <row r="47" spans="2:4" x14ac:dyDescent="0.35">
      <c r="B47" s="18" t="s">
        <v>1100</v>
      </c>
      <c r="C47" s="15">
        <v>2E-3</v>
      </c>
      <c r="D47" s="101" t="s">
        <v>1101</v>
      </c>
    </row>
    <row r="48" spans="2:4" x14ac:dyDescent="0.35">
      <c r="B48" s="22" t="s">
        <v>1102</v>
      </c>
      <c r="C48" s="23">
        <v>0.1071</v>
      </c>
      <c r="D48" s="101" t="s">
        <v>1103</v>
      </c>
    </row>
    <row r="50" spans="2:4" x14ac:dyDescent="0.35">
      <c r="B50" s="19" t="s">
        <v>1336</v>
      </c>
      <c r="C50" s="20" t="s">
        <v>1337</v>
      </c>
      <c r="D50" s="21" t="s">
        <v>1338</v>
      </c>
    </row>
    <row r="51" spans="2:4" x14ac:dyDescent="0.35">
      <c r="B51" s="18" t="s">
        <v>1339</v>
      </c>
      <c r="C51" s="15">
        <v>220</v>
      </c>
      <c r="D51" s="128" t="s">
        <v>1340</v>
      </c>
    </row>
    <row r="52" spans="2:4" x14ac:dyDescent="0.35">
      <c r="B52" s="18" t="s">
        <v>1341</v>
      </c>
      <c r="C52" s="15">
        <v>44</v>
      </c>
      <c r="D52" s="128" t="s">
        <v>1342</v>
      </c>
    </row>
  </sheetData>
  <pageMargins left="0.7" right="0.7" top="0.75" bottom="0.75" header="0.3" footer="0.3"/>
  <tableParts count="2">
    <tablePart r:id="rId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A8AA0-2D31-46A5-A136-687FD73B74C8}">
  <sheetPr>
    <tabColor rgb="FF125359"/>
  </sheetPr>
  <dimension ref="A1"/>
  <sheetViews>
    <sheetView showGridLines="0" workbookViewId="0"/>
  </sheetViews>
  <sheetFormatPr defaultRowHeight="14.5" x14ac:dyDescent="0.3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22D2C-F91C-4797-9BB5-E3B6C8C52BBA}">
  <sheetPr>
    <tabColor rgb="FFE7EEEE"/>
  </sheetPr>
  <dimension ref="B1:L319"/>
  <sheetViews>
    <sheetView showGridLines="0" zoomScale="80" zoomScaleNormal="80" workbookViewId="0">
      <selection activeCell="F7" sqref="F7"/>
    </sheetView>
  </sheetViews>
  <sheetFormatPr defaultRowHeight="14.5" x14ac:dyDescent="0.35"/>
  <cols>
    <col min="1" max="1" width="2.6328125" style="4" customWidth="1"/>
    <col min="2" max="2" width="40.36328125" style="4" bestFit="1" customWidth="1"/>
    <col min="3" max="3" width="39.81640625" style="4" bestFit="1" customWidth="1"/>
    <col min="4" max="4" width="30.6328125" style="4" customWidth="1"/>
    <col min="5" max="5" width="31.26953125" style="4" customWidth="1"/>
    <col min="6" max="11" width="30.6328125" style="4" customWidth="1"/>
    <col min="12" max="12" width="94.1796875" style="4" bestFit="1" customWidth="1"/>
    <col min="13" max="16384" width="8.7265625" style="4"/>
  </cols>
  <sheetData>
    <row r="1" spans="2:12" s="3" customFormat="1" x14ac:dyDescent="0.35">
      <c r="B1" s="147" t="str">
        <f>const_Company_Name &amp; " Corporate Carbon Footprint Calculation"</f>
        <v>[Ihr Unternehmen] Corporate Carbon Footprint Calculation</v>
      </c>
    </row>
    <row r="2" spans="2:12" s="3" customFormat="1" x14ac:dyDescent="0.35">
      <c r="B2" s="147" t="str">
        <f>"01/01/" &amp; const_Reporting_Year &amp; " - 31/12/" &amp; const_Reporting_Year</f>
        <v>01/01/2025 - 31/12/2025</v>
      </c>
    </row>
    <row r="4" spans="2:12" ht="17" x14ac:dyDescent="0.35">
      <c r="B4" s="41" t="s">
        <v>2575</v>
      </c>
      <c r="C4" s="7"/>
      <c r="D4" s="7"/>
      <c r="E4" s="7"/>
      <c r="F4" s="7"/>
      <c r="G4" s="7"/>
      <c r="H4" s="7"/>
      <c r="I4" s="7"/>
      <c r="J4" s="7"/>
      <c r="K4" s="7"/>
      <c r="L4" s="7"/>
    </row>
    <row r="5" spans="2:12" ht="5" customHeight="1" x14ac:dyDescent="0.35"/>
    <row r="6" spans="2:12" ht="20" customHeight="1" x14ac:dyDescent="0.35">
      <c r="B6" s="28" t="s">
        <v>20</v>
      </c>
      <c r="C6" s="27" t="s">
        <v>22</v>
      </c>
      <c r="D6" s="27" t="s">
        <v>49</v>
      </c>
      <c r="E6" s="28" t="s">
        <v>40</v>
      </c>
      <c r="F6" s="28" t="s">
        <v>41</v>
      </c>
      <c r="G6" s="28" t="s">
        <v>42</v>
      </c>
      <c r="H6" s="28" t="s">
        <v>43</v>
      </c>
      <c r="I6" s="28" t="s">
        <v>44</v>
      </c>
      <c r="J6" s="28" t="s">
        <v>38</v>
      </c>
      <c r="K6" s="28" t="s">
        <v>46</v>
      </c>
      <c r="L6" s="29" t="s">
        <v>47</v>
      </c>
    </row>
    <row r="7" spans="2:12" x14ac:dyDescent="0.35">
      <c r="B7" s="30" t="s">
        <v>3</v>
      </c>
      <c r="C7" s="18" t="s">
        <v>25</v>
      </c>
      <c r="D7" s="18" t="s">
        <v>25</v>
      </c>
      <c r="E7" s="9" t="s">
        <v>39</v>
      </c>
      <c r="F7" s="17">
        <v>0.20269999999999999</v>
      </c>
      <c r="G7" s="17">
        <v>0.20229</v>
      </c>
      <c r="H7" s="17">
        <v>3.1E-4</v>
      </c>
      <c r="I7" s="17">
        <v>1E-4</v>
      </c>
      <c r="J7" s="14" t="s">
        <v>53</v>
      </c>
      <c r="K7" s="14">
        <v>2025</v>
      </c>
      <c r="L7" s="35" t="s">
        <v>54</v>
      </c>
    </row>
    <row r="8" spans="2:12" x14ac:dyDescent="0.35">
      <c r="B8" s="18" t="s">
        <v>3</v>
      </c>
      <c r="C8" s="18" t="s">
        <v>25</v>
      </c>
      <c r="D8" s="18" t="s">
        <v>25</v>
      </c>
      <c r="E8" s="9" t="s">
        <v>48</v>
      </c>
      <c r="F8" s="17">
        <v>2.0667200000000001</v>
      </c>
      <c r="G8" s="17">
        <v>2.0627</v>
      </c>
      <c r="H8" s="17">
        <v>3.0699999999999998E-3</v>
      </c>
      <c r="I8" s="17">
        <v>9.5E-4</v>
      </c>
      <c r="J8" s="14" t="s">
        <v>53</v>
      </c>
      <c r="K8" s="14">
        <v>2025</v>
      </c>
      <c r="L8" s="47" t="s">
        <v>54</v>
      </c>
    </row>
    <row r="9" spans="2:12" x14ac:dyDescent="0.35">
      <c r="B9" s="18" t="s">
        <v>3</v>
      </c>
      <c r="C9" s="18" t="s">
        <v>25</v>
      </c>
      <c r="D9" s="18" t="s">
        <v>25</v>
      </c>
      <c r="E9" s="9" t="s">
        <v>45</v>
      </c>
      <c r="F9" s="17">
        <v>2575.46441</v>
      </c>
      <c r="G9" s="17">
        <v>2570.42</v>
      </c>
      <c r="H9" s="17">
        <v>3.8527999999999998</v>
      </c>
      <c r="I9" s="17">
        <v>1.1916100000000001</v>
      </c>
      <c r="J9" s="14" t="s">
        <v>53</v>
      </c>
      <c r="K9" s="14">
        <v>2025</v>
      </c>
      <c r="L9" s="47" t="s">
        <v>54</v>
      </c>
    </row>
    <row r="10" spans="2:12" x14ac:dyDescent="0.35">
      <c r="B10" s="18" t="s">
        <v>3</v>
      </c>
      <c r="C10" s="18" t="s">
        <v>26</v>
      </c>
      <c r="D10" s="18" t="s">
        <v>50</v>
      </c>
      <c r="E10" s="9" t="s">
        <v>39</v>
      </c>
      <c r="F10" s="17">
        <v>0.20488999999999999</v>
      </c>
      <c r="G10" s="17">
        <v>0.20448</v>
      </c>
      <c r="H10" s="17">
        <v>3.1E-4</v>
      </c>
      <c r="I10" s="17">
        <v>1E-4</v>
      </c>
      <c r="J10" s="14" t="s">
        <v>53</v>
      </c>
      <c r="K10" s="14">
        <v>2025</v>
      </c>
      <c r="L10" s="47" t="s">
        <v>54</v>
      </c>
    </row>
    <row r="11" spans="2:12" x14ac:dyDescent="0.35">
      <c r="B11" s="18" t="s">
        <v>3</v>
      </c>
      <c r="C11" s="18" t="s">
        <v>26</v>
      </c>
      <c r="D11" s="18" t="s">
        <v>50</v>
      </c>
      <c r="E11" s="9" t="s">
        <v>37</v>
      </c>
      <c r="F11" s="17">
        <v>1.17797</v>
      </c>
      <c r="G11" s="17">
        <v>1.1756800000000001</v>
      </c>
      <c r="H11" s="17">
        <v>1.75E-3</v>
      </c>
      <c r="I11" s="17">
        <v>5.4000000000000001E-4</v>
      </c>
      <c r="J11" s="14" t="s">
        <v>53</v>
      </c>
      <c r="K11" s="14">
        <v>2025</v>
      </c>
      <c r="L11" s="47" t="s">
        <v>54</v>
      </c>
    </row>
    <row r="12" spans="2:12" x14ac:dyDescent="0.35">
      <c r="B12" s="18" t="s">
        <v>3</v>
      </c>
      <c r="C12" s="18" t="s">
        <v>26</v>
      </c>
      <c r="D12" s="18" t="s">
        <v>50</v>
      </c>
      <c r="E12" s="9" t="s">
        <v>45</v>
      </c>
      <c r="F12" s="17">
        <v>2603.3044100000002</v>
      </c>
      <c r="G12" s="17">
        <v>2598.2600000000002</v>
      </c>
      <c r="H12" s="17">
        <v>3.8527999999999998</v>
      </c>
      <c r="I12" s="17">
        <v>1.1916100000000001</v>
      </c>
      <c r="J12" s="14" t="s">
        <v>53</v>
      </c>
      <c r="K12" s="14">
        <v>2025</v>
      </c>
      <c r="L12" s="47" t="s">
        <v>54</v>
      </c>
    </row>
    <row r="13" spans="2:12" x14ac:dyDescent="0.35">
      <c r="B13" s="18" t="s">
        <v>3</v>
      </c>
      <c r="C13" s="18" t="s">
        <v>27</v>
      </c>
      <c r="D13" s="18" t="s">
        <v>51</v>
      </c>
      <c r="E13" s="9" t="s">
        <v>39</v>
      </c>
      <c r="F13" s="17">
        <v>0.23032</v>
      </c>
      <c r="G13" s="17">
        <v>0.22999</v>
      </c>
      <c r="H13" s="17">
        <v>2.0000000000000001E-4</v>
      </c>
      <c r="I13" s="17">
        <v>1.2E-4</v>
      </c>
      <c r="J13" s="14" t="s">
        <v>53</v>
      </c>
      <c r="K13" s="14">
        <v>2025</v>
      </c>
      <c r="L13" s="47" t="s">
        <v>54</v>
      </c>
    </row>
    <row r="14" spans="2:12" x14ac:dyDescent="0.35">
      <c r="B14" s="18" t="s">
        <v>3</v>
      </c>
      <c r="C14" s="18" t="s">
        <v>27</v>
      </c>
      <c r="D14" s="18" t="s">
        <v>51</v>
      </c>
      <c r="E14" s="9" t="s">
        <v>37</v>
      </c>
      <c r="F14" s="17">
        <v>1.5571299999999999</v>
      </c>
      <c r="G14" s="17">
        <v>1.55491</v>
      </c>
      <c r="H14" s="17">
        <v>1.3600000000000001E-3</v>
      </c>
      <c r="I14" s="17">
        <v>8.5999999999999998E-4</v>
      </c>
      <c r="J14" s="14" t="s">
        <v>53</v>
      </c>
      <c r="K14" s="14">
        <v>2025</v>
      </c>
      <c r="L14" s="47" t="s">
        <v>54</v>
      </c>
    </row>
    <row r="15" spans="2:12" x14ac:dyDescent="0.35">
      <c r="B15" s="18" t="s">
        <v>3</v>
      </c>
      <c r="C15" s="18" t="s">
        <v>27</v>
      </c>
      <c r="D15" s="18" t="s">
        <v>51</v>
      </c>
      <c r="E15" s="9" t="s">
        <v>45</v>
      </c>
      <c r="F15" s="17">
        <v>2939.3609499999998</v>
      </c>
      <c r="G15" s="17">
        <v>2935.18</v>
      </c>
      <c r="H15" s="17">
        <v>2.5535999999999999</v>
      </c>
      <c r="I15" s="17">
        <v>1.6273500000000001</v>
      </c>
      <c r="J15" s="14" t="s">
        <v>53</v>
      </c>
      <c r="K15" s="14">
        <v>2025</v>
      </c>
      <c r="L15" s="47" t="s">
        <v>54</v>
      </c>
    </row>
    <row r="16" spans="2:12" x14ac:dyDescent="0.35">
      <c r="B16" s="18" t="s">
        <v>3</v>
      </c>
      <c r="C16" s="18" t="s">
        <v>28</v>
      </c>
      <c r="D16" s="18" t="s">
        <v>52</v>
      </c>
      <c r="E16" s="9" t="s">
        <v>39</v>
      </c>
      <c r="F16" s="17">
        <v>0.25666</v>
      </c>
      <c r="G16" s="17">
        <v>0.25135000000000002</v>
      </c>
      <c r="H16" s="17">
        <v>3.1800000000000001E-3</v>
      </c>
      <c r="I16" s="17">
        <v>2.1299999999999999E-3</v>
      </c>
      <c r="J16" s="14" t="s">
        <v>53</v>
      </c>
      <c r="K16" s="14">
        <v>2025</v>
      </c>
      <c r="L16" s="47" t="s">
        <v>54</v>
      </c>
    </row>
    <row r="17" spans="2:12" x14ac:dyDescent="0.35">
      <c r="B17" s="18" t="s">
        <v>3</v>
      </c>
      <c r="C17" s="18" t="s">
        <v>28</v>
      </c>
      <c r="D17" s="18" t="s">
        <v>52</v>
      </c>
      <c r="E17" s="9" t="s">
        <v>37</v>
      </c>
      <c r="F17" s="17">
        <v>2.3311600000000001</v>
      </c>
      <c r="G17" s="17">
        <v>2.2829700000000002</v>
      </c>
      <c r="H17" s="17">
        <v>2.8850000000000001E-2</v>
      </c>
      <c r="I17" s="17">
        <v>1.934E-2</v>
      </c>
      <c r="J17" s="14" t="s">
        <v>53</v>
      </c>
      <c r="K17" s="14">
        <v>2025</v>
      </c>
      <c r="L17" s="47" t="s">
        <v>54</v>
      </c>
    </row>
    <row r="18" spans="2:12" x14ac:dyDescent="0.35">
      <c r="B18" s="18" t="s">
        <v>3</v>
      </c>
      <c r="C18" s="18" t="s">
        <v>28</v>
      </c>
      <c r="D18" s="18" t="s">
        <v>52</v>
      </c>
      <c r="E18" s="9" t="s">
        <v>45</v>
      </c>
      <c r="F18" s="17">
        <v>3193.6948000000002</v>
      </c>
      <c r="G18" s="17">
        <v>3127.67</v>
      </c>
      <c r="H18" s="17">
        <v>39.524799999999999</v>
      </c>
      <c r="I18" s="17">
        <v>26.5</v>
      </c>
      <c r="J18" s="14" t="s">
        <v>53</v>
      </c>
      <c r="K18" s="14">
        <v>2025</v>
      </c>
      <c r="L18" s="47" t="s">
        <v>54</v>
      </c>
    </row>
    <row r="19" spans="2:12" x14ac:dyDescent="0.35">
      <c r="B19" s="18" t="s">
        <v>3</v>
      </c>
      <c r="C19" s="18" t="s">
        <v>30</v>
      </c>
      <c r="D19" s="18" t="s">
        <v>30</v>
      </c>
      <c r="E19" s="9" t="s">
        <v>39</v>
      </c>
      <c r="F19" s="17">
        <v>0.23258000000000001</v>
      </c>
      <c r="G19" s="17">
        <v>0.23225000000000001</v>
      </c>
      <c r="H19" s="17">
        <v>2.0000000000000001E-4</v>
      </c>
      <c r="I19" s="17">
        <v>1.2E-4</v>
      </c>
      <c r="J19" s="14" t="s">
        <v>53</v>
      </c>
      <c r="K19" s="14">
        <v>2025</v>
      </c>
      <c r="L19" s="47" t="s">
        <v>54</v>
      </c>
    </row>
    <row r="20" spans="2:12" x14ac:dyDescent="0.35">
      <c r="B20" s="18" t="s">
        <v>3</v>
      </c>
      <c r="C20" s="18" t="s">
        <v>30</v>
      </c>
      <c r="D20" s="18" t="s">
        <v>30</v>
      </c>
      <c r="E20" s="9" t="s">
        <v>37</v>
      </c>
      <c r="F20" s="17">
        <v>1.54358</v>
      </c>
      <c r="G20" s="17">
        <v>1.5414000000000001</v>
      </c>
      <c r="H20" s="17">
        <v>1.33E-3</v>
      </c>
      <c r="I20" s="17">
        <v>8.4000000000000003E-4</v>
      </c>
      <c r="J20" s="14" t="s">
        <v>53</v>
      </c>
      <c r="K20" s="14">
        <v>2025</v>
      </c>
      <c r="L20" s="47" t="s">
        <v>54</v>
      </c>
    </row>
    <row r="21" spans="2:12" x14ac:dyDescent="0.35">
      <c r="B21" s="18" t="s">
        <v>3</v>
      </c>
      <c r="C21" s="18" t="s">
        <v>30</v>
      </c>
      <c r="D21" s="18" t="s">
        <v>30</v>
      </c>
      <c r="E21" s="9" t="s">
        <v>45</v>
      </c>
      <c r="F21" s="17">
        <v>2997.6323299999999</v>
      </c>
      <c r="G21" s="17">
        <v>2993.4</v>
      </c>
      <c r="H21" s="17">
        <v>2.5872000000000002</v>
      </c>
      <c r="I21" s="17">
        <v>1.64513</v>
      </c>
      <c r="J21" s="14" t="s">
        <v>53</v>
      </c>
      <c r="K21" s="14">
        <v>2025</v>
      </c>
      <c r="L21" s="47" t="s">
        <v>54</v>
      </c>
    </row>
    <row r="22" spans="2:12" x14ac:dyDescent="0.35">
      <c r="B22" s="18" t="s">
        <v>3</v>
      </c>
      <c r="C22" s="18" t="s">
        <v>66</v>
      </c>
      <c r="D22" s="18" t="s">
        <v>84</v>
      </c>
      <c r="E22" s="9" t="s">
        <v>39</v>
      </c>
      <c r="F22" s="17">
        <v>0.26807999999999998</v>
      </c>
      <c r="G22" s="17">
        <v>0.26474999999999999</v>
      </c>
      <c r="H22" s="17">
        <v>3.0000000000000001E-5</v>
      </c>
      <c r="I22" s="17">
        <v>3.3E-3</v>
      </c>
      <c r="J22" s="14" t="s">
        <v>53</v>
      </c>
      <c r="K22" s="14">
        <v>2025</v>
      </c>
      <c r="L22" s="47" t="s">
        <v>54</v>
      </c>
    </row>
    <row r="23" spans="2:12" x14ac:dyDescent="0.35">
      <c r="B23" s="18" t="s">
        <v>3</v>
      </c>
      <c r="C23" s="18" t="s">
        <v>66</v>
      </c>
      <c r="D23" s="18" t="s">
        <v>84</v>
      </c>
      <c r="E23" s="9" t="s">
        <v>37</v>
      </c>
      <c r="F23" s="17">
        <v>2.6615500000000001</v>
      </c>
      <c r="G23" s="17">
        <v>2.62818</v>
      </c>
      <c r="H23" s="17">
        <v>2.9E-4</v>
      </c>
      <c r="I23" s="17">
        <v>3.3079999999999998E-2</v>
      </c>
      <c r="J23" s="14" t="s">
        <v>53</v>
      </c>
      <c r="K23" s="14">
        <v>2025</v>
      </c>
      <c r="L23" s="47" t="s">
        <v>54</v>
      </c>
    </row>
    <row r="24" spans="2:12" x14ac:dyDescent="0.35">
      <c r="B24" s="18" t="s">
        <v>3</v>
      </c>
      <c r="C24" s="18" t="s">
        <v>66</v>
      </c>
      <c r="D24" s="18" t="s">
        <v>84</v>
      </c>
      <c r="E24" s="9" t="s">
        <v>45</v>
      </c>
      <c r="F24" s="17">
        <v>3203.9114300000001</v>
      </c>
      <c r="G24" s="17">
        <v>3164.33</v>
      </c>
      <c r="H24" s="17">
        <v>0.34720000000000001</v>
      </c>
      <c r="I24" s="17">
        <v>39.234229999999997</v>
      </c>
      <c r="J24" s="14" t="s">
        <v>53</v>
      </c>
      <c r="K24" s="14">
        <v>2025</v>
      </c>
      <c r="L24" s="47" t="s">
        <v>54</v>
      </c>
    </row>
    <row r="25" spans="2:12" x14ac:dyDescent="0.35">
      <c r="B25" s="18" t="s">
        <v>3</v>
      </c>
      <c r="C25" s="18" t="s">
        <v>67</v>
      </c>
      <c r="D25" s="18" t="s">
        <v>77</v>
      </c>
      <c r="E25" s="9" t="s">
        <v>39</v>
      </c>
      <c r="F25" s="17">
        <v>0.25430999999999998</v>
      </c>
      <c r="G25" s="17">
        <v>0.25275999999999998</v>
      </c>
      <c r="H25" s="17">
        <v>8.9999999999999998E-4</v>
      </c>
      <c r="I25" s="17">
        <v>6.4999999999999997E-4</v>
      </c>
      <c r="J25" s="14" t="s">
        <v>53</v>
      </c>
      <c r="K25" s="14">
        <v>2025</v>
      </c>
      <c r="L25" s="47" t="s">
        <v>54</v>
      </c>
    </row>
    <row r="26" spans="2:12" x14ac:dyDescent="0.35">
      <c r="B26" s="18" t="s">
        <v>3</v>
      </c>
      <c r="C26" s="18" t="s">
        <v>67</v>
      </c>
      <c r="D26" s="18" t="s">
        <v>77</v>
      </c>
      <c r="E26" s="9" t="s">
        <v>37</v>
      </c>
      <c r="F26" s="17">
        <v>2.3398400000000001</v>
      </c>
      <c r="G26" s="17">
        <v>2.3256700000000001</v>
      </c>
      <c r="H26" s="17">
        <v>8.2000000000000007E-3</v>
      </c>
      <c r="I26" s="17">
        <v>5.9699999999999996E-3</v>
      </c>
      <c r="J26" s="14" t="s">
        <v>53</v>
      </c>
      <c r="K26" s="14">
        <v>2025</v>
      </c>
      <c r="L26" s="47" t="s">
        <v>54</v>
      </c>
    </row>
    <row r="27" spans="2:12" x14ac:dyDescent="0.35">
      <c r="B27" s="18" t="s">
        <v>3</v>
      </c>
      <c r="C27" s="18" t="s">
        <v>67</v>
      </c>
      <c r="D27" s="18" t="s">
        <v>77</v>
      </c>
      <c r="E27" s="9" t="s">
        <v>45</v>
      </c>
      <c r="F27" s="17">
        <v>3154.0821299999998</v>
      </c>
      <c r="G27" s="17">
        <v>3135</v>
      </c>
      <c r="H27" s="17">
        <v>11.043200000000001</v>
      </c>
      <c r="I27" s="17">
        <v>8.0389300000000006</v>
      </c>
      <c r="J27" s="14" t="s">
        <v>53</v>
      </c>
      <c r="K27" s="14">
        <v>2025</v>
      </c>
      <c r="L27" s="47" t="s">
        <v>54</v>
      </c>
    </row>
    <row r="28" spans="2:12" x14ac:dyDescent="0.35">
      <c r="B28" s="18" t="s">
        <v>3</v>
      </c>
      <c r="C28" s="18" t="s">
        <v>29</v>
      </c>
      <c r="D28" s="18" t="s">
        <v>29</v>
      </c>
      <c r="E28" s="9" t="s">
        <v>39</v>
      </c>
      <c r="F28" s="17">
        <v>0.33944000000000002</v>
      </c>
      <c r="G28" s="17">
        <v>0.33595000000000003</v>
      </c>
      <c r="H28" s="17">
        <v>1.09E-3</v>
      </c>
      <c r="I28" s="17">
        <v>2.3999999999999998E-3</v>
      </c>
      <c r="J28" s="14" t="s">
        <v>53</v>
      </c>
      <c r="K28" s="14">
        <v>2025</v>
      </c>
      <c r="L28" s="47" t="s">
        <v>54</v>
      </c>
    </row>
    <row r="29" spans="2:12" ht="15" thickBot="1" x14ac:dyDescent="0.4">
      <c r="B29" s="32" t="s">
        <v>3</v>
      </c>
      <c r="C29" s="32" t="s">
        <v>29</v>
      </c>
      <c r="D29" s="32" t="s">
        <v>29</v>
      </c>
      <c r="E29" s="33" t="s">
        <v>45</v>
      </c>
      <c r="F29" s="38">
        <v>2395.2899400000001</v>
      </c>
      <c r="G29" s="38">
        <v>2370.7199999999998</v>
      </c>
      <c r="H29" s="38">
        <v>7.6383999999999999</v>
      </c>
      <c r="I29" s="38">
        <v>16.931539999999998</v>
      </c>
      <c r="J29" s="46" t="s">
        <v>53</v>
      </c>
      <c r="K29" s="46">
        <v>2025</v>
      </c>
      <c r="L29" s="49" t="s">
        <v>54</v>
      </c>
    </row>
    <row r="30" spans="2:12" ht="15" thickTop="1" x14ac:dyDescent="0.35">
      <c r="B30" s="30" t="s">
        <v>12</v>
      </c>
      <c r="C30" s="30" t="s">
        <v>25</v>
      </c>
      <c r="D30" s="18" t="s">
        <v>25</v>
      </c>
      <c r="E30" s="9" t="s">
        <v>39</v>
      </c>
      <c r="F30" s="37">
        <v>3.347E-2</v>
      </c>
      <c r="G30" s="37"/>
      <c r="H30" s="37"/>
      <c r="I30" s="37"/>
      <c r="J30" s="51" t="s">
        <v>53</v>
      </c>
      <c r="K30" s="51">
        <v>2025</v>
      </c>
      <c r="L30" s="40" t="s">
        <v>54</v>
      </c>
    </row>
    <row r="31" spans="2:12" x14ac:dyDescent="0.35">
      <c r="B31" s="18" t="s">
        <v>12</v>
      </c>
      <c r="C31" s="18" t="s">
        <v>25</v>
      </c>
      <c r="D31" s="18" t="s">
        <v>25</v>
      </c>
      <c r="E31" s="9" t="s">
        <v>48</v>
      </c>
      <c r="F31" s="17">
        <v>0.33660000000000001</v>
      </c>
      <c r="G31" s="17"/>
      <c r="H31" s="17"/>
      <c r="I31" s="17"/>
      <c r="J31" s="14" t="s">
        <v>53</v>
      </c>
      <c r="K31" s="14">
        <v>2025</v>
      </c>
      <c r="L31" s="47" t="s">
        <v>54</v>
      </c>
    </row>
    <row r="32" spans="2:12" x14ac:dyDescent="0.35">
      <c r="B32" s="18" t="s">
        <v>12</v>
      </c>
      <c r="C32" s="18" t="s">
        <v>25</v>
      </c>
      <c r="D32" s="18" t="s">
        <v>25</v>
      </c>
      <c r="E32" s="9" t="s">
        <v>45</v>
      </c>
      <c r="F32" s="17">
        <v>423.16368</v>
      </c>
      <c r="G32" s="17"/>
      <c r="H32" s="17"/>
      <c r="I32" s="17"/>
      <c r="J32" s="14" t="s">
        <v>53</v>
      </c>
      <c r="K32" s="14">
        <v>2025</v>
      </c>
      <c r="L32" s="47" t="s">
        <v>54</v>
      </c>
    </row>
    <row r="33" spans="2:12" x14ac:dyDescent="0.35">
      <c r="B33" s="18" t="s">
        <v>12</v>
      </c>
      <c r="C33" s="18" t="s">
        <v>26</v>
      </c>
      <c r="D33" s="18" t="s">
        <v>50</v>
      </c>
      <c r="E33" s="9" t="s">
        <v>39</v>
      </c>
      <c r="F33" s="17">
        <v>7.2139999999999996E-2</v>
      </c>
      <c r="G33" s="17"/>
      <c r="H33" s="17"/>
      <c r="I33" s="17"/>
      <c r="J33" s="14" t="s">
        <v>53</v>
      </c>
      <c r="K33" s="14">
        <v>2025</v>
      </c>
      <c r="L33" s="47" t="s">
        <v>54</v>
      </c>
    </row>
    <row r="34" spans="2:12" x14ac:dyDescent="0.35">
      <c r="B34" s="18" t="s">
        <v>12</v>
      </c>
      <c r="C34" s="18" t="s">
        <v>26</v>
      </c>
      <c r="D34" s="18" t="s">
        <v>50</v>
      </c>
      <c r="E34" s="9" t="s">
        <v>37</v>
      </c>
      <c r="F34" s="17">
        <v>0.41277000000000003</v>
      </c>
      <c r="G34" s="17"/>
      <c r="H34" s="17"/>
      <c r="I34" s="17"/>
      <c r="J34" s="14" t="s">
        <v>53</v>
      </c>
      <c r="K34" s="14">
        <v>2025</v>
      </c>
      <c r="L34" s="47" t="s">
        <v>54</v>
      </c>
    </row>
    <row r="35" spans="2:12" x14ac:dyDescent="0.35">
      <c r="B35" s="18" t="s">
        <v>12</v>
      </c>
      <c r="C35" s="18" t="s">
        <v>26</v>
      </c>
      <c r="D35" s="18" t="s">
        <v>50</v>
      </c>
      <c r="E35" s="9" t="s">
        <v>45</v>
      </c>
      <c r="F35" s="17">
        <v>912.22816999999998</v>
      </c>
      <c r="G35" s="17"/>
      <c r="H35" s="17"/>
      <c r="I35" s="17"/>
      <c r="J35" s="14" t="s">
        <v>53</v>
      </c>
      <c r="K35" s="14">
        <v>2025</v>
      </c>
      <c r="L35" s="47" t="s">
        <v>54</v>
      </c>
    </row>
    <row r="36" spans="2:12" x14ac:dyDescent="0.35">
      <c r="B36" s="18" t="s">
        <v>12</v>
      </c>
      <c r="C36" s="18" t="s">
        <v>27</v>
      </c>
      <c r="D36" s="18" t="s">
        <v>51</v>
      </c>
      <c r="E36" s="9" t="s">
        <v>39</v>
      </c>
      <c r="F36" s="17">
        <v>2.7359999999999999E-2</v>
      </c>
      <c r="G36" s="17"/>
      <c r="H36" s="17"/>
      <c r="I36" s="17"/>
      <c r="J36" s="14" t="s">
        <v>53</v>
      </c>
      <c r="K36" s="14">
        <v>2025</v>
      </c>
      <c r="L36" s="47" t="s">
        <v>54</v>
      </c>
    </row>
    <row r="37" spans="2:12" x14ac:dyDescent="0.35">
      <c r="B37" s="18" t="s">
        <v>12</v>
      </c>
      <c r="C37" s="18" t="s">
        <v>27</v>
      </c>
      <c r="D37" s="18" t="s">
        <v>51</v>
      </c>
      <c r="E37" s="9" t="s">
        <v>37</v>
      </c>
      <c r="F37" s="17">
        <v>0.18551000000000001</v>
      </c>
      <c r="G37" s="17"/>
      <c r="H37" s="17"/>
      <c r="I37" s="17"/>
      <c r="J37" s="14" t="s">
        <v>53</v>
      </c>
      <c r="K37" s="14">
        <v>2025</v>
      </c>
      <c r="L37" s="47" t="s">
        <v>54</v>
      </c>
    </row>
    <row r="38" spans="2:12" x14ac:dyDescent="0.35">
      <c r="B38" s="18" t="s">
        <v>12</v>
      </c>
      <c r="C38" s="18" t="s">
        <v>27</v>
      </c>
      <c r="D38" s="18" t="s">
        <v>51</v>
      </c>
      <c r="E38" s="9" t="s">
        <v>45</v>
      </c>
      <c r="F38" s="17">
        <v>349.29282000000001</v>
      </c>
      <c r="G38" s="17"/>
      <c r="H38" s="17"/>
      <c r="I38" s="17"/>
      <c r="J38" s="14" t="s">
        <v>53</v>
      </c>
      <c r="K38" s="14">
        <v>2025</v>
      </c>
      <c r="L38" s="47" t="s">
        <v>54</v>
      </c>
    </row>
    <row r="39" spans="2:12" x14ac:dyDescent="0.35">
      <c r="B39" s="18" t="s">
        <v>12</v>
      </c>
      <c r="C39" s="18" t="s">
        <v>28</v>
      </c>
      <c r="D39" s="18" t="s">
        <v>52</v>
      </c>
      <c r="E39" s="9" t="s">
        <v>39</v>
      </c>
      <c r="F39" s="17">
        <v>6.5820000000000004E-2</v>
      </c>
      <c r="G39" s="17"/>
      <c r="H39" s="17"/>
      <c r="I39" s="17"/>
      <c r="J39" s="14" t="s">
        <v>53</v>
      </c>
      <c r="K39" s="14">
        <v>2025</v>
      </c>
      <c r="L39" s="47" t="s">
        <v>54</v>
      </c>
    </row>
    <row r="40" spans="2:12" x14ac:dyDescent="0.35">
      <c r="B40" s="18" t="s">
        <v>12</v>
      </c>
      <c r="C40" s="18" t="s">
        <v>28</v>
      </c>
      <c r="D40" s="18" t="s">
        <v>52</v>
      </c>
      <c r="E40" s="9" t="s">
        <v>37</v>
      </c>
      <c r="F40" s="17">
        <v>0.61424999999999996</v>
      </c>
      <c r="G40" s="17"/>
      <c r="H40" s="17"/>
      <c r="I40" s="17"/>
      <c r="J40" s="14" t="s">
        <v>53</v>
      </c>
      <c r="K40" s="14">
        <v>2025</v>
      </c>
      <c r="L40" s="47" t="s">
        <v>54</v>
      </c>
    </row>
    <row r="41" spans="2:12" x14ac:dyDescent="0.35">
      <c r="B41" s="18" t="s">
        <v>12</v>
      </c>
      <c r="C41" s="18" t="s">
        <v>28</v>
      </c>
      <c r="D41" s="18" t="s">
        <v>52</v>
      </c>
      <c r="E41" s="9" t="s">
        <v>45</v>
      </c>
      <c r="F41" s="17">
        <v>813.26356999999996</v>
      </c>
      <c r="G41" s="17"/>
      <c r="H41" s="17"/>
      <c r="I41" s="17"/>
      <c r="J41" s="14" t="s">
        <v>53</v>
      </c>
      <c r="K41" s="14">
        <v>2025</v>
      </c>
      <c r="L41" s="47" t="s">
        <v>54</v>
      </c>
    </row>
    <row r="42" spans="2:12" x14ac:dyDescent="0.35">
      <c r="B42" s="18" t="s">
        <v>12</v>
      </c>
      <c r="C42" s="18" t="s">
        <v>30</v>
      </c>
      <c r="D42" s="18" t="s">
        <v>30</v>
      </c>
      <c r="E42" s="9" t="s">
        <v>39</v>
      </c>
      <c r="F42" s="17">
        <v>2.7359999999999999E-2</v>
      </c>
      <c r="G42" s="17"/>
      <c r="H42" s="17"/>
      <c r="I42" s="17"/>
      <c r="J42" s="14" t="s">
        <v>53</v>
      </c>
      <c r="K42" s="14">
        <v>2025</v>
      </c>
      <c r="L42" s="47" t="s">
        <v>54</v>
      </c>
    </row>
    <row r="43" spans="2:12" x14ac:dyDescent="0.35">
      <c r="B43" s="18" t="s">
        <v>12</v>
      </c>
      <c r="C43" s="18" t="s">
        <v>30</v>
      </c>
      <c r="D43" s="18" t="s">
        <v>30</v>
      </c>
      <c r="E43" s="9" t="s">
        <v>37</v>
      </c>
      <c r="F43" s="17">
        <v>0.1817</v>
      </c>
      <c r="G43" s="17"/>
      <c r="H43" s="17"/>
      <c r="I43" s="17"/>
      <c r="J43" s="14" t="s">
        <v>53</v>
      </c>
      <c r="K43" s="14">
        <v>2025</v>
      </c>
      <c r="L43" s="47" t="s">
        <v>54</v>
      </c>
    </row>
    <row r="44" spans="2:12" x14ac:dyDescent="0.35">
      <c r="B44" s="18" t="s">
        <v>12</v>
      </c>
      <c r="C44" s="18" t="s">
        <v>30</v>
      </c>
      <c r="D44" s="18" t="s">
        <v>30</v>
      </c>
      <c r="E44" s="9" t="s">
        <v>45</v>
      </c>
      <c r="F44" s="17">
        <v>352.67018000000002</v>
      </c>
      <c r="G44" s="17"/>
      <c r="H44" s="17"/>
      <c r="I44" s="17"/>
      <c r="J44" s="14" t="s">
        <v>53</v>
      </c>
      <c r="K44" s="14">
        <v>2025</v>
      </c>
      <c r="L44" s="47" t="s">
        <v>54</v>
      </c>
    </row>
    <row r="45" spans="2:12" x14ac:dyDescent="0.35">
      <c r="B45" s="18" t="s">
        <v>12</v>
      </c>
      <c r="C45" s="18" t="s">
        <v>66</v>
      </c>
      <c r="D45" s="18" t="s">
        <v>84</v>
      </c>
      <c r="E45" s="9" t="s">
        <v>39</v>
      </c>
      <c r="F45" s="17">
        <v>6.2909999999999994E-2</v>
      </c>
      <c r="G45" s="17"/>
      <c r="H45" s="17"/>
      <c r="I45" s="17"/>
      <c r="J45" s="14" t="s">
        <v>53</v>
      </c>
      <c r="K45" s="14">
        <v>2025</v>
      </c>
      <c r="L45" s="47" t="s">
        <v>54</v>
      </c>
    </row>
    <row r="46" spans="2:12" x14ac:dyDescent="0.35">
      <c r="B46" s="18" t="s">
        <v>12</v>
      </c>
      <c r="C46" s="18" t="s">
        <v>66</v>
      </c>
      <c r="D46" s="18" t="s">
        <v>84</v>
      </c>
      <c r="E46" s="9" t="s">
        <v>37</v>
      </c>
      <c r="F46" s="17">
        <v>0.62409000000000003</v>
      </c>
      <c r="G46" s="17"/>
      <c r="H46" s="17"/>
      <c r="I46" s="17"/>
      <c r="J46" s="14" t="s">
        <v>53</v>
      </c>
      <c r="K46" s="14">
        <v>2025</v>
      </c>
      <c r="L46" s="47" t="s">
        <v>54</v>
      </c>
    </row>
    <row r="47" spans="2:12" x14ac:dyDescent="0.35">
      <c r="B47" s="18" t="s">
        <v>12</v>
      </c>
      <c r="C47" s="18" t="s">
        <v>66</v>
      </c>
      <c r="D47" s="18" t="s">
        <v>84</v>
      </c>
      <c r="E47" s="9" t="s">
        <v>45</v>
      </c>
      <c r="F47" s="17">
        <v>752.02760000000001</v>
      </c>
      <c r="G47" s="17"/>
      <c r="H47" s="17"/>
      <c r="I47" s="17"/>
      <c r="J47" s="14" t="s">
        <v>53</v>
      </c>
      <c r="K47" s="14">
        <v>2025</v>
      </c>
      <c r="L47" s="47" t="s">
        <v>54</v>
      </c>
    </row>
    <row r="48" spans="2:12" x14ac:dyDescent="0.35">
      <c r="B48" s="18" t="s">
        <v>12</v>
      </c>
      <c r="C48" s="18" t="s">
        <v>67</v>
      </c>
      <c r="D48" s="18" t="s">
        <v>77</v>
      </c>
      <c r="E48" s="9" t="s">
        <v>39</v>
      </c>
      <c r="F48" s="17">
        <v>6.5820000000000004E-2</v>
      </c>
      <c r="G48" s="17"/>
      <c r="H48" s="17"/>
      <c r="I48" s="17"/>
      <c r="J48" s="14" t="s">
        <v>53</v>
      </c>
      <c r="K48" s="14">
        <v>2025</v>
      </c>
      <c r="L48" s="47" t="s">
        <v>54</v>
      </c>
    </row>
    <row r="49" spans="2:12" x14ac:dyDescent="0.35">
      <c r="B49" s="18" t="s">
        <v>12</v>
      </c>
      <c r="C49" s="18" t="s">
        <v>67</v>
      </c>
      <c r="D49" s="18" t="s">
        <v>77</v>
      </c>
      <c r="E49" s="9" t="s">
        <v>37</v>
      </c>
      <c r="F49" s="17">
        <v>0.60663999999999996</v>
      </c>
      <c r="G49" s="17"/>
      <c r="H49" s="17"/>
      <c r="I49" s="17"/>
      <c r="J49" s="14" t="s">
        <v>53</v>
      </c>
      <c r="K49" s="14">
        <v>2025</v>
      </c>
      <c r="L49" s="47" t="s">
        <v>54</v>
      </c>
    </row>
    <row r="50" spans="2:12" x14ac:dyDescent="0.35">
      <c r="B50" s="18" t="s">
        <v>12</v>
      </c>
      <c r="C50" s="18" t="s">
        <v>67</v>
      </c>
      <c r="D50" s="18" t="s">
        <v>77</v>
      </c>
      <c r="E50" s="9" t="s">
        <v>45</v>
      </c>
      <c r="F50" s="17">
        <v>815.93523000000005</v>
      </c>
      <c r="G50" s="17"/>
      <c r="H50" s="17"/>
      <c r="I50" s="17"/>
      <c r="J50" s="14" t="s">
        <v>53</v>
      </c>
      <c r="K50" s="14">
        <v>2025</v>
      </c>
      <c r="L50" s="47" t="s">
        <v>54</v>
      </c>
    </row>
    <row r="51" spans="2:12" x14ac:dyDescent="0.35">
      <c r="B51" s="18" t="s">
        <v>12</v>
      </c>
      <c r="C51" s="18" t="s">
        <v>29</v>
      </c>
      <c r="D51" s="18" t="s">
        <v>55</v>
      </c>
      <c r="E51" s="9" t="s">
        <v>39</v>
      </c>
      <c r="F51" s="17">
        <v>5.9249999999999997E-2</v>
      </c>
      <c r="G51" s="17"/>
      <c r="H51" s="17"/>
      <c r="I51" s="17"/>
      <c r="J51" s="14" t="s">
        <v>53</v>
      </c>
      <c r="K51" s="14">
        <v>2025</v>
      </c>
      <c r="L51" s="47" t="s">
        <v>54</v>
      </c>
    </row>
    <row r="52" spans="2:12" ht="15" thickBot="1" x14ac:dyDescent="0.4">
      <c r="B52" s="18" t="s">
        <v>12</v>
      </c>
      <c r="C52" s="18" t="s">
        <v>29</v>
      </c>
      <c r="D52" s="32" t="s">
        <v>55</v>
      </c>
      <c r="E52" s="33" t="s">
        <v>45</v>
      </c>
      <c r="F52" s="17">
        <v>418.14963999999998</v>
      </c>
      <c r="G52" s="17"/>
      <c r="H52" s="17"/>
      <c r="I52" s="17"/>
      <c r="J52" s="14" t="s">
        <v>53</v>
      </c>
      <c r="K52" s="14">
        <v>2025</v>
      </c>
      <c r="L52" s="47" t="s">
        <v>54</v>
      </c>
    </row>
    <row r="53" spans="2:12" s="12" customFormat="1" ht="15.5" thickTop="1" thickBot="1" x14ac:dyDescent="0.4"/>
    <row r="54" spans="2:12" ht="15" thickTop="1" x14ac:dyDescent="0.35"/>
    <row r="55" spans="2:12" ht="17" x14ac:dyDescent="0.35">
      <c r="B55" s="41" t="s">
        <v>2576</v>
      </c>
      <c r="C55" s="7"/>
      <c r="D55" s="7"/>
      <c r="E55" s="7"/>
      <c r="F55" s="7"/>
      <c r="G55" s="7"/>
      <c r="H55" s="7"/>
      <c r="I55" s="7"/>
      <c r="J55" s="7"/>
      <c r="K55" s="7"/>
      <c r="L55" s="7"/>
    </row>
    <row r="57" spans="2:12" x14ac:dyDescent="0.35">
      <c r="B57" s="28" t="s">
        <v>20</v>
      </c>
      <c r="C57" s="27" t="s">
        <v>76</v>
      </c>
      <c r="D57" s="27" t="s">
        <v>40</v>
      </c>
      <c r="E57" s="28" t="s">
        <v>231</v>
      </c>
      <c r="F57" s="28" t="s">
        <v>41</v>
      </c>
      <c r="G57" s="28" t="s">
        <v>42</v>
      </c>
      <c r="H57" s="28" t="s">
        <v>43</v>
      </c>
      <c r="I57" s="28" t="s">
        <v>44</v>
      </c>
      <c r="J57" s="28" t="s">
        <v>38</v>
      </c>
      <c r="K57" s="28" t="s">
        <v>46</v>
      </c>
      <c r="L57" s="29" t="s">
        <v>47</v>
      </c>
    </row>
    <row r="58" spans="2:12" x14ac:dyDescent="0.35">
      <c r="B58" s="9" t="s">
        <v>4</v>
      </c>
      <c r="C58" s="9" t="s">
        <v>230</v>
      </c>
      <c r="D58" s="9" t="s">
        <v>72</v>
      </c>
      <c r="E58" s="57">
        <v>0</v>
      </c>
      <c r="F58" s="17">
        <v>0.46138000000000001</v>
      </c>
      <c r="G58" s="17">
        <v>0.45595000000000002</v>
      </c>
      <c r="H58" s="17">
        <v>1.1E-4</v>
      </c>
      <c r="I58" s="17">
        <v>5.3200000000000001E-3</v>
      </c>
      <c r="J58" s="14" t="s">
        <v>53</v>
      </c>
      <c r="K58" s="14">
        <v>2025</v>
      </c>
      <c r="L58" s="35" t="s">
        <v>54</v>
      </c>
    </row>
    <row r="59" spans="2:12" x14ac:dyDescent="0.35">
      <c r="B59" s="9" t="s">
        <v>4</v>
      </c>
      <c r="C59" s="9" t="s">
        <v>230</v>
      </c>
      <c r="D59" s="9" t="s">
        <v>72</v>
      </c>
      <c r="E59" s="57">
        <v>0.5</v>
      </c>
      <c r="F59" s="17">
        <v>0.50102999999999998</v>
      </c>
      <c r="G59" s="17">
        <v>0.49559999999999998</v>
      </c>
      <c r="H59" s="17">
        <v>1.1E-4</v>
      </c>
      <c r="I59" s="17">
        <v>5.3200000000000001E-3</v>
      </c>
      <c r="J59" s="14" t="s">
        <v>53</v>
      </c>
      <c r="K59" s="14">
        <v>2025</v>
      </c>
      <c r="L59" s="48" t="s">
        <v>54</v>
      </c>
    </row>
    <row r="60" spans="2:12" x14ac:dyDescent="0.35">
      <c r="B60" s="9" t="s">
        <v>4</v>
      </c>
      <c r="C60" s="9" t="s">
        <v>230</v>
      </c>
      <c r="D60" s="9" t="s">
        <v>72</v>
      </c>
      <c r="E60" s="57">
        <v>1</v>
      </c>
      <c r="F60" s="17">
        <v>0.54068000000000005</v>
      </c>
      <c r="G60" s="17">
        <v>0.53525</v>
      </c>
      <c r="H60" s="17">
        <v>1.1E-4</v>
      </c>
      <c r="I60" s="17">
        <v>5.3200000000000001E-3</v>
      </c>
      <c r="J60" s="14" t="s">
        <v>53</v>
      </c>
      <c r="K60" s="14">
        <v>2025</v>
      </c>
      <c r="L60" s="48" t="s">
        <v>54</v>
      </c>
    </row>
    <row r="61" spans="2:12" x14ac:dyDescent="0.35">
      <c r="B61" s="9" t="s">
        <v>4</v>
      </c>
      <c r="C61" s="9" t="s">
        <v>230</v>
      </c>
      <c r="D61" s="9" t="s">
        <v>72</v>
      </c>
      <c r="E61" s="9" t="s">
        <v>80</v>
      </c>
      <c r="F61" s="17">
        <v>0.49547999999999998</v>
      </c>
      <c r="G61" s="17">
        <v>0.49004999999999999</v>
      </c>
      <c r="H61" s="17">
        <v>1.1E-4</v>
      </c>
      <c r="I61" s="17">
        <v>5.3200000000000001E-3</v>
      </c>
      <c r="J61" s="14" t="s">
        <v>53</v>
      </c>
      <c r="K61" s="14">
        <v>2025</v>
      </c>
      <c r="L61" s="48" t="s">
        <v>54</v>
      </c>
    </row>
    <row r="62" spans="2:12" x14ac:dyDescent="0.35">
      <c r="B62" s="9" t="s">
        <v>4</v>
      </c>
      <c r="C62" s="9" t="s">
        <v>232</v>
      </c>
      <c r="D62" s="9" t="s">
        <v>72</v>
      </c>
      <c r="E62" s="57">
        <v>0</v>
      </c>
      <c r="F62" s="17">
        <v>0.55061000000000004</v>
      </c>
      <c r="G62" s="17">
        <v>0.54398999999999997</v>
      </c>
      <c r="H62" s="17">
        <v>1.2999999999999999E-4</v>
      </c>
      <c r="I62" s="17">
        <v>6.4799999999999996E-3</v>
      </c>
      <c r="J62" s="14" t="s">
        <v>53</v>
      </c>
      <c r="K62" s="14">
        <v>2025</v>
      </c>
      <c r="L62" s="48" t="s">
        <v>54</v>
      </c>
    </row>
    <row r="63" spans="2:12" x14ac:dyDescent="0.35">
      <c r="B63" s="9" t="s">
        <v>4</v>
      </c>
      <c r="C63" s="9" t="s">
        <v>232</v>
      </c>
      <c r="D63" s="9" t="s">
        <v>72</v>
      </c>
      <c r="E63" s="57">
        <v>0.5</v>
      </c>
      <c r="F63" s="17">
        <v>0.62831999999999999</v>
      </c>
      <c r="G63" s="17">
        <v>0.62170000000000003</v>
      </c>
      <c r="H63" s="17">
        <v>1.2999999999999999E-4</v>
      </c>
      <c r="I63" s="17">
        <v>6.4799999999999996E-3</v>
      </c>
      <c r="J63" s="14" t="s">
        <v>53</v>
      </c>
      <c r="K63" s="14">
        <v>2025</v>
      </c>
      <c r="L63" s="48" t="s">
        <v>54</v>
      </c>
    </row>
    <row r="64" spans="2:12" x14ac:dyDescent="0.35">
      <c r="B64" s="9" t="s">
        <v>4</v>
      </c>
      <c r="C64" s="9" t="s">
        <v>232</v>
      </c>
      <c r="D64" s="9" t="s">
        <v>72</v>
      </c>
      <c r="E64" s="57">
        <v>1</v>
      </c>
      <c r="F64" s="17">
        <v>0.70603000000000005</v>
      </c>
      <c r="G64" s="17">
        <v>0.69940999999999998</v>
      </c>
      <c r="H64" s="17">
        <v>1.2999999999999999E-4</v>
      </c>
      <c r="I64" s="17">
        <v>6.4799999999999996E-3</v>
      </c>
      <c r="J64" s="14" t="s">
        <v>53</v>
      </c>
      <c r="K64" s="14">
        <v>2025</v>
      </c>
      <c r="L64" s="48" t="s">
        <v>54</v>
      </c>
    </row>
    <row r="65" spans="2:12" x14ac:dyDescent="0.35">
      <c r="B65" s="9" t="s">
        <v>4</v>
      </c>
      <c r="C65" s="9" t="s">
        <v>232</v>
      </c>
      <c r="D65" s="9" t="s">
        <v>72</v>
      </c>
      <c r="E65" s="9" t="s">
        <v>80</v>
      </c>
      <c r="F65" s="17">
        <v>0.60501000000000005</v>
      </c>
      <c r="G65" s="17">
        <v>0.59838999999999998</v>
      </c>
      <c r="H65" s="17">
        <v>1.2999999999999999E-4</v>
      </c>
      <c r="I65" s="17">
        <v>6.4799999999999996E-3</v>
      </c>
      <c r="J65" s="14" t="s">
        <v>53</v>
      </c>
      <c r="K65" s="14">
        <v>2025</v>
      </c>
      <c r="L65" s="48" t="s">
        <v>54</v>
      </c>
    </row>
    <row r="66" spans="2:12" x14ac:dyDescent="0.35">
      <c r="B66" s="9" t="s">
        <v>4</v>
      </c>
      <c r="C66" s="9" t="s">
        <v>233</v>
      </c>
      <c r="D66" s="9" t="s">
        <v>72</v>
      </c>
      <c r="E66" s="57">
        <v>0</v>
      </c>
      <c r="F66" s="17">
        <v>0.77400000000000002</v>
      </c>
      <c r="G66" s="17">
        <v>0.76317999999999997</v>
      </c>
      <c r="H66" s="17">
        <v>2.2000000000000001E-4</v>
      </c>
      <c r="I66" s="17">
        <v>1.059E-2</v>
      </c>
      <c r="J66" s="14" t="s">
        <v>53</v>
      </c>
      <c r="K66" s="14">
        <v>2025</v>
      </c>
      <c r="L66" s="48" t="s">
        <v>54</v>
      </c>
    </row>
    <row r="67" spans="2:12" x14ac:dyDescent="0.35">
      <c r="B67" s="9" t="s">
        <v>4</v>
      </c>
      <c r="C67" s="9" t="s">
        <v>233</v>
      </c>
      <c r="D67" s="9" t="s">
        <v>72</v>
      </c>
      <c r="E67" s="57">
        <v>0.5</v>
      </c>
      <c r="F67" s="17">
        <v>0.94152000000000002</v>
      </c>
      <c r="G67" s="17">
        <v>0.93069999999999997</v>
      </c>
      <c r="H67" s="17">
        <v>2.2000000000000001E-4</v>
      </c>
      <c r="I67" s="17">
        <v>1.059E-2</v>
      </c>
      <c r="J67" s="14" t="s">
        <v>53</v>
      </c>
      <c r="K67" s="14">
        <v>2025</v>
      </c>
      <c r="L67" s="48" t="s">
        <v>54</v>
      </c>
    </row>
    <row r="68" spans="2:12" x14ac:dyDescent="0.35">
      <c r="B68" s="9" t="s">
        <v>4</v>
      </c>
      <c r="C68" s="9" t="s">
        <v>233</v>
      </c>
      <c r="D68" s="9" t="s">
        <v>72</v>
      </c>
      <c r="E68" s="57">
        <v>1</v>
      </c>
      <c r="F68" s="17">
        <v>1.1090500000000001</v>
      </c>
      <c r="G68" s="17">
        <v>1.09823</v>
      </c>
      <c r="H68" s="17">
        <v>2.2000000000000001E-4</v>
      </c>
      <c r="I68" s="17">
        <v>1.059E-2</v>
      </c>
      <c r="J68" s="14" t="s">
        <v>53</v>
      </c>
      <c r="K68" s="14">
        <v>2025</v>
      </c>
      <c r="L68" s="48" t="s">
        <v>54</v>
      </c>
    </row>
    <row r="69" spans="2:12" x14ac:dyDescent="0.35">
      <c r="B69" s="9" t="s">
        <v>4</v>
      </c>
      <c r="C69" s="9" t="s">
        <v>233</v>
      </c>
      <c r="D69" s="9" t="s">
        <v>72</v>
      </c>
      <c r="E69" s="9" t="s">
        <v>80</v>
      </c>
      <c r="F69" s="17">
        <v>0.99156</v>
      </c>
      <c r="G69" s="17">
        <v>0.98073999999999995</v>
      </c>
      <c r="H69" s="17">
        <v>2.2000000000000001E-4</v>
      </c>
      <c r="I69" s="17">
        <v>1.059E-2</v>
      </c>
      <c r="J69" s="14" t="s">
        <v>53</v>
      </c>
      <c r="K69" s="14">
        <v>2025</v>
      </c>
      <c r="L69" s="48" t="s">
        <v>54</v>
      </c>
    </row>
    <row r="70" spans="2:12" x14ac:dyDescent="0.35">
      <c r="B70" s="9" t="s">
        <v>4</v>
      </c>
      <c r="C70" s="9" t="s">
        <v>234</v>
      </c>
      <c r="D70" s="9" t="s">
        <v>72</v>
      </c>
      <c r="E70" s="57">
        <v>0</v>
      </c>
      <c r="F70" s="17">
        <v>0.67911999999999995</v>
      </c>
      <c r="G70" s="17">
        <v>0.67005000000000003</v>
      </c>
      <c r="H70" s="17">
        <v>1.9000000000000001E-4</v>
      </c>
      <c r="I70" s="17">
        <v>8.8800000000000007E-3</v>
      </c>
      <c r="J70" s="14" t="s">
        <v>53</v>
      </c>
      <c r="K70" s="14">
        <v>2025</v>
      </c>
      <c r="L70" s="48" t="s">
        <v>54</v>
      </c>
    </row>
    <row r="71" spans="2:12" x14ac:dyDescent="0.35">
      <c r="B71" s="9" t="s">
        <v>4</v>
      </c>
      <c r="C71" s="9" t="s">
        <v>234</v>
      </c>
      <c r="D71" s="9" t="s">
        <v>72</v>
      </c>
      <c r="E71" s="57">
        <v>0.5</v>
      </c>
      <c r="F71" s="17">
        <v>0.80803000000000003</v>
      </c>
      <c r="G71" s="17">
        <v>0.79896</v>
      </c>
      <c r="H71" s="17">
        <v>1.9000000000000001E-4</v>
      </c>
      <c r="I71" s="17">
        <v>8.8800000000000007E-3</v>
      </c>
      <c r="J71" s="14" t="s">
        <v>53</v>
      </c>
      <c r="K71" s="14">
        <v>2025</v>
      </c>
      <c r="L71" s="48" t="s">
        <v>54</v>
      </c>
    </row>
    <row r="72" spans="2:12" x14ac:dyDescent="0.35">
      <c r="B72" s="9" t="s">
        <v>4</v>
      </c>
      <c r="C72" s="9" t="s">
        <v>234</v>
      </c>
      <c r="D72" s="9" t="s">
        <v>72</v>
      </c>
      <c r="E72" s="57">
        <v>1</v>
      </c>
      <c r="F72" s="17">
        <v>0.93694999999999995</v>
      </c>
      <c r="G72" s="17">
        <v>0.92788000000000004</v>
      </c>
      <c r="H72" s="17">
        <v>1.9000000000000001E-4</v>
      </c>
      <c r="I72" s="17">
        <v>8.8800000000000007E-3</v>
      </c>
      <c r="J72" s="14" t="s">
        <v>53</v>
      </c>
      <c r="K72" s="14">
        <v>2025</v>
      </c>
      <c r="L72" s="48" t="s">
        <v>54</v>
      </c>
    </row>
    <row r="73" spans="2:12" x14ac:dyDescent="0.35">
      <c r="B73" s="9" t="s">
        <v>4</v>
      </c>
      <c r="C73" s="9" t="s">
        <v>234</v>
      </c>
      <c r="D73" s="9" t="s">
        <v>72</v>
      </c>
      <c r="E73" s="9" t="s">
        <v>80</v>
      </c>
      <c r="F73" s="17">
        <v>0.83750999999999998</v>
      </c>
      <c r="G73" s="17">
        <v>0.82843999999999995</v>
      </c>
      <c r="H73" s="17">
        <v>1.9000000000000001E-4</v>
      </c>
      <c r="I73" s="17">
        <v>8.8800000000000007E-3</v>
      </c>
      <c r="J73" s="14" t="s">
        <v>53</v>
      </c>
      <c r="K73" s="14">
        <v>2025</v>
      </c>
      <c r="L73" s="48" t="s">
        <v>54</v>
      </c>
    </row>
    <row r="74" spans="2:12" x14ac:dyDescent="0.35">
      <c r="B74" s="9" t="s">
        <v>4</v>
      </c>
      <c r="C74" s="9" t="s">
        <v>1309</v>
      </c>
      <c r="D74" s="9" t="s">
        <v>72</v>
      </c>
      <c r="E74" s="57">
        <v>0</v>
      </c>
      <c r="F74" s="17">
        <v>0.62775000000000003</v>
      </c>
      <c r="G74" s="17">
        <v>0.61553999999999998</v>
      </c>
      <c r="H74" s="17">
        <v>1.2E-4</v>
      </c>
      <c r="I74" s="17">
        <v>1.209E-2</v>
      </c>
      <c r="J74" s="14" t="s">
        <v>53</v>
      </c>
      <c r="K74" s="14">
        <v>2025</v>
      </c>
      <c r="L74" s="48" t="s">
        <v>54</v>
      </c>
    </row>
    <row r="75" spans="2:12" x14ac:dyDescent="0.35">
      <c r="B75" s="9" t="s">
        <v>4</v>
      </c>
      <c r="C75" s="9" t="s">
        <v>1309</v>
      </c>
      <c r="D75" s="9" t="s">
        <v>72</v>
      </c>
      <c r="E75" s="57">
        <v>0.5</v>
      </c>
      <c r="F75" s="17">
        <v>0.78163000000000005</v>
      </c>
      <c r="G75" s="17">
        <v>0.76941999999999999</v>
      </c>
      <c r="H75" s="17">
        <v>1.2E-4</v>
      </c>
      <c r="I75" s="17">
        <v>1.209E-2</v>
      </c>
      <c r="J75" s="14" t="s">
        <v>53</v>
      </c>
      <c r="K75" s="14">
        <v>2025</v>
      </c>
      <c r="L75" s="48" t="s">
        <v>54</v>
      </c>
    </row>
    <row r="76" spans="2:12" x14ac:dyDescent="0.35">
      <c r="B76" s="9" t="s">
        <v>4</v>
      </c>
      <c r="C76" s="9" t="s">
        <v>1309</v>
      </c>
      <c r="D76" s="9" t="s">
        <v>72</v>
      </c>
      <c r="E76" s="57">
        <v>1</v>
      </c>
      <c r="F76" s="17">
        <v>0.93552000000000002</v>
      </c>
      <c r="G76" s="17">
        <v>0.92330999999999996</v>
      </c>
      <c r="H76" s="17">
        <v>1.2E-4</v>
      </c>
      <c r="I76" s="17">
        <v>1.209E-2</v>
      </c>
      <c r="J76" s="14" t="s">
        <v>53</v>
      </c>
      <c r="K76" s="14">
        <v>2025</v>
      </c>
      <c r="L76" s="48" t="s">
        <v>54</v>
      </c>
    </row>
    <row r="77" spans="2:12" x14ac:dyDescent="0.35">
      <c r="B77" s="9" t="s">
        <v>4</v>
      </c>
      <c r="C77" s="9" t="s">
        <v>1309</v>
      </c>
      <c r="D77" s="9" t="s">
        <v>72</v>
      </c>
      <c r="E77" s="9" t="s">
        <v>80</v>
      </c>
      <c r="F77" s="17">
        <v>0.78471000000000002</v>
      </c>
      <c r="G77" s="17">
        <v>0.77249999999999996</v>
      </c>
      <c r="H77" s="17">
        <v>1.2E-4</v>
      </c>
      <c r="I77" s="17">
        <v>1.209E-2</v>
      </c>
      <c r="J77" s="14" t="s">
        <v>53</v>
      </c>
      <c r="K77" s="14">
        <v>2025</v>
      </c>
      <c r="L77" s="48" t="s">
        <v>54</v>
      </c>
    </row>
    <row r="78" spans="2:12" x14ac:dyDescent="0.35">
      <c r="B78" s="9" t="s">
        <v>4</v>
      </c>
      <c r="C78" s="9" t="s">
        <v>235</v>
      </c>
      <c r="D78" s="9" t="s">
        <v>72</v>
      </c>
      <c r="E78" s="57">
        <v>0</v>
      </c>
      <c r="F78" s="17">
        <v>0.64734000000000003</v>
      </c>
      <c r="G78" s="17">
        <v>0.63282000000000005</v>
      </c>
      <c r="H78" s="17">
        <v>1.4999999999999999E-4</v>
      </c>
      <c r="I78" s="17">
        <v>1.438E-2</v>
      </c>
      <c r="J78" s="14" t="s">
        <v>53</v>
      </c>
      <c r="K78" s="14">
        <v>2025</v>
      </c>
      <c r="L78" s="48" t="s">
        <v>54</v>
      </c>
    </row>
    <row r="79" spans="2:12" x14ac:dyDescent="0.35">
      <c r="B79" s="9" t="s">
        <v>4</v>
      </c>
      <c r="C79" s="9" t="s">
        <v>235</v>
      </c>
      <c r="D79" s="9" t="s">
        <v>72</v>
      </c>
      <c r="E79" s="57">
        <v>0.5</v>
      </c>
      <c r="F79" s="17">
        <v>0.85826999999999998</v>
      </c>
      <c r="G79" s="17">
        <v>0.84375</v>
      </c>
      <c r="H79" s="17">
        <v>1.4999999999999999E-4</v>
      </c>
      <c r="I79" s="17">
        <v>1.438E-2</v>
      </c>
      <c r="J79" s="14" t="s">
        <v>53</v>
      </c>
      <c r="K79" s="14">
        <v>2025</v>
      </c>
      <c r="L79" s="48" t="s">
        <v>54</v>
      </c>
    </row>
    <row r="80" spans="2:12" x14ac:dyDescent="0.35">
      <c r="B80" s="9" t="s">
        <v>4</v>
      </c>
      <c r="C80" s="9" t="s">
        <v>235</v>
      </c>
      <c r="D80" s="9" t="s">
        <v>72</v>
      </c>
      <c r="E80" s="57">
        <v>1</v>
      </c>
      <c r="F80" s="17">
        <v>1.06921</v>
      </c>
      <c r="G80" s="17">
        <v>1.0546899999999999</v>
      </c>
      <c r="H80" s="17">
        <v>1.4999999999999999E-4</v>
      </c>
      <c r="I80" s="17">
        <v>1.438E-2</v>
      </c>
      <c r="J80" s="14" t="s">
        <v>53</v>
      </c>
      <c r="K80" s="14">
        <v>2025</v>
      </c>
      <c r="L80" s="48" t="s">
        <v>54</v>
      </c>
    </row>
    <row r="81" spans="2:12" x14ac:dyDescent="0.35">
      <c r="B81" s="9" t="s">
        <v>4</v>
      </c>
      <c r="C81" s="9" t="s">
        <v>235</v>
      </c>
      <c r="D81" s="9" t="s">
        <v>72</v>
      </c>
      <c r="E81" s="9" t="s">
        <v>80</v>
      </c>
      <c r="F81" s="17">
        <v>0.93420999999999998</v>
      </c>
      <c r="G81" s="17">
        <v>0.91969000000000001</v>
      </c>
      <c r="H81" s="17">
        <v>1.4999999999999999E-4</v>
      </c>
      <c r="I81" s="17">
        <v>1.438E-2</v>
      </c>
      <c r="J81" s="14" t="s">
        <v>53</v>
      </c>
      <c r="K81" s="14">
        <v>2025</v>
      </c>
      <c r="L81" s="48" t="s">
        <v>54</v>
      </c>
    </row>
    <row r="82" spans="2:12" x14ac:dyDescent="0.35">
      <c r="B82" s="9" t="s">
        <v>4</v>
      </c>
      <c r="C82" s="9" t="s">
        <v>236</v>
      </c>
      <c r="D82" s="9" t="s">
        <v>72</v>
      </c>
      <c r="E82" s="57">
        <v>0</v>
      </c>
      <c r="F82" s="17">
        <v>0.64659</v>
      </c>
      <c r="G82" s="17">
        <v>0.63216000000000006</v>
      </c>
      <c r="H82" s="17">
        <v>1.4999999999999999E-4</v>
      </c>
      <c r="I82" s="17">
        <v>1.4279999999999999E-2</v>
      </c>
      <c r="J82" s="14" t="s">
        <v>53</v>
      </c>
      <c r="K82" s="14">
        <v>2025</v>
      </c>
      <c r="L82" s="48" t="s">
        <v>54</v>
      </c>
    </row>
    <row r="83" spans="2:12" x14ac:dyDescent="0.35">
      <c r="B83" s="9" t="s">
        <v>4</v>
      </c>
      <c r="C83" s="9" t="s">
        <v>236</v>
      </c>
      <c r="D83" s="9" t="s">
        <v>72</v>
      </c>
      <c r="E83" s="57">
        <v>0.5</v>
      </c>
      <c r="F83" s="17">
        <v>0.85536000000000001</v>
      </c>
      <c r="G83" s="17">
        <v>0.84092999999999996</v>
      </c>
      <c r="H83" s="17">
        <v>1.4999999999999999E-4</v>
      </c>
      <c r="I83" s="17">
        <v>1.4279999999999999E-2</v>
      </c>
      <c r="J83" s="14" t="s">
        <v>53</v>
      </c>
      <c r="K83" s="14">
        <v>2025</v>
      </c>
      <c r="L83" s="48" t="s">
        <v>54</v>
      </c>
    </row>
    <row r="84" spans="2:12" x14ac:dyDescent="0.35">
      <c r="B84" s="9" t="s">
        <v>4</v>
      </c>
      <c r="C84" s="9" t="s">
        <v>236</v>
      </c>
      <c r="D84" s="9" t="s">
        <v>72</v>
      </c>
      <c r="E84" s="57">
        <v>1</v>
      </c>
      <c r="F84" s="17">
        <v>1.0641400000000001</v>
      </c>
      <c r="G84" s="17">
        <v>1.0497099999999999</v>
      </c>
      <c r="H84" s="17">
        <v>1.4999999999999999E-4</v>
      </c>
      <c r="I84" s="17">
        <v>1.4279999999999999E-2</v>
      </c>
      <c r="J84" s="14" t="s">
        <v>53</v>
      </c>
      <c r="K84" s="14">
        <v>2025</v>
      </c>
      <c r="L84" s="48" t="s">
        <v>54</v>
      </c>
    </row>
    <row r="85" spans="2:12" x14ac:dyDescent="0.35">
      <c r="B85" s="9" t="s">
        <v>4</v>
      </c>
      <c r="C85" s="9" t="s">
        <v>236</v>
      </c>
      <c r="D85" s="9" t="s">
        <v>72</v>
      </c>
      <c r="E85" s="9" t="s">
        <v>80</v>
      </c>
      <c r="F85" s="17">
        <v>0.92854000000000003</v>
      </c>
      <c r="G85" s="17">
        <v>0.91410999999999998</v>
      </c>
      <c r="H85" s="17">
        <v>1.4999999999999999E-4</v>
      </c>
      <c r="I85" s="17">
        <v>1.4279999999999999E-2</v>
      </c>
      <c r="J85" s="14" t="s">
        <v>53</v>
      </c>
      <c r="K85" s="14">
        <v>2025</v>
      </c>
      <c r="L85" s="48" t="s">
        <v>54</v>
      </c>
    </row>
    <row r="86" spans="2:12" x14ac:dyDescent="0.35">
      <c r="B86" s="9" t="s">
        <v>4</v>
      </c>
      <c r="C86" s="9" t="s">
        <v>237</v>
      </c>
      <c r="D86" s="9" t="s">
        <v>72</v>
      </c>
      <c r="E86" s="57">
        <v>0</v>
      </c>
      <c r="F86" s="17">
        <v>0.65974999999999995</v>
      </c>
      <c r="G86" s="17">
        <v>0.64763999999999999</v>
      </c>
      <c r="H86" s="17">
        <v>1.6000000000000001E-4</v>
      </c>
      <c r="I86" s="17">
        <v>1.1950000000000001E-2</v>
      </c>
      <c r="J86" s="14" t="s">
        <v>53</v>
      </c>
      <c r="K86" s="14">
        <v>2025</v>
      </c>
      <c r="L86" s="48" t="s">
        <v>54</v>
      </c>
    </row>
    <row r="87" spans="2:12" x14ac:dyDescent="0.35">
      <c r="B87" s="9" t="s">
        <v>4</v>
      </c>
      <c r="C87" s="9" t="s">
        <v>237</v>
      </c>
      <c r="D87" s="9" t="s">
        <v>72</v>
      </c>
      <c r="E87" s="57">
        <v>0.5</v>
      </c>
      <c r="F87" s="17">
        <v>0.83589000000000002</v>
      </c>
      <c r="G87" s="17">
        <v>0.82377999999999996</v>
      </c>
      <c r="H87" s="17">
        <v>1.6000000000000001E-4</v>
      </c>
      <c r="I87" s="17">
        <v>1.1950000000000001E-2</v>
      </c>
      <c r="J87" s="14" t="s">
        <v>53</v>
      </c>
      <c r="K87" s="14">
        <v>2025</v>
      </c>
      <c r="L87" s="48" t="s">
        <v>54</v>
      </c>
    </row>
    <row r="88" spans="2:12" x14ac:dyDescent="0.35">
      <c r="B88" s="9" t="s">
        <v>4</v>
      </c>
      <c r="C88" s="9" t="s">
        <v>237</v>
      </c>
      <c r="D88" s="9" t="s">
        <v>72</v>
      </c>
      <c r="E88" s="57">
        <v>1</v>
      </c>
      <c r="F88" s="17">
        <v>1.01203</v>
      </c>
      <c r="G88" s="17">
        <v>0.99992000000000003</v>
      </c>
      <c r="H88" s="17">
        <v>1.6000000000000001E-4</v>
      </c>
      <c r="I88" s="17">
        <v>1.1950000000000001E-2</v>
      </c>
      <c r="J88" s="14" t="s">
        <v>53</v>
      </c>
      <c r="K88" s="14">
        <v>2025</v>
      </c>
      <c r="L88" s="48" t="s">
        <v>54</v>
      </c>
    </row>
    <row r="89" spans="2:12" ht="15" thickBot="1" x14ac:dyDescent="0.4">
      <c r="B89" s="33" t="s">
        <v>4</v>
      </c>
      <c r="C89" s="33" t="s">
        <v>237</v>
      </c>
      <c r="D89" s="33" t="s">
        <v>72</v>
      </c>
      <c r="E89" s="33" t="s">
        <v>80</v>
      </c>
      <c r="F89" s="38">
        <v>0.89120999999999995</v>
      </c>
      <c r="G89" s="38">
        <v>0.87909999999999999</v>
      </c>
      <c r="H89" s="38">
        <v>1.6000000000000001E-4</v>
      </c>
      <c r="I89" s="38">
        <v>1.1950000000000001E-2</v>
      </c>
      <c r="J89" s="46" t="s">
        <v>53</v>
      </c>
      <c r="K89" s="46">
        <v>2025</v>
      </c>
      <c r="L89" s="53" t="s">
        <v>54</v>
      </c>
    </row>
    <row r="90" spans="2:12" ht="15" thickTop="1" x14ac:dyDescent="0.35">
      <c r="B90" s="9" t="s">
        <v>4</v>
      </c>
      <c r="C90" s="9" t="s">
        <v>73</v>
      </c>
      <c r="D90" s="9" t="s">
        <v>72</v>
      </c>
      <c r="E90" s="31" t="s">
        <v>66</v>
      </c>
      <c r="F90" s="17">
        <v>0.1434</v>
      </c>
      <c r="G90" s="17">
        <v>0.14172000000000001</v>
      </c>
      <c r="H90" s="17">
        <v>5.0000000000000004E-6</v>
      </c>
      <c r="I90" s="17">
        <v>1.67E-3</v>
      </c>
      <c r="J90" s="14" t="s">
        <v>53</v>
      </c>
      <c r="K90" s="14">
        <v>2025</v>
      </c>
      <c r="L90" s="35" t="s">
        <v>54</v>
      </c>
    </row>
    <row r="91" spans="2:12" x14ac:dyDescent="0.35">
      <c r="B91" s="9" t="s">
        <v>4</v>
      </c>
      <c r="C91" s="9" t="s">
        <v>73</v>
      </c>
      <c r="D91" s="9" t="s">
        <v>72</v>
      </c>
      <c r="E91" s="9" t="s">
        <v>67</v>
      </c>
      <c r="F91" s="17">
        <v>0.14308000000000001</v>
      </c>
      <c r="G91" s="17">
        <v>0.1424</v>
      </c>
      <c r="H91" s="17">
        <v>3.6000000000000002E-4</v>
      </c>
      <c r="I91" s="17">
        <v>3.2000000000000003E-4</v>
      </c>
      <c r="J91" s="14" t="s">
        <v>53</v>
      </c>
      <c r="K91" s="14">
        <v>2025</v>
      </c>
      <c r="L91" s="48" t="s">
        <v>54</v>
      </c>
    </row>
    <row r="92" spans="2:12" x14ac:dyDescent="0.35">
      <c r="B92" s="9" t="s">
        <v>4</v>
      </c>
      <c r="C92" s="9" t="s">
        <v>73</v>
      </c>
      <c r="D92" s="9" t="s">
        <v>72</v>
      </c>
      <c r="E92" s="9" t="s">
        <v>68</v>
      </c>
      <c r="F92" s="17">
        <v>0.11413</v>
      </c>
      <c r="G92" s="17">
        <v>0.11312</v>
      </c>
      <c r="H92" s="17">
        <v>2.4000000000000001E-4</v>
      </c>
      <c r="I92" s="17">
        <v>7.6999999999999996E-4</v>
      </c>
      <c r="J92" s="14" t="s">
        <v>53</v>
      </c>
      <c r="K92" s="14">
        <v>2025</v>
      </c>
      <c r="L92" s="48" t="s">
        <v>54</v>
      </c>
    </row>
    <row r="93" spans="2:12" x14ac:dyDescent="0.35">
      <c r="B93" s="9" t="s">
        <v>4</v>
      </c>
      <c r="C93" s="9" t="s">
        <v>73</v>
      </c>
      <c r="D93" s="9" t="s">
        <v>72</v>
      </c>
      <c r="E93" s="9" t="s">
        <v>51</v>
      </c>
      <c r="F93" s="17"/>
      <c r="G93" s="17"/>
      <c r="H93" s="17"/>
      <c r="I93" s="17"/>
      <c r="J93" s="14" t="s">
        <v>53</v>
      </c>
      <c r="K93" s="14">
        <v>2025</v>
      </c>
      <c r="L93" s="48" t="s">
        <v>54</v>
      </c>
    </row>
    <row r="94" spans="2:12" x14ac:dyDescent="0.35">
      <c r="B94" s="9" t="s">
        <v>4</v>
      </c>
      <c r="C94" s="9" t="s">
        <v>73</v>
      </c>
      <c r="D94" s="9" t="s">
        <v>72</v>
      </c>
      <c r="E94" s="9" t="s">
        <v>1172</v>
      </c>
      <c r="F94" s="17">
        <v>0.14321999999999999</v>
      </c>
      <c r="G94" s="17">
        <v>0.14221</v>
      </c>
      <c r="H94" s="17">
        <v>2.4000000000000001E-4</v>
      </c>
      <c r="I94" s="17">
        <v>7.6999999999999996E-4</v>
      </c>
      <c r="J94" s="14" t="s">
        <v>53</v>
      </c>
      <c r="K94" s="14">
        <v>2025</v>
      </c>
      <c r="L94" s="48" t="s">
        <v>54</v>
      </c>
    </row>
    <row r="95" spans="2:12" x14ac:dyDescent="0.35">
      <c r="B95" s="9" t="s">
        <v>4</v>
      </c>
      <c r="C95" s="9" t="s">
        <v>73</v>
      </c>
      <c r="D95" s="9" t="s">
        <v>72</v>
      </c>
      <c r="E95" s="9" t="s">
        <v>69</v>
      </c>
      <c r="F95" s="17">
        <v>3.0079999999999999E-2</v>
      </c>
      <c r="G95" s="17">
        <v>2.9940000000000001E-2</v>
      </c>
      <c r="H95" s="17">
        <v>8.0000000000000007E-5</v>
      </c>
      <c r="I95" s="17">
        <v>6.0000000000000002E-5</v>
      </c>
      <c r="J95" s="14" t="s">
        <v>53</v>
      </c>
      <c r="K95" s="14">
        <v>2025</v>
      </c>
      <c r="L95" s="48" t="s">
        <v>54</v>
      </c>
    </row>
    <row r="96" spans="2:12" x14ac:dyDescent="0.35">
      <c r="B96" s="9" t="s">
        <v>4</v>
      </c>
      <c r="C96" s="9" t="s">
        <v>73</v>
      </c>
      <c r="D96" s="9" t="s">
        <v>72</v>
      </c>
      <c r="E96" s="9" t="s">
        <v>70</v>
      </c>
      <c r="F96" s="17">
        <v>0</v>
      </c>
      <c r="G96" s="17">
        <v>0</v>
      </c>
      <c r="H96" s="17">
        <v>0</v>
      </c>
      <c r="I96" s="17">
        <v>0</v>
      </c>
      <c r="J96" s="14" t="s">
        <v>53</v>
      </c>
      <c r="K96" s="14">
        <v>2025</v>
      </c>
      <c r="L96" s="48" t="s">
        <v>54</v>
      </c>
    </row>
    <row r="97" spans="2:12" x14ac:dyDescent="0.35">
      <c r="B97" s="9" t="s">
        <v>4</v>
      </c>
      <c r="C97" s="9" t="s">
        <v>78</v>
      </c>
      <c r="D97" s="9" t="s">
        <v>72</v>
      </c>
      <c r="E97" s="9" t="s">
        <v>66</v>
      </c>
      <c r="F97" s="17">
        <v>0.17174</v>
      </c>
      <c r="G97" s="17">
        <v>0.17005999999999999</v>
      </c>
      <c r="H97" s="17">
        <v>5.0000000000000004E-6</v>
      </c>
      <c r="I97" s="17">
        <v>1.67E-3</v>
      </c>
      <c r="J97" s="14" t="s">
        <v>53</v>
      </c>
      <c r="K97" s="14">
        <v>2025</v>
      </c>
      <c r="L97" s="48" t="s">
        <v>54</v>
      </c>
    </row>
    <row r="98" spans="2:12" x14ac:dyDescent="0.35">
      <c r="B98" s="9" t="s">
        <v>4</v>
      </c>
      <c r="C98" s="9" t="s">
        <v>78</v>
      </c>
      <c r="D98" s="9" t="s">
        <v>72</v>
      </c>
      <c r="E98" s="9" t="s">
        <v>67</v>
      </c>
      <c r="F98" s="17">
        <v>0.17474000000000001</v>
      </c>
      <c r="G98" s="17">
        <v>0.17405999999999999</v>
      </c>
      <c r="H98" s="17">
        <v>3.6000000000000002E-4</v>
      </c>
      <c r="I98" s="17">
        <v>3.2000000000000003E-4</v>
      </c>
      <c r="J98" s="14" t="s">
        <v>53</v>
      </c>
      <c r="K98" s="14">
        <v>2025</v>
      </c>
      <c r="L98" s="48" t="s">
        <v>54</v>
      </c>
    </row>
    <row r="99" spans="2:12" x14ac:dyDescent="0.35">
      <c r="B99" s="9" t="s">
        <v>4</v>
      </c>
      <c r="C99" s="9" t="s">
        <v>78</v>
      </c>
      <c r="D99" s="9" t="s">
        <v>72</v>
      </c>
      <c r="E99" s="9" t="s">
        <v>68</v>
      </c>
      <c r="F99" s="17">
        <v>0.11724</v>
      </c>
      <c r="G99" s="17">
        <v>0.11602999999999999</v>
      </c>
      <c r="H99" s="17">
        <v>1.7000000000000001E-4</v>
      </c>
      <c r="I99" s="17">
        <v>1.0399999999999999E-3</v>
      </c>
      <c r="J99" s="14" t="s">
        <v>53</v>
      </c>
      <c r="K99" s="14">
        <v>2025</v>
      </c>
      <c r="L99" s="48" t="s">
        <v>54</v>
      </c>
    </row>
    <row r="100" spans="2:12" x14ac:dyDescent="0.35">
      <c r="B100" s="9" t="s">
        <v>4</v>
      </c>
      <c r="C100" s="9" t="s">
        <v>78</v>
      </c>
      <c r="D100" s="9" t="s">
        <v>72</v>
      </c>
      <c r="E100" s="9" t="s">
        <v>51</v>
      </c>
      <c r="F100" s="17">
        <v>0.17427000000000001</v>
      </c>
      <c r="G100" s="17">
        <v>0.17385</v>
      </c>
      <c r="H100" s="17">
        <v>6.0000000000000002E-5</v>
      </c>
      <c r="I100" s="17">
        <v>3.6000000000000002E-4</v>
      </c>
      <c r="J100" s="14" t="s">
        <v>53</v>
      </c>
      <c r="K100" s="14">
        <v>2025</v>
      </c>
      <c r="L100" s="48" t="s">
        <v>54</v>
      </c>
    </row>
    <row r="101" spans="2:12" x14ac:dyDescent="0.35">
      <c r="B101" s="9" t="s">
        <v>4</v>
      </c>
      <c r="C101" s="9" t="s">
        <v>78</v>
      </c>
      <c r="D101" s="9" t="s">
        <v>72</v>
      </c>
      <c r="E101" s="9" t="s">
        <v>1172</v>
      </c>
      <c r="F101" s="17">
        <v>0.17322000000000001</v>
      </c>
      <c r="G101" s="17">
        <v>0.17201</v>
      </c>
      <c r="H101" s="17">
        <v>1.7000000000000001E-4</v>
      </c>
      <c r="I101" s="17">
        <v>1.0399999999999999E-3</v>
      </c>
      <c r="J101" s="14" t="s">
        <v>53</v>
      </c>
      <c r="K101" s="14">
        <v>2025</v>
      </c>
      <c r="L101" s="48" t="s">
        <v>54</v>
      </c>
    </row>
    <row r="102" spans="2:12" x14ac:dyDescent="0.35">
      <c r="B102" s="9" t="s">
        <v>4</v>
      </c>
      <c r="C102" s="9" t="s">
        <v>78</v>
      </c>
      <c r="D102" s="9" t="s">
        <v>72</v>
      </c>
      <c r="E102" s="9" t="s">
        <v>69</v>
      </c>
      <c r="F102" s="17">
        <v>7.7890000000000001E-2</v>
      </c>
      <c r="G102" s="17">
        <v>7.7450000000000005E-2</v>
      </c>
      <c r="H102" s="17">
        <v>2.5000000000000001E-4</v>
      </c>
      <c r="I102" s="17">
        <v>2.0000000000000001E-4</v>
      </c>
      <c r="J102" s="14" t="s">
        <v>53</v>
      </c>
      <c r="K102" s="14">
        <v>2025</v>
      </c>
      <c r="L102" s="48" t="s">
        <v>54</v>
      </c>
    </row>
    <row r="103" spans="2:12" x14ac:dyDescent="0.35">
      <c r="B103" s="9" t="s">
        <v>4</v>
      </c>
      <c r="C103" s="9" t="s">
        <v>78</v>
      </c>
      <c r="D103" s="9" t="s">
        <v>72</v>
      </c>
      <c r="E103" s="9" t="s">
        <v>70</v>
      </c>
      <c r="F103" s="17">
        <v>0</v>
      </c>
      <c r="G103" s="17">
        <v>0</v>
      </c>
      <c r="H103" s="17">
        <v>0</v>
      </c>
      <c r="I103" s="17">
        <v>0</v>
      </c>
      <c r="J103" s="14" t="s">
        <v>53</v>
      </c>
      <c r="K103" s="14">
        <v>2025</v>
      </c>
      <c r="L103" s="48" t="s">
        <v>54</v>
      </c>
    </row>
    <row r="104" spans="2:12" x14ac:dyDescent="0.35">
      <c r="B104" s="9" t="s">
        <v>4</v>
      </c>
      <c r="C104" s="9" t="s">
        <v>79</v>
      </c>
      <c r="D104" s="9" t="s">
        <v>72</v>
      </c>
      <c r="E104" s="9" t="s">
        <v>66</v>
      </c>
      <c r="F104" s="17">
        <v>0.21007000000000001</v>
      </c>
      <c r="G104" s="17">
        <v>0.20838999999999999</v>
      </c>
      <c r="H104" s="17">
        <v>5.0000000000000004E-6</v>
      </c>
      <c r="I104" s="17">
        <v>1.67E-3</v>
      </c>
      <c r="J104" s="14" t="s">
        <v>53</v>
      </c>
      <c r="K104" s="14">
        <v>2025</v>
      </c>
      <c r="L104" s="48" t="s">
        <v>54</v>
      </c>
    </row>
    <row r="105" spans="2:12" x14ac:dyDescent="0.35">
      <c r="B105" s="9" t="s">
        <v>4</v>
      </c>
      <c r="C105" s="9" t="s">
        <v>79</v>
      </c>
      <c r="D105" s="9" t="s">
        <v>72</v>
      </c>
      <c r="E105" s="9" t="s">
        <v>67</v>
      </c>
      <c r="F105" s="17">
        <v>0.26828000000000002</v>
      </c>
      <c r="G105" s="17">
        <v>0.2676</v>
      </c>
      <c r="H105" s="17">
        <v>3.6000000000000002E-4</v>
      </c>
      <c r="I105" s="17">
        <v>3.2000000000000003E-4</v>
      </c>
      <c r="J105" s="14" t="s">
        <v>53</v>
      </c>
      <c r="K105" s="14">
        <v>2025</v>
      </c>
      <c r="L105" s="48" t="s">
        <v>54</v>
      </c>
    </row>
    <row r="106" spans="2:12" x14ac:dyDescent="0.35">
      <c r="B106" s="9" t="s">
        <v>4</v>
      </c>
      <c r="C106" s="9" t="s">
        <v>79</v>
      </c>
      <c r="D106" s="9" t="s">
        <v>72</v>
      </c>
      <c r="E106" s="9" t="s">
        <v>68</v>
      </c>
      <c r="F106" s="17">
        <v>0.1565</v>
      </c>
      <c r="G106" s="17">
        <v>0.15507000000000001</v>
      </c>
      <c r="H106" s="17">
        <v>1E-4</v>
      </c>
      <c r="I106" s="17">
        <v>1.33E-3</v>
      </c>
      <c r="J106" s="14" t="s">
        <v>53</v>
      </c>
      <c r="K106" s="14">
        <v>2025</v>
      </c>
      <c r="L106" s="48" t="s">
        <v>54</v>
      </c>
    </row>
    <row r="107" spans="2:12" x14ac:dyDescent="0.35">
      <c r="B107" s="9" t="s">
        <v>4</v>
      </c>
      <c r="C107" s="9" t="s">
        <v>79</v>
      </c>
      <c r="D107" s="9" t="s">
        <v>72</v>
      </c>
      <c r="E107" s="9" t="s">
        <v>51</v>
      </c>
      <c r="F107" s="17">
        <v>0.26771</v>
      </c>
      <c r="G107" s="17">
        <v>0.26729000000000003</v>
      </c>
      <c r="H107" s="17">
        <v>6.0000000000000002E-5</v>
      </c>
      <c r="I107" s="17">
        <v>3.6000000000000002E-4</v>
      </c>
      <c r="J107" s="14" t="s">
        <v>53</v>
      </c>
      <c r="K107" s="14">
        <v>2025</v>
      </c>
      <c r="L107" s="48" t="s">
        <v>54</v>
      </c>
    </row>
    <row r="108" spans="2:12" x14ac:dyDescent="0.35">
      <c r="B108" s="9" t="s">
        <v>4</v>
      </c>
      <c r="C108" s="9" t="s">
        <v>79</v>
      </c>
      <c r="D108" s="9" t="s">
        <v>72</v>
      </c>
      <c r="E108" s="9" t="s">
        <v>1172</v>
      </c>
      <c r="F108" s="17">
        <v>0.22678000000000001</v>
      </c>
      <c r="G108" s="17">
        <v>0.22534999999999999</v>
      </c>
      <c r="H108" s="17">
        <v>1E-4</v>
      </c>
      <c r="I108" s="17">
        <v>1.33E-3</v>
      </c>
      <c r="J108" s="14" t="s">
        <v>53</v>
      </c>
      <c r="K108" s="14">
        <v>2025</v>
      </c>
      <c r="L108" s="48" t="s">
        <v>54</v>
      </c>
    </row>
    <row r="109" spans="2:12" x14ac:dyDescent="0.35">
      <c r="B109" s="9" t="s">
        <v>4</v>
      </c>
      <c r="C109" s="9" t="s">
        <v>79</v>
      </c>
      <c r="D109" s="9" t="s">
        <v>72</v>
      </c>
      <c r="E109" s="9" t="s">
        <v>69</v>
      </c>
      <c r="F109" s="17">
        <v>0.10033</v>
      </c>
      <c r="G109" s="17">
        <v>9.9830000000000002E-2</v>
      </c>
      <c r="H109" s="17">
        <v>2.7999999999999998E-4</v>
      </c>
      <c r="I109" s="17">
        <v>2.2000000000000001E-4</v>
      </c>
      <c r="J109" s="14" t="s">
        <v>53</v>
      </c>
      <c r="K109" s="14">
        <v>2025</v>
      </c>
      <c r="L109" s="48" t="s">
        <v>54</v>
      </c>
    </row>
    <row r="110" spans="2:12" x14ac:dyDescent="0.35">
      <c r="B110" s="9" t="s">
        <v>4</v>
      </c>
      <c r="C110" s="9" t="s">
        <v>79</v>
      </c>
      <c r="D110" s="9" t="s">
        <v>72</v>
      </c>
      <c r="E110" s="9" t="s">
        <v>70</v>
      </c>
      <c r="F110" s="17">
        <v>0</v>
      </c>
      <c r="G110" s="17">
        <v>0</v>
      </c>
      <c r="H110" s="17">
        <v>0</v>
      </c>
      <c r="I110" s="17">
        <v>0</v>
      </c>
      <c r="J110" s="14" t="s">
        <v>53</v>
      </c>
      <c r="K110" s="14">
        <v>2025</v>
      </c>
      <c r="L110" s="48" t="s">
        <v>54</v>
      </c>
    </row>
    <row r="111" spans="2:12" x14ac:dyDescent="0.35">
      <c r="B111" s="9" t="s">
        <v>4</v>
      </c>
      <c r="C111" s="9" t="s">
        <v>80</v>
      </c>
      <c r="D111" s="9" t="s">
        <v>72</v>
      </c>
      <c r="E111" s="9" t="s">
        <v>66</v>
      </c>
      <c r="F111" s="17">
        <v>0.17304</v>
      </c>
      <c r="G111" s="17">
        <v>0.17136000000000001</v>
      </c>
      <c r="H111" s="17">
        <v>5.0000000000000004E-6</v>
      </c>
      <c r="I111" s="17">
        <v>1.67E-3</v>
      </c>
      <c r="J111" s="14" t="s">
        <v>53</v>
      </c>
      <c r="K111" s="14">
        <v>2025</v>
      </c>
      <c r="L111" s="48" t="s">
        <v>54</v>
      </c>
    </row>
    <row r="112" spans="2:12" x14ac:dyDescent="0.35">
      <c r="B112" s="9" t="s">
        <v>4</v>
      </c>
      <c r="C112" s="9" t="s">
        <v>80</v>
      </c>
      <c r="D112" s="9" t="s">
        <v>72</v>
      </c>
      <c r="E112" s="9" t="s">
        <v>67</v>
      </c>
      <c r="F112" s="17">
        <v>0.16272</v>
      </c>
      <c r="G112" s="17">
        <v>0.16203999999999999</v>
      </c>
      <c r="H112" s="17">
        <v>3.6000000000000002E-4</v>
      </c>
      <c r="I112" s="17">
        <v>3.2000000000000003E-4</v>
      </c>
      <c r="J112" s="14" t="s">
        <v>53</v>
      </c>
      <c r="K112" s="14">
        <v>2025</v>
      </c>
      <c r="L112" s="48" t="s">
        <v>54</v>
      </c>
    </row>
    <row r="113" spans="2:12" x14ac:dyDescent="0.35">
      <c r="B113" s="9" t="s">
        <v>4</v>
      </c>
      <c r="C113" s="9" t="s">
        <v>80</v>
      </c>
      <c r="D113" s="9" t="s">
        <v>72</v>
      </c>
      <c r="E113" s="9" t="s">
        <v>68</v>
      </c>
      <c r="F113" s="17">
        <v>0.12825</v>
      </c>
      <c r="G113" s="17">
        <v>0.12708</v>
      </c>
      <c r="H113" s="17">
        <v>1.9000000000000001E-4</v>
      </c>
      <c r="I113" s="17">
        <v>9.7999999999999997E-4</v>
      </c>
      <c r="J113" s="14" t="s">
        <v>53</v>
      </c>
      <c r="K113" s="14">
        <v>2025</v>
      </c>
      <c r="L113" s="48" t="s">
        <v>54</v>
      </c>
    </row>
    <row r="114" spans="2:12" x14ac:dyDescent="0.35">
      <c r="B114" s="9" t="s">
        <v>4</v>
      </c>
      <c r="C114" s="9" t="s">
        <v>80</v>
      </c>
      <c r="D114" s="9" t="s">
        <v>72</v>
      </c>
      <c r="E114" s="9" t="s">
        <v>51</v>
      </c>
      <c r="F114" s="17">
        <v>0.19599</v>
      </c>
      <c r="G114" s="17">
        <v>0.19556999999999999</v>
      </c>
      <c r="H114" s="17">
        <v>6.0000000000000002E-5</v>
      </c>
      <c r="I114" s="17">
        <v>3.6000000000000002E-4</v>
      </c>
      <c r="J114" s="14" t="s">
        <v>53</v>
      </c>
      <c r="K114" s="14">
        <v>2025</v>
      </c>
      <c r="L114" s="48" t="s">
        <v>54</v>
      </c>
    </row>
    <row r="115" spans="2:12" x14ac:dyDescent="0.35">
      <c r="B115" s="9" t="s">
        <v>4</v>
      </c>
      <c r="C115" s="9" t="s">
        <v>80</v>
      </c>
      <c r="D115" s="9" t="s">
        <v>72</v>
      </c>
      <c r="E115" s="9" t="s">
        <v>1172</v>
      </c>
      <c r="F115" s="17">
        <v>0.16725000000000001</v>
      </c>
      <c r="G115" s="17">
        <v>0.16608000000000001</v>
      </c>
      <c r="H115" s="17">
        <v>1.9000000000000001E-4</v>
      </c>
      <c r="I115" s="17">
        <v>9.7999999999999997E-4</v>
      </c>
      <c r="J115" s="14" t="s">
        <v>53</v>
      </c>
      <c r="K115" s="14">
        <v>2025</v>
      </c>
      <c r="L115" s="48" t="s">
        <v>54</v>
      </c>
    </row>
    <row r="116" spans="2:12" x14ac:dyDescent="0.35">
      <c r="B116" s="9" t="s">
        <v>4</v>
      </c>
      <c r="C116" s="9" t="s">
        <v>80</v>
      </c>
      <c r="D116" s="9" t="s">
        <v>72</v>
      </c>
      <c r="E116" s="9" t="s">
        <v>69</v>
      </c>
      <c r="F116" s="17">
        <v>9.1670000000000001E-2</v>
      </c>
      <c r="G116" s="17">
        <v>9.1209999999999999E-2</v>
      </c>
      <c r="H116" s="17">
        <v>2.5999999999999998E-4</v>
      </c>
      <c r="I116" s="17">
        <v>2.0000000000000001E-4</v>
      </c>
      <c r="J116" s="14" t="s">
        <v>53</v>
      </c>
      <c r="K116" s="14">
        <v>2025</v>
      </c>
      <c r="L116" s="48" t="s">
        <v>54</v>
      </c>
    </row>
    <row r="117" spans="2:12" ht="15" thickBot="1" x14ac:dyDescent="0.4">
      <c r="B117" s="33" t="s">
        <v>4</v>
      </c>
      <c r="C117" s="33" t="s">
        <v>80</v>
      </c>
      <c r="D117" s="33" t="s">
        <v>72</v>
      </c>
      <c r="E117" s="33" t="s">
        <v>70</v>
      </c>
      <c r="F117" s="38">
        <v>0</v>
      </c>
      <c r="G117" s="38">
        <v>0</v>
      </c>
      <c r="H117" s="38">
        <v>0</v>
      </c>
      <c r="I117" s="38">
        <v>0</v>
      </c>
      <c r="J117" s="46" t="s">
        <v>53</v>
      </c>
      <c r="K117" s="46">
        <v>2025</v>
      </c>
      <c r="L117" s="53" t="s">
        <v>54</v>
      </c>
    </row>
    <row r="118" spans="2:12" ht="15" thickTop="1" x14ac:dyDescent="0.35">
      <c r="B118" s="31" t="s">
        <v>81</v>
      </c>
      <c r="C118" s="9" t="s">
        <v>230</v>
      </c>
      <c r="D118" s="9" t="s">
        <v>72</v>
      </c>
      <c r="E118" s="57">
        <v>0</v>
      </c>
      <c r="F118" s="37">
        <v>0.11027000000000001</v>
      </c>
      <c r="G118" s="37"/>
      <c r="H118" s="37"/>
      <c r="I118" s="37"/>
      <c r="J118" s="14" t="s">
        <v>53</v>
      </c>
      <c r="K118" s="14">
        <v>2025</v>
      </c>
      <c r="L118" s="35" t="s">
        <v>54</v>
      </c>
    </row>
    <row r="119" spans="2:12" x14ac:dyDescent="0.35">
      <c r="B119" s="9" t="s">
        <v>81</v>
      </c>
      <c r="C119" s="9" t="s">
        <v>230</v>
      </c>
      <c r="D119" s="9" t="s">
        <v>72</v>
      </c>
      <c r="E119" s="57">
        <v>0.5</v>
      </c>
      <c r="F119" s="17">
        <v>0.11985</v>
      </c>
      <c r="G119" s="17"/>
      <c r="H119" s="17"/>
      <c r="I119" s="17"/>
      <c r="J119" s="14" t="s">
        <v>53</v>
      </c>
      <c r="K119" s="14">
        <v>2025</v>
      </c>
      <c r="L119" s="48" t="s">
        <v>54</v>
      </c>
    </row>
    <row r="120" spans="2:12" x14ac:dyDescent="0.35">
      <c r="B120" s="9" t="s">
        <v>81</v>
      </c>
      <c r="C120" s="9" t="s">
        <v>230</v>
      </c>
      <c r="D120" s="9" t="s">
        <v>72</v>
      </c>
      <c r="E120" s="57">
        <v>1</v>
      </c>
      <c r="F120" s="17">
        <v>0.12944</v>
      </c>
      <c r="G120" s="17"/>
      <c r="H120" s="17"/>
      <c r="I120" s="17"/>
      <c r="J120" s="14" t="s">
        <v>53</v>
      </c>
      <c r="K120" s="14">
        <v>2025</v>
      </c>
      <c r="L120" s="48" t="s">
        <v>54</v>
      </c>
    </row>
    <row r="121" spans="2:12" x14ac:dyDescent="0.35">
      <c r="B121" s="9" t="s">
        <v>81</v>
      </c>
      <c r="C121" s="9" t="s">
        <v>230</v>
      </c>
      <c r="D121" s="9" t="s">
        <v>72</v>
      </c>
      <c r="E121" s="9" t="s">
        <v>80</v>
      </c>
      <c r="F121" s="17">
        <v>0.11851</v>
      </c>
      <c r="G121" s="17"/>
      <c r="H121" s="17"/>
      <c r="I121" s="17"/>
      <c r="J121" s="14" t="s">
        <v>53</v>
      </c>
      <c r="K121" s="14">
        <v>2025</v>
      </c>
      <c r="L121" s="48" t="s">
        <v>54</v>
      </c>
    </row>
    <row r="122" spans="2:12" x14ac:dyDescent="0.35">
      <c r="B122" s="9" t="s">
        <v>81</v>
      </c>
      <c r="C122" s="9" t="s">
        <v>232</v>
      </c>
      <c r="D122" s="9" t="s">
        <v>72</v>
      </c>
      <c r="E122" s="57">
        <v>0</v>
      </c>
      <c r="F122" s="17">
        <v>0.13206999999999999</v>
      </c>
      <c r="G122" s="17"/>
      <c r="H122" s="17"/>
      <c r="I122" s="17"/>
      <c r="J122" s="14" t="s">
        <v>53</v>
      </c>
      <c r="K122" s="14">
        <v>2025</v>
      </c>
      <c r="L122" s="48" t="s">
        <v>54</v>
      </c>
    </row>
    <row r="123" spans="2:12" x14ac:dyDescent="0.35">
      <c r="B123" s="9" t="s">
        <v>81</v>
      </c>
      <c r="C123" s="9" t="s">
        <v>232</v>
      </c>
      <c r="D123" s="9" t="s">
        <v>72</v>
      </c>
      <c r="E123" s="57">
        <v>0.5</v>
      </c>
      <c r="F123" s="17">
        <v>0.15093999999999999</v>
      </c>
      <c r="G123" s="17"/>
      <c r="H123" s="17"/>
      <c r="I123" s="17"/>
      <c r="J123" s="14" t="s">
        <v>53</v>
      </c>
      <c r="K123" s="14">
        <v>2025</v>
      </c>
      <c r="L123" s="48" t="s">
        <v>54</v>
      </c>
    </row>
    <row r="124" spans="2:12" x14ac:dyDescent="0.35">
      <c r="B124" s="9" t="s">
        <v>81</v>
      </c>
      <c r="C124" s="9" t="s">
        <v>232</v>
      </c>
      <c r="D124" s="9" t="s">
        <v>72</v>
      </c>
      <c r="E124" s="57">
        <v>1</v>
      </c>
      <c r="F124" s="17">
        <v>0.16980999999999999</v>
      </c>
      <c r="G124" s="17"/>
      <c r="H124" s="17"/>
      <c r="I124" s="17"/>
      <c r="J124" s="14" t="s">
        <v>53</v>
      </c>
      <c r="K124" s="14">
        <v>2025</v>
      </c>
      <c r="L124" s="48" t="s">
        <v>54</v>
      </c>
    </row>
    <row r="125" spans="2:12" x14ac:dyDescent="0.35">
      <c r="B125" s="9" t="s">
        <v>81</v>
      </c>
      <c r="C125" s="9" t="s">
        <v>232</v>
      </c>
      <c r="D125" s="9" t="s">
        <v>72</v>
      </c>
      <c r="E125" s="9" t="s">
        <v>80</v>
      </c>
      <c r="F125" s="17">
        <v>0.14452999999999999</v>
      </c>
      <c r="G125" s="17"/>
      <c r="H125" s="17"/>
      <c r="I125" s="17"/>
      <c r="J125" s="14" t="s">
        <v>53</v>
      </c>
      <c r="K125" s="14">
        <v>2025</v>
      </c>
      <c r="L125" s="48" t="s">
        <v>54</v>
      </c>
    </row>
    <row r="126" spans="2:12" x14ac:dyDescent="0.35">
      <c r="B126" s="9" t="s">
        <v>81</v>
      </c>
      <c r="C126" s="9" t="s">
        <v>233</v>
      </c>
      <c r="D126" s="9" t="s">
        <v>72</v>
      </c>
      <c r="E126" s="57">
        <v>0</v>
      </c>
      <c r="F126" s="17">
        <v>0.18171999999999999</v>
      </c>
      <c r="G126" s="17"/>
      <c r="H126" s="17"/>
      <c r="I126" s="17"/>
      <c r="J126" s="14" t="s">
        <v>53</v>
      </c>
      <c r="K126" s="14">
        <v>2025</v>
      </c>
      <c r="L126" s="48" t="s">
        <v>54</v>
      </c>
    </row>
    <row r="127" spans="2:12" x14ac:dyDescent="0.35">
      <c r="B127" s="9" t="s">
        <v>81</v>
      </c>
      <c r="C127" s="9" t="s">
        <v>233</v>
      </c>
      <c r="D127" s="9" t="s">
        <v>72</v>
      </c>
      <c r="E127" s="57">
        <v>0.5</v>
      </c>
      <c r="F127" s="17">
        <v>0.22159999999999999</v>
      </c>
      <c r="G127" s="17"/>
      <c r="H127" s="17"/>
      <c r="I127" s="17"/>
      <c r="J127" s="14" t="s">
        <v>53</v>
      </c>
      <c r="K127" s="14">
        <v>2025</v>
      </c>
      <c r="L127" s="48" t="s">
        <v>54</v>
      </c>
    </row>
    <row r="128" spans="2:12" x14ac:dyDescent="0.35">
      <c r="B128" s="9" t="s">
        <v>81</v>
      </c>
      <c r="C128" s="9" t="s">
        <v>233</v>
      </c>
      <c r="D128" s="9" t="s">
        <v>72</v>
      </c>
      <c r="E128" s="57">
        <v>1</v>
      </c>
      <c r="F128" s="17">
        <v>0.26149</v>
      </c>
      <c r="G128" s="17"/>
      <c r="H128" s="17"/>
      <c r="I128" s="17"/>
      <c r="J128" s="14" t="s">
        <v>53</v>
      </c>
      <c r="K128" s="14">
        <v>2025</v>
      </c>
      <c r="L128" s="48" t="s">
        <v>54</v>
      </c>
    </row>
    <row r="129" spans="2:12" x14ac:dyDescent="0.35">
      <c r="B129" s="9" t="s">
        <v>81</v>
      </c>
      <c r="C129" s="9" t="s">
        <v>233</v>
      </c>
      <c r="D129" s="9" t="s">
        <v>72</v>
      </c>
      <c r="E129" s="9" t="s">
        <v>80</v>
      </c>
      <c r="F129" s="17">
        <v>0.23755999999999999</v>
      </c>
      <c r="G129" s="17"/>
      <c r="H129" s="17"/>
      <c r="I129" s="17"/>
      <c r="J129" s="14" t="s">
        <v>53</v>
      </c>
      <c r="K129" s="14">
        <v>2025</v>
      </c>
      <c r="L129" s="48" t="s">
        <v>54</v>
      </c>
    </row>
    <row r="130" spans="2:12" x14ac:dyDescent="0.35">
      <c r="B130" s="9" t="s">
        <v>81</v>
      </c>
      <c r="C130" s="9" t="s">
        <v>234</v>
      </c>
      <c r="D130" s="9" t="s">
        <v>72</v>
      </c>
      <c r="E130" s="57">
        <v>0</v>
      </c>
      <c r="F130" s="17">
        <v>0.16044</v>
      </c>
      <c r="G130" s="17"/>
      <c r="H130" s="17"/>
      <c r="I130" s="17"/>
      <c r="J130" s="14" t="s">
        <v>53</v>
      </c>
      <c r="K130" s="14">
        <v>2025</v>
      </c>
      <c r="L130" s="48" t="s">
        <v>54</v>
      </c>
    </row>
    <row r="131" spans="2:12" x14ac:dyDescent="0.35">
      <c r="B131" s="9" t="s">
        <v>81</v>
      </c>
      <c r="C131" s="9" t="s">
        <v>234</v>
      </c>
      <c r="D131" s="9" t="s">
        <v>72</v>
      </c>
      <c r="E131" s="57">
        <v>0.5</v>
      </c>
      <c r="F131" s="17">
        <v>0.19131000000000001</v>
      </c>
      <c r="G131" s="17"/>
      <c r="H131" s="17"/>
      <c r="I131" s="17"/>
      <c r="J131" s="14" t="s">
        <v>53</v>
      </c>
      <c r="K131" s="14">
        <v>2025</v>
      </c>
      <c r="L131" s="48" t="s">
        <v>54</v>
      </c>
    </row>
    <row r="132" spans="2:12" x14ac:dyDescent="0.35">
      <c r="B132" s="9" t="s">
        <v>81</v>
      </c>
      <c r="C132" s="9" t="s">
        <v>234</v>
      </c>
      <c r="D132" s="9" t="s">
        <v>72</v>
      </c>
      <c r="E132" s="57">
        <v>1</v>
      </c>
      <c r="F132" s="17">
        <v>0.22217999999999999</v>
      </c>
      <c r="G132" s="17"/>
      <c r="H132" s="17"/>
      <c r="I132" s="17"/>
      <c r="J132" s="14" t="s">
        <v>53</v>
      </c>
      <c r="K132" s="14">
        <v>2025</v>
      </c>
      <c r="L132" s="48" t="s">
        <v>54</v>
      </c>
    </row>
    <row r="133" spans="2:12" x14ac:dyDescent="0.35">
      <c r="B133" s="9" t="s">
        <v>81</v>
      </c>
      <c r="C133" s="9" t="s">
        <v>234</v>
      </c>
      <c r="D133" s="9" t="s">
        <v>72</v>
      </c>
      <c r="E133" s="9" t="s">
        <v>80</v>
      </c>
      <c r="F133" s="17">
        <v>0.20099</v>
      </c>
      <c r="G133" s="17"/>
      <c r="H133" s="17"/>
      <c r="I133" s="17"/>
      <c r="J133" s="14" t="s">
        <v>53</v>
      </c>
      <c r="K133" s="14">
        <v>2025</v>
      </c>
      <c r="L133" s="48" t="s">
        <v>54</v>
      </c>
    </row>
    <row r="134" spans="2:12" x14ac:dyDescent="0.35">
      <c r="B134" s="9" t="s">
        <v>81</v>
      </c>
      <c r="C134" s="9" t="s">
        <v>1309</v>
      </c>
      <c r="D134" s="9" t="s">
        <v>72</v>
      </c>
      <c r="E134" s="57">
        <v>0</v>
      </c>
      <c r="F134" s="17">
        <v>0.14831</v>
      </c>
      <c r="G134" s="17"/>
      <c r="H134" s="17"/>
      <c r="I134" s="17"/>
      <c r="J134" s="14" t="s">
        <v>53</v>
      </c>
      <c r="K134" s="14">
        <v>2025</v>
      </c>
      <c r="L134" s="48" t="s">
        <v>54</v>
      </c>
    </row>
    <row r="135" spans="2:12" x14ac:dyDescent="0.35">
      <c r="B135" s="9" t="s">
        <v>81</v>
      </c>
      <c r="C135" s="9" t="s">
        <v>1309</v>
      </c>
      <c r="D135" s="9" t="s">
        <v>72</v>
      </c>
      <c r="E135" s="57">
        <v>0.5</v>
      </c>
      <c r="F135" s="17">
        <v>0.18537999999999999</v>
      </c>
      <c r="G135" s="17"/>
      <c r="H135" s="17"/>
      <c r="I135" s="17"/>
      <c r="J135" s="14" t="s">
        <v>53</v>
      </c>
      <c r="K135" s="14">
        <v>2025</v>
      </c>
      <c r="L135" s="48" t="s">
        <v>54</v>
      </c>
    </row>
    <row r="136" spans="2:12" x14ac:dyDescent="0.35">
      <c r="B136" s="9" t="s">
        <v>81</v>
      </c>
      <c r="C136" s="9" t="s">
        <v>1309</v>
      </c>
      <c r="D136" s="9" t="s">
        <v>72</v>
      </c>
      <c r="E136" s="57">
        <v>1</v>
      </c>
      <c r="F136" s="17">
        <v>0.22245999999999999</v>
      </c>
      <c r="G136" s="17"/>
      <c r="H136" s="17"/>
      <c r="I136" s="17"/>
      <c r="J136" s="14" t="s">
        <v>53</v>
      </c>
      <c r="K136" s="14">
        <v>2025</v>
      </c>
      <c r="L136" s="48" t="s">
        <v>54</v>
      </c>
    </row>
    <row r="137" spans="2:12" x14ac:dyDescent="0.35">
      <c r="B137" s="9" t="s">
        <v>81</v>
      </c>
      <c r="C137" s="9" t="s">
        <v>1309</v>
      </c>
      <c r="D137" s="9" t="s">
        <v>72</v>
      </c>
      <c r="E137" s="9" t="s">
        <v>80</v>
      </c>
      <c r="F137" s="17">
        <v>0.18537999999999999</v>
      </c>
      <c r="G137" s="17"/>
      <c r="H137" s="17"/>
      <c r="I137" s="17"/>
      <c r="J137" s="14" t="s">
        <v>53</v>
      </c>
      <c r="K137" s="14">
        <v>2025</v>
      </c>
      <c r="L137" s="48" t="s">
        <v>54</v>
      </c>
    </row>
    <row r="138" spans="2:12" x14ac:dyDescent="0.35">
      <c r="B138" s="9" t="s">
        <v>81</v>
      </c>
      <c r="C138" s="9" t="s">
        <v>235</v>
      </c>
      <c r="D138" s="9" t="s">
        <v>72</v>
      </c>
      <c r="E138" s="57">
        <v>0</v>
      </c>
      <c r="F138" s="17">
        <v>0.15178</v>
      </c>
      <c r="G138" s="17"/>
      <c r="H138" s="17"/>
      <c r="I138" s="17"/>
      <c r="J138" s="14" t="s">
        <v>53</v>
      </c>
      <c r="K138" s="14">
        <v>2025</v>
      </c>
      <c r="L138" s="48" t="s">
        <v>54</v>
      </c>
    </row>
    <row r="139" spans="2:12" x14ac:dyDescent="0.35">
      <c r="B139" s="9" t="s">
        <v>81</v>
      </c>
      <c r="C139" s="9" t="s">
        <v>235</v>
      </c>
      <c r="D139" s="9" t="s">
        <v>72</v>
      </c>
      <c r="E139" s="57">
        <v>0.5</v>
      </c>
      <c r="F139" s="17">
        <v>0.20236999999999999</v>
      </c>
      <c r="G139" s="17"/>
      <c r="H139" s="17"/>
      <c r="I139" s="17"/>
      <c r="J139" s="14" t="s">
        <v>53</v>
      </c>
      <c r="K139" s="14">
        <v>2025</v>
      </c>
      <c r="L139" s="48" t="s">
        <v>54</v>
      </c>
    </row>
    <row r="140" spans="2:12" x14ac:dyDescent="0.35">
      <c r="B140" s="9" t="s">
        <v>81</v>
      </c>
      <c r="C140" s="9" t="s">
        <v>235</v>
      </c>
      <c r="D140" s="9" t="s">
        <v>72</v>
      </c>
      <c r="E140" s="57">
        <v>1</v>
      </c>
      <c r="F140" s="17">
        <v>0.25296000000000002</v>
      </c>
      <c r="G140" s="17"/>
      <c r="H140" s="17"/>
      <c r="I140" s="17"/>
      <c r="J140" s="14" t="s">
        <v>53</v>
      </c>
      <c r="K140" s="14">
        <v>2025</v>
      </c>
      <c r="L140" s="48" t="s">
        <v>54</v>
      </c>
    </row>
    <row r="141" spans="2:12" x14ac:dyDescent="0.35">
      <c r="B141" s="9" t="s">
        <v>81</v>
      </c>
      <c r="C141" s="9" t="s">
        <v>235</v>
      </c>
      <c r="D141" s="9" t="s">
        <v>72</v>
      </c>
      <c r="E141" s="9" t="s">
        <v>80</v>
      </c>
      <c r="F141" s="17">
        <v>0.22058</v>
      </c>
      <c r="G141" s="17"/>
      <c r="H141" s="17"/>
      <c r="I141" s="17"/>
      <c r="J141" s="14" t="s">
        <v>53</v>
      </c>
      <c r="K141" s="14">
        <v>2025</v>
      </c>
      <c r="L141" s="48" t="s">
        <v>54</v>
      </c>
    </row>
    <row r="142" spans="2:12" x14ac:dyDescent="0.35">
      <c r="B142" s="9" t="s">
        <v>81</v>
      </c>
      <c r="C142" s="9" t="s">
        <v>236</v>
      </c>
      <c r="D142" s="9" t="s">
        <v>72</v>
      </c>
      <c r="E142" s="57">
        <v>0</v>
      </c>
      <c r="F142" s="17">
        <v>0.15162</v>
      </c>
      <c r="G142" s="17"/>
      <c r="H142" s="17"/>
      <c r="I142" s="17"/>
      <c r="J142" s="14" t="s">
        <v>53</v>
      </c>
      <c r="K142" s="14">
        <v>2025</v>
      </c>
      <c r="L142" s="48" t="s">
        <v>54</v>
      </c>
    </row>
    <row r="143" spans="2:12" x14ac:dyDescent="0.35">
      <c r="B143" s="9" t="s">
        <v>81</v>
      </c>
      <c r="C143" s="9" t="s">
        <v>236</v>
      </c>
      <c r="D143" s="9" t="s">
        <v>72</v>
      </c>
      <c r="E143" s="57">
        <v>0.5</v>
      </c>
      <c r="F143" s="17">
        <v>0.20158999999999999</v>
      </c>
      <c r="G143" s="17"/>
      <c r="H143" s="17"/>
      <c r="I143" s="17"/>
      <c r="J143" s="14" t="s">
        <v>53</v>
      </c>
      <c r="K143" s="14">
        <v>2025</v>
      </c>
      <c r="L143" s="48" t="s">
        <v>54</v>
      </c>
    </row>
    <row r="144" spans="2:12" x14ac:dyDescent="0.35">
      <c r="B144" s="9" t="s">
        <v>81</v>
      </c>
      <c r="C144" s="9" t="s">
        <v>236</v>
      </c>
      <c r="D144" s="9" t="s">
        <v>72</v>
      </c>
      <c r="E144" s="57">
        <v>1</v>
      </c>
      <c r="F144" s="17">
        <v>0.25157000000000002</v>
      </c>
      <c r="G144" s="17"/>
      <c r="H144" s="17"/>
      <c r="I144" s="17"/>
      <c r="J144" s="14" t="s">
        <v>53</v>
      </c>
      <c r="K144" s="14">
        <v>2025</v>
      </c>
      <c r="L144" s="48" t="s">
        <v>54</v>
      </c>
    </row>
    <row r="145" spans="2:12" x14ac:dyDescent="0.35">
      <c r="B145" s="9" t="s">
        <v>81</v>
      </c>
      <c r="C145" s="9" t="s">
        <v>236</v>
      </c>
      <c r="D145" s="9" t="s">
        <v>72</v>
      </c>
      <c r="E145" s="9" t="s">
        <v>80</v>
      </c>
      <c r="F145" s="17">
        <v>0.21898000000000001</v>
      </c>
      <c r="G145" s="17"/>
      <c r="H145" s="17"/>
      <c r="I145" s="17"/>
      <c r="J145" s="14" t="s">
        <v>53</v>
      </c>
      <c r="K145" s="14">
        <v>2025</v>
      </c>
      <c r="L145" s="48" t="s">
        <v>54</v>
      </c>
    </row>
    <row r="146" spans="2:12" x14ac:dyDescent="0.35">
      <c r="B146" s="9" t="s">
        <v>81</v>
      </c>
      <c r="C146" s="9" t="s">
        <v>237</v>
      </c>
      <c r="D146" s="9" t="s">
        <v>72</v>
      </c>
      <c r="E146" s="57">
        <v>0</v>
      </c>
      <c r="F146" s="17">
        <v>0.15526999999999999</v>
      </c>
      <c r="G146" s="17"/>
      <c r="H146" s="17"/>
      <c r="I146" s="17"/>
      <c r="J146" s="14" t="s">
        <v>53</v>
      </c>
      <c r="K146" s="14">
        <v>2025</v>
      </c>
      <c r="L146" s="48" t="s">
        <v>54</v>
      </c>
    </row>
    <row r="147" spans="2:12" x14ac:dyDescent="0.35">
      <c r="B147" s="9" t="s">
        <v>81</v>
      </c>
      <c r="C147" s="9" t="s">
        <v>237</v>
      </c>
      <c r="D147" s="9" t="s">
        <v>72</v>
      </c>
      <c r="E147" s="57">
        <v>0.5</v>
      </c>
      <c r="F147" s="17">
        <v>0.19733999999999999</v>
      </c>
      <c r="G147" s="17"/>
      <c r="H147" s="17"/>
      <c r="I147" s="17"/>
      <c r="J147" s="14" t="s">
        <v>53</v>
      </c>
      <c r="K147" s="14">
        <v>2025</v>
      </c>
      <c r="L147" s="48" t="s">
        <v>54</v>
      </c>
    </row>
    <row r="148" spans="2:12" x14ac:dyDescent="0.35">
      <c r="B148" s="9" t="s">
        <v>81</v>
      </c>
      <c r="C148" s="9" t="s">
        <v>237</v>
      </c>
      <c r="D148" s="9" t="s">
        <v>72</v>
      </c>
      <c r="E148" s="57">
        <v>1</v>
      </c>
      <c r="F148" s="17">
        <v>0.23941999999999999</v>
      </c>
      <c r="G148" s="17"/>
      <c r="H148" s="17"/>
      <c r="I148" s="17"/>
      <c r="J148" s="14" t="s">
        <v>53</v>
      </c>
      <c r="K148" s="14">
        <v>2025</v>
      </c>
      <c r="L148" s="48" t="s">
        <v>54</v>
      </c>
    </row>
    <row r="149" spans="2:12" ht="15" thickBot="1" x14ac:dyDescent="0.4">
      <c r="B149" s="33" t="s">
        <v>81</v>
      </c>
      <c r="C149" s="33" t="s">
        <v>237</v>
      </c>
      <c r="D149" s="33" t="s">
        <v>72</v>
      </c>
      <c r="E149" s="33" t="s">
        <v>80</v>
      </c>
      <c r="F149" s="38">
        <v>0.21154000000000001</v>
      </c>
      <c r="G149" s="38"/>
      <c r="H149" s="38"/>
      <c r="I149" s="38"/>
      <c r="J149" s="46" t="s">
        <v>53</v>
      </c>
      <c r="K149" s="46">
        <v>2025</v>
      </c>
      <c r="L149" s="53" t="s">
        <v>54</v>
      </c>
    </row>
    <row r="150" spans="2:12" ht="15" thickTop="1" x14ac:dyDescent="0.35">
      <c r="B150" s="31" t="s">
        <v>81</v>
      </c>
      <c r="C150" s="31" t="s">
        <v>73</v>
      </c>
      <c r="D150" s="31" t="s">
        <v>72</v>
      </c>
      <c r="E150" s="31" t="s">
        <v>66</v>
      </c>
      <c r="F150" s="37">
        <v>3.4090000000000002E-2</v>
      </c>
      <c r="G150" s="37"/>
      <c r="H150" s="37"/>
      <c r="I150" s="37"/>
      <c r="J150" s="51" t="s">
        <v>53</v>
      </c>
      <c r="K150" s="51">
        <v>2025</v>
      </c>
      <c r="L150" s="39" t="s">
        <v>54</v>
      </c>
    </row>
    <row r="151" spans="2:12" x14ac:dyDescent="0.35">
      <c r="B151" s="9" t="s">
        <v>81</v>
      </c>
      <c r="C151" s="9" t="s">
        <v>73</v>
      </c>
      <c r="D151" s="9" t="s">
        <v>72</v>
      </c>
      <c r="E151" s="9" t="s">
        <v>67</v>
      </c>
      <c r="F151" s="17">
        <v>4.0149999999999998E-2</v>
      </c>
      <c r="G151" s="17"/>
      <c r="H151" s="17"/>
      <c r="I151" s="17"/>
      <c r="J151" s="14" t="s">
        <v>53</v>
      </c>
      <c r="K151" s="14">
        <v>2025</v>
      </c>
      <c r="L151" s="48" t="s">
        <v>54</v>
      </c>
    </row>
    <row r="152" spans="2:12" x14ac:dyDescent="0.35">
      <c r="B152" s="9" t="s">
        <v>81</v>
      </c>
      <c r="C152" s="9" t="s">
        <v>73</v>
      </c>
      <c r="D152" s="9" t="s">
        <v>72</v>
      </c>
      <c r="E152" s="9" t="s">
        <v>68</v>
      </c>
      <c r="F152" s="17">
        <v>3.0259999999999999E-2</v>
      </c>
      <c r="G152" s="17"/>
      <c r="H152" s="17"/>
      <c r="I152" s="17"/>
      <c r="J152" s="14" t="s">
        <v>53</v>
      </c>
      <c r="K152" s="14">
        <v>2025</v>
      </c>
      <c r="L152" s="48" t="s">
        <v>54</v>
      </c>
    </row>
    <row r="153" spans="2:12" x14ac:dyDescent="0.35">
      <c r="B153" s="9" t="s">
        <v>81</v>
      </c>
      <c r="C153" s="9" t="s">
        <v>73</v>
      </c>
      <c r="D153" s="9" t="s">
        <v>72</v>
      </c>
      <c r="E153" s="9" t="s">
        <v>51</v>
      </c>
      <c r="F153" s="17"/>
      <c r="G153" s="17"/>
      <c r="H153" s="17"/>
      <c r="I153" s="17"/>
      <c r="J153" s="14" t="s">
        <v>53</v>
      </c>
      <c r="K153" s="14">
        <v>2025</v>
      </c>
      <c r="L153" s="48" t="s">
        <v>54</v>
      </c>
    </row>
    <row r="154" spans="2:12" x14ac:dyDescent="0.35">
      <c r="B154" s="9" t="s">
        <v>81</v>
      </c>
      <c r="C154" s="9" t="s">
        <v>73</v>
      </c>
      <c r="D154" s="9" t="s">
        <v>72</v>
      </c>
      <c r="E154" s="9" t="s">
        <v>1172</v>
      </c>
      <c r="F154" s="17">
        <v>3.8359999999999998E-2</v>
      </c>
      <c r="G154" s="17"/>
      <c r="H154" s="17"/>
      <c r="I154" s="17"/>
      <c r="J154" s="14" t="s">
        <v>53</v>
      </c>
      <c r="K154" s="14">
        <v>2025</v>
      </c>
      <c r="L154" s="48" t="s">
        <v>54</v>
      </c>
    </row>
    <row r="155" spans="2:12" x14ac:dyDescent="0.35">
      <c r="B155" s="9" t="s">
        <v>81</v>
      </c>
      <c r="C155" s="9" t="s">
        <v>73</v>
      </c>
      <c r="D155" s="9" t="s">
        <v>72</v>
      </c>
      <c r="E155" s="9" t="s">
        <v>69</v>
      </c>
      <c r="F155" s="17">
        <v>1.52E-2</v>
      </c>
      <c r="G155" s="17"/>
      <c r="H155" s="17"/>
      <c r="I155" s="17"/>
      <c r="J155" s="14" t="s">
        <v>53</v>
      </c>
      <c r="K155" s="14">
        <v>2025</v>
      </c>
      <c r="L155" s="48" t="s">
        <v>54</v>
      </c>
    </row>
    <row r="156" spans="2:12" x14ac:dyDescent="0.35">
      <c r="B156" s="9" t="s">
        <v>81</v>
      </c>
      <c r="C156" s="9" t="s">
        <v>73</v>
      </c>
      <c r="D156" s="9" t="s">
        <v>72</v>
      </c>
      <c r="E156" s="9" t="s">
        <v>70</v>
      </c>
      <c r="F156" s="17">
        <v>9.4800000000000006E-3</v>
      </c>
      <c r="G156" s="17"/>
      <c r="H156" s="17"/>
      <c r="I156" s="17"/>
      <c r="J156" s="14" t="s">
        <v>53</v>
      </c>
      <c r="K156" s="14">
        <v>2025</v>
      </c>
      <c r="L156" s="48" t="s">
        <v>54</v>
      </c>
    </row>
    <row r="157" spans="2:12" x14ac:dyDescent="0.35">
      <c r="B157" s="9" t="s">
        <v>81</v>
      </c>
      <c r="C157" s="9" t="s">
        <v>78</v>
      </c>
      <c r="D157" s="9" t="s">
        <v>72</v>
      </c>
      <c r="E157" s="31" t="s">
        <v>66</v>
      </c>
      <c r="F157" s="17">
        <v>4.1029999999999997E-2</v>
      </c>
      <c r="G157" s="17"/>
      <c r="H157" s="17"/>
      <c r="I157" s="17"/>
      <c r="J157" s="14" t="s">
        <v>53</v>
      </c>
      <c r="K157" s="14">
        <v>2025</v>
      </c>
      <c r="L157" s="48" t="s">
        <v>54</v>
      </c>
    </row>
    <row r="158" spans="2:12" x14ac:dyDescent="0.35">
      <c r="B158" s="9" t="s">
        <v>81</v>
      </c>
      <c r="C158" s="9" t="s">
        <v>78</v>
      </c>
      <c r="D158" s="9" t="s">
        <v>72</v>
      </c>
      <c r="E158" s="9" t="s">
        <v>67</v>
      </c>
      <c r="F158" s="17">
        <v>4.9570000000000003E-2</v>
      </c>
      <c r="G158" s="17"/>
      <c r="H158" s="17"/>
      <c r="I158" s="17"/>
      <c r="J158" s="14" t="s">
        <v>53</v>
      </c>
      <c r="K158" s="14">
        <v>2025</v>
      </c>
      <c r="L158" s="48" t="s">
        <v>54</v>
      </c>
    </row>
    <row r="159" spans="2:12" x14ac:dyDescent="0.35">
      <c r="B159" s="9" t="s">
        <v>81</v>
      </c>
      <c r="C159" s="9" t="s">
        <v>78</v>
      </c>
      <c r="D159" s="9" t="s">
        <v>72</v>
      </c>
      <c r="E159" s="9" t="s">
        <v>68</v>
      </c>
      <c r="F159" s="17">
        <v>2.998E-2</v>
      </c>
      <c r="G159" s="17"/>
      <c r="H159" s="17"/>
      <c r="I159" s="17"/>
      <c r="J159" s="14" t="s">
        <v>53</v>
      </c>
      <c r="K159" s="14">
        <v>2025</v>
      </c>
      <c r="L159" s="48" t="s">
        <v>54</v>
      </c>
    </row>
    <row r="160" spans="2:12" x14ac:dyDescent="0.35">
      <c r="B160" s="9" t="s">
        <v>81</v>
      </c>
      <c r="C160" s="9" t="s">
        <v>78</v>
      </c>
      <c r="D160" s="9" t="s">
        <v>72</v>
      </c>
      <c r="E160" s="9" t="s">
        <v>51</v>
      </c>
      <c r="F160" s="17">
        <v>2.0930000000000001E-2</v>
      </c>
      <c r="G160" s="17"/>
      <c r="H160" s="17"/>
      <c r="I160" s="17"/>
      <c r="J160" s="14" t="s">
        <v>53</v>
      </c>
      <c r="K160" s="14">
        <v>2025</v>
      </c>
      <c r="L160" s="48" t="s">
        <v>54</v>
      </c>
    </row>
    <row r="161" spans="2:12" x14ac:dyDescent="0.35">
      <c r="B161" s="9" t="s">
        <v>81</v>
      </c>
      <c r="C161" s="9" t="s">
        <v>78</v>
      </c>
      <c r="D161" s="9" t="s">
        <v>72</v>
      </c>
      <c r="E161" s="9" t="s">
        <v>1172</v>
      </c>
      <c r="F161" s="17">
        <v>4.5179999999999998E-2</v>
      </c>
      <c r="G161" s="17"/>
      <c r="H161" s="17"/>
      <c r="I161" s="17"/>
      <c r="J161" s="14" t="s">
        <v>53</v>
      </c>
      <c r="K161" s="14">
        <v>2025</v>
      </c>
      <c r="L161" s="48" t="s">
        <v>54</v>
      </c>
    </row>
    <row r="162" spans="2:12" x14ac:dyDescent="0.35">
      <c r="B162" s="9" t="s">
        <v>81</v>
      </c>
      <c r="C162" s="9" t="s">
        <v>78</v>
      </c>
      <c r="D162" s="9" t="s">
        <v>72</v>
      </c>
      <c r="E162" s="9" t="s">
        <v>69</v>
      </c>
      <c r="F162" s="17">
        <v>2.5239999999999999E-2</v>
      </c>
      <c r="G162" s="17"/>
      <c r="H162" s="17"/>
      <c r="I162" s="17"/>
      <c r="J162" s="14" t="s">
        <v>53</v>
      </c>
      <c r="K162" s="14">
        <v>2025</v>
      </c>
      <c r="L162" s="48" t="s">
        <v>54</v>
      </c>
    </row>
    <row r="163" spans="2:12" x14ac:dyDescent="0.35">
      <c r="B163" s="9" t="s">
        <v>81</v>
      </c>
      <c r="C163" s="9" t="s">
        <v>78</v>
      </c>
      <c r="D163" s="9" t="s">
        <v>72</v>
      </c>
      <c r="E163" s="9" t="s">
        <v>70</v>
      </c>
      <c r="F163" s="17">
        <v>1.022E-2</v>
      </c>
      <c r="G163" s="17"/>
      <c r="H163" s="17"/>
      <c r="I163" s="17"/>
      <c r="J163" s="14" t="s">
        <v>53</v>
      </c>
      <c r="K163" s="14">
        <v>2025</v>
      </c>
      <c r="L163" s="48" t="s">
        <v>54</v>
      </c>
    </row>
    <row r="164" spans="2:12" x14ac:dyDescent="0.35">
      <c r="B164" s="9" t="s">
        <v>81</v>
      </c>
      <c r="C164" s="9" t="s">
        <v>79</v>
      </c>
      <c r="D164" s="9" t="s">
        <v>72</v>
      </c>
      <c r="E164" s="31" t="s">
        <v>66</v>
      </c>
      <c r="F164" s="17">
        <v>5.0700000000000002E-2</v>
      </c>
      <c r="G164" s="17"/>
      <c r="H164" s="17"/>
      <c r="I164" s="17"/>
      <c r="J164" s="14" t="s">
        <v>53</v>
      </c>
      <c r="K164" s="14">
        <v>2025</v>
      </c>
      <c r="L164" s="48" t="s">
        <v>54</v>
      </c>
    </row>
    <row r="165" spans="2:12" x14ac:dyDescent="0.35">
      <c r="B165" s="9" t="s">
        <v>81</v>
      </c>
      <c r="C165" s="9" t="s">
        <v>79</v>
      </c>
      <c r="D165" s="9" t="s">
        <v>72</v>
      </c>
      <c r="E165" s="9" t="s">
        <v>67</v>
      </c>
      <c r="F165" s="17">
        <v>7.528E-2</v>
      </c>
      <c r="G165" s="17"/>
      <c r="H165" s="17"/>
      <c r="I165" s="17"/>
      <c r="J165" s="14" t="s">
        <v>53</v>
      </c>
      <c r="K165" s="14">
        <v>2025</v>
      </c>
      <c r="L165" s="48" t="s">
        <v>54</v>
      </c>
    </row>
    <row r="166" spans="2:12" x14ac:dyDescent="0.35">
      <c r="B166" s="9" t="s">
        <v>81</v>
      </c>
      <c r="C166" s="9" t="s">
        <v>79</v>
      </c>
      <c r="D166" s="9" t="s">
        <v>72</v>
      </c>
      <c r="E166" s="9" t="s">
        <v>68</v>
      </c>
      <c r="F166" s="17">
        <v>3.9609999999999999E-2</v>
      </c>
      <c r="G166" s="17"/>
      <c r="H166" s="17"/>
      <c r="I166" s="17"/>
      <c r="J166" s="14" t="s">
        <v>53</v>
      </c>
      <c r="K166" s="14">
        <v>2025</v>
      </c>
      <c r="L166" s="48" t="s">
        <v>54</v>
      </c>
    </row>
    <row r="167" spans="2:12" x14ac:dyDescent="0.35">
      <c r="B167" s="9" t="s">
        <v>81</v>
      </c>
      <c r="C167" s="9" t="s">
        <v>79</v>
      </c>
      <c r="D167" s="9" t="s">
        <v>72</v>
      </c>
      <c r="E167" s="9" t="s">
        <v>51</v>
      </c>
      <c r="F167" s="17">
        <v>4.8759999999999998E-2</v>
      </c>
      <c r="G167" s="17"/>
      <c r="H167" s="17"/>
      <c r="I167" s="17"/>
      <c r="J167" s="14" t="s">
        <v>53</v>
      </c>
      <c r="K167" s="14">
        <v>2025</v>
      </c>
      <c r="L167" s="48" t="s">
        <v>54</v>
      </c>
    </row>
    <row r="168" spans="2:12" x14ac:dyDescent="0.35">
      <c r="B168" s="9" t="s">
        <v>81</v>
      </c>
      <c r="C168" s="9" t="s">
        <v>79</v>
      </c>
      <c r="D168" s="9" t="s">
        <v>72</v>
      </c>
      <c r="E168" s="9" t="s">
        <v>1172</v>
      </c>
      <c r="F168" s="17">
        <v>0.57640000000000002</v>
      </c>
      <c r="G168" s="17"/>
      <c r="H168" s="17"/>
      <c r="I168" s="17"/>
      <c r="J168" s="14" t="s">
        <v>53</v>
      </c>
      <c r="K168" s="14">
        <v>2025</v>
      </c>
      <c r="L168" s="48" t="s">
        <v>54</v>
      </c>
    </row>
    <row r="169" spans="2:12" x14ac:dyDescent="0.35">
      <c r="B169" s="9" t="s">
        <v>81</v>
      </c>
      <c r="C169" s="9" t="s">
        <v>79</v>
      </c>
      <c r="D169" s="9" t="s">
        <v>72</v>
      </c>
      <c r="E169" s="9" t="s">
        <v>69</v>
      </c>
      <c r="F169" s="17">
        <v>0.3221</v>
      </c>
      <c r="G169" s="17"/>
      <c r="H169" s="17"/>
      <c r="I169" s="17"/>
      <c r="J169" s="14" t="s">
        <v>53</v>
      </c>
      <c r="K169" s="14">
        <v>2025</v>
      </c>
      <c r="L169" s="48" t="s">
        <v>54</v>
      </c>
    </row>
    <row r="170" spans="2:12" x14ac:dyDescent="0.35">
      <c r="B170" s="9" t="s">
        <v>81</v>
      </c>
      <c r="C170" s="9" t="s">
        <v>79</v>
      </c>
      <c r="D170" s="9" t="s">
        <v>72</v>
      </c>
      <c r="E170" s="9" t="s">
        <v>70</v>
      </c>
      <c r="F170" s="17">
        <v>1.0880000000000001E-2</v>
      </c>
      <c r="G170" s="17"/>
      <c r="H170" s="17"/>
      <c r="I170" s="17"/>
      <c r="J170" s="14" t="s">
        <v>53</v>
      </c>
      <c r="K170" s="14">
        <v>2025</v>
      </c>
      <c r="L170" s="48" t="s">
        <v>54</v>
      </c>
    </row>
    <row r="171" spans="2:12" x14ac:dyDescent="0.35">
      <c r="B171" s="9" t="s">
        <v>81</v>
      </c>
      <c r="C171" s="9" t="s">
        <v>80</v>
      </c>
      <c r="D171" s="9" t="s">
        <v>72</v>
      </c>
      <c r="E171" s="31" t="s">
        <v>66</v>
      </c>
      <c r="F171" s="17">
        <v>4.1459999999999997E-2</v>
      </c>
      <c r="G171" s="17"/>
      <c r="H171" s="17"/>
      <c r="I171" s="17"/>
      <c r="J171" s="14" t="s">
        <v>53</v>
      </c>
      <c r="K171" s="14">
        <v>2025</v>
      </c>
      <c r="L171" s="48" t="s">
        <v>54</v>
      </c>
    </row>
    <row r="172" spans="2:12" x14ac:dyDescent="0.35">
      <c r="B172" s="9" t="s">
        <v>81</v>
      </c>
      <c r="C172" s="9" t="s">
        <v>80</v>
      </c>
      <c r="D172" s="9" t="s">
        <v>72</v>
      </c>
      <c r="E172" s="9" t="s">
        <v>67</v>
      </c>
      <c r="F172" s="17">
        <v>4.5990000000000003E-2</v>
      </c>
      <c r="G172" s="17"/>
      <c r="H172" s="17"/>
      <c r="I172" s="17"/>
      <c r="J172" s="14" t="s">
        <v>53</v>
      </c>
      <c r="K172" s="14">
        <v>2025</v>
      </c>
      <c r="L172" s="48" t="s">
        <v>54</v>
      </c>
    </row>
    <row r="173" spans="2:12" x14ac:dyDescent="0.35">
      <c r="B173" s="9" t="s">
        <v>81</v>
      </c>
      <c r="C173" s="9" t="s">
        <v>80</v>
      </c>
      <c r="D173" s="9" t="s">
        <v>72</v>
      </c>
      <c r="E173" s="9" t="s">
        <v>68</v>
      </c>
      <c r="F173" s="17">
        <v>3.3149999999999999E-2</v>
      </c>
      <c r="G173" s="17"/>
      <c r="H173" s="17"/>
      <c r="I173" s="17"/>
      <c r="J173" s="14" t="s">
        <v>53</v>
      </c>
      <c r="K173" s="14">
        <v>2025</v>
      </c>
      <c r="L173" s="48" t="s">
        <v>54</v>
      </c>
    </row>
    <row r="174" spans="2:12" x14ac:dyDescent="0.35">
      <c r="B174" s="9" t="s">
        <v>81</v>
      </c>
      <c r="C174" s="9" t="s">
        <v>80</v>
      </c>
      <c r="D174" s="9" t="s">
        <v>72</v>
      </c>
      <c r="E174" s="9" t="s">
        <v>51</v>
      </c>
      <c r="F174" s="17">
        <v>2.341E-2</v>
      </c>
      <c r="G174" s="17"/>
      <c r="H174" s="17"/>
      <c r="I174" s="17"/>
      <c r="J174" s="14" t="s">
        <v>53</v>
      </c>
      <c r="K174" s="14">
        <v>2025</v>
      </c>
      <c r="L174" s="48" t="s">
        <v>54</v>
      </c>
    </row>
    <row r="175" spans="2:12" x14ac:dyDescent="0.35">
      <c r="B175" s="9" t="s">
        <v>81</v>
      </c>
      <c r="C175" s="9" t="s">
        <v>80</v>
      </c>
      <c r="D175" s="9" t="s">
        <v>72</v>
      </c>
      <c r="E175" s="9" t="s">
        <v>1172</v>
      </c>
      <c r="F175" s="17">
        <v>4.3990000000000001E-2</v>
      </c>
      <c r="G175" s="17"/>
      <c r="H175" s="17"/>
      <c r="I175" s="17"/>
      <c r="J175" s="14" t="s">
        <v>53</v>
      </c>
      <c r="K175" s="14">
        <v>2025</v>
      </c>
      <c r="L175" s="48" t="s">
        <v>54</v>
      </c>
    </row>
    <row r="176" spans="2:12" x14ac:dyDescent="0.35">
      <c r="B176" s="9" t="s">
        <v>81</v>
      </c>
      <c r="C176" s="9" t="s">
        <v>80</v>
      </c>
      <c r="D176" s="9" t="s">
        <v>72</v>
      </c>
      <c r="E176" s="9" t="s">
        <v>69</v>
      </c>
      <c r="F176" s="17">
        <v>2.9340000000000001E-2</v>
      </c>
      <c r="G176" s="17"/>
      <c r="H176" s="17"/>
      <c r="I176" s="17"/>
      <c r="J176" s="14" t="s">
        <v>53</v>
      </c>
      <c r="K176" s="14">
        <v>2025</v>
      </c>
      <c r="L176" s="48" t="s">
        <v>54</v>
      </c>
    </row>
    <row r="177" spans="2:12" x14ac:dyDescent="0.35">
      <c r="B177" s="9" t="s">
        <v>81</v>
      </c>
      <c r="C177" s="9" t="s">
        <v>80</v>
      </c>
      <c r="D177" s="9" t="s">
        <v>72</v>
      </c>
      <c r="E177" s="9" t="s">
        <v>70</v>
      </c>
      <c r="F177" s="17">
        <v>1.0489999999999999E-2</v>
      </c>
      <c r="G177" s="17"/>
      <c r="H177" s="17"/>
      <c r="I177" s="17"/>
      <c r="J177" s="14" t="s">
        <v>53</v>
      </c>
      <c r="K177" s="14">
        <v>2025</v>
      </c>
      <c r="L177" s="48" t="s">
        <v>54</v>
      </c>
    </row>
    <row r="178" spans="2:12" s="12" customFormat="1" ht="15" thickBot="1" x14ac:dyDescent="0.4"/>
    <row r="179" spans="2:12" ht="15" thickTop="1" x14ac:dyDescent="0.35"/>
    <row r="180" spans="2:12" ht="17" x14ac:dyDescent="0.35">
      <c r="B180" s="41" t="s">
        <v>2577</v>
      </c>
      <c r="C180" s="7"/>
      <c r="D180" s="7"/>
      <c r="E180" s="7"/>
      <c r="F180" s="7"/>
      <c r="G180" s="7"/>
      <c r="H180" s="7"/>
      <c r="I180" s="7"/>
      <c r="J180" s="7"/>
      <c r="K180" s="7"/>
      <c r="L180" s="7"/>
    </row>
    <row r="182" spans="2:12" ht="25" customHeight="1" x14ac:dyDescent="0.35">
      <c r="B182" s="19" t="s">
        <v>20</v>
      </c>
      <c r="C182" s="20" t="s">
        <v>87</v>
      </c>
      <c r="D182" s="20" t="s">
        <v>40</v>
      </c>
      <c r="E182" s="20" t="s">
        <v>88</v>
      </c>
      <c r="F182" s="20" t="s">
        <v>227</v>
      </c>
      <c r="G182" s="20" t="s">
        <v>42</v>
      </c>
      <c r="H182" s="20" t="s">
        <v>43</v>
      </c>
      <c r="I182" s="20" t="s">
        <v>44</v>
      </c>
      <c r="J182" s="20" t="s">
        <v>38</v>
      </c>
      <c r="K182" s="20" t="s">
        <v>46</v>
      </c>
      <c r="L182" s="21" t="s">
        <v>47</v>
      </c>
    </row>
    <row r="183" spans="2:12" ht="20" customHeight="1" x14ac:dyDescent="0.35">
      <c r="B183" s="18" t="s">
        <v>5</v>
      </c>
      <c r="C183" s="9" t="s">
        <v>89</v>
      </c>
      <c r="D183" s="9" t="s">
        <v>90</v>
      </c>
      <c r="E183" s="17">
        <v>1</v>
      </c>
      <c r="F183" s="17"/>
      <c r="G183" s="17"/>
      <c r="H183" s="17"/>
      <c r="I183" s="17"/>
      <c r="J183" s="9" t="s">
        <v>53</v>
      </c>
      <c r="K183" s="9">
        <v>2025</v>
      </c>
      <c r="L183" s="35" t="s">
        <v>54</v>
      </c>
    </row>
    <row r="184" spans="2:12" ht="20" customHeight="1" x14ac:dyDescent="0.35">
      <c r="B184" s="18" t="s">
        <v>5</v>
      </c>
      <c r="C184" s="9" t="s">
        <v>91</v>
      </c>
      <c r="D184" s="9" t="s">
        <v>90</v>
      </c>
      <c r="E184" s="17">
        <v>28</v>
      </c>
      <c r="F184" s="17"/>
      <c r="G184" s="17"/>
      <c r="H184" s="17"/>
      <c r="I184" s="17"/>
      <c r="J184" s="9" t="s">
        <v>53</v>
      </c>
      <c r="K184" s="9">
        <v>2025</v>
      </c>
      <c r="L184" s="10" t="s">
        <v>54</v>
      </c>
    </row>
    <row r="185" spans="2:12" ht="20" customHeight="1" x14ac:dyDescent="0.35">
      <c r="B185" s="18" t="s">
        <v>5</v>
      </c>
      <c r="C185" s="9" t="s">
        <v>92</v>
      </c>
      <c r="D185" s="9" t="s">
        <v>90</v>
      </c>
      <c r="E185" s="17">
        <v>265</v>
      </c>
      <c r="F185" s="17"/>
      <c r="G185" s="17"/>
      <c r="H185" s="17"/>
      <c r="I185" s="17"/>
      <c r="J185" s="9" t="s">
        <v>53</v>
      </c>
      <c r="K185" s="9">
        <v>2025</v>
      </c>
      <c r="L185" s="10" t="s">
        <v>54</v>
      </c>
    </row>
    <row r="186" spans="2:12" ht="20" customHeight="1" x14ac:dyDescent="0.35">
      <c r="B186" s="18" t="s">
        <v>5</v>
      </c>
      <c r="C186" s="9" t="s">
        <v>93</v>
      </c>
      <c r="D186" s="9" t="s">
        <v>90</v>
      </c>
      <c r="E186" s="17">
        <v>12400</v>
      </c>
      <c r="F186" s="17"/>
      <c r="G186" s="17"/>
      <c r="H186" s="17"/>
      <c r="I186" s="17"/>
      <c r="J186" s="9" t="s">
        <v>53</v>
      </c>
      <c r="K186" s="9">
        <v>2025</v>
      </c>
      <c r="L186" s="10" t="s">
        <v>54</v>
      </c>
    </row>
    <row r="187" spans="2:12" ht="20" customHeight="1" x14ac:dyDescent="0.35">
      <c r="B187" s="18" t="s">
        <v>5</v>
      </c>
      <c r="C187" s="9" t="s">
        <v>94</v>
      </c>
      <c r="D187" s="9" t="s">
        <v>90</v>
      </c>
      <c r="E187" s="17">
        <v>677</v>
      </c>
      <c r="F187" s="17"/>
      <c r="G187" s="17"/>
      <c r="H187" s="17"/>
      <c r="I187" s="17"/>
      <c r="J187" s="9" t="s">
        <v>53</v>
      </c>
      <c r="K187" s="9">
        <v>2025</v>
      </c>
      <c r="L187" s="10" t="s">
        <v>54</v>
      </c>
    </row>
    <row r="188" spans="2:12" ht="20" customHeight="1" x14ac:dyDescent="0.35">
      <c r="B188" s="18" t="s">
        <v>5</v>
      </c>
      <c r="C188" s="9" t="s">
        <v>95</v>
      </c>
      <c r="D188" s="9" t="s">
        <v>90</v>
      </c>
      <c r="E188" s="17">
        <v>116</v>
      </c>
      <c r="F188" s="17"/>
      <c r="G188" s="17"/>
      <c r="H188" s="17"/>
      <c r="I188" s="17"/>
      <c r="J188" s="9" t="s">
        <v>53</v>
      </c>
      <c r="K188" s="9">
        <v>2025</v>
      </c>
      <c r="L188" s="10" t="s">
        <v>54</v>
      </c>
    </row>
    <row r="189" spans="2:12" ht="20" customHeight="1" x14ac:dyDescent="0.35">
      <c r="B189" s="18" t="s">
        <v>5</v>
      </c>
      <c r="C189" s="9" t="s">
        <v>96</v>
      </c>
      <c r="D189" s="9" t="s">
        <v>90</v>
      </c>
      <c r="E189" s="17">
        <v>3170</v>
      </c>
      <c r="F189" s="17"/>
      <c r="G189" s="17"/>
      <c r="H189" s="17"/>
      <c r="I189" s="17"/>
      <c r="J189" s="9" t="s">
        <v>53</v>
      </c>
      <c r="K189" s="9">
        <v>2025</v>
      </c>
      <c r="L189" s="10" t="s">
        <v>54</v>
      </c>
    </row>
    <row r="190" spans="2:12" ht="20" customHeight="1" x14ac:dyDescent="0.35">
      <c r="B190" s="18" t="s">
        <v>5</v>
      </c>
      <c r="C190" s="9" t="s">
        <v>97</v>
      </c>
      <c r="D190" s="9" t="s">
        <v>90</v>
      </c>
      <c r="E190" s="17">
        <v>1120</v>
      </c>
      <c r="F190" s="17"/>
      <c r="G190" s="17"/>
      <c r="H190" s="17"/>
      <c r="I190" s="17"/>
      <c r="J190" s="9" t="s">
        <v>53</v>
      </c>
      <c r="K190" s="9">
        <v>2025</v>
      </c>
      <c r="L190" s="10" t="s">
        <v>54</v>
      </c>
    </row>
    <row r="191" spans="2:12" ht="20" customHeight="1" x14ac:dyDescent="0.35">
      <c r="B191" s="18" t="s">
        <v>5</v>
      </c>
      <c r="C191" s="9" t="s">
        <v>98</v>
      </c>
      <c r="D191" s="9" t="s">
        <v>90</v>
      </c>
      <c r="E191" s="17">
        <v>1300</v>
      </c>
      <c r="F191" s="17"/>
      <c r="G191" s="17"/>
      <c r="H191" s="17"/>
      <c r="I191" s="17"/>
      <c r="J191" s="9" t="s">
        <v>53</v>
      </c>
      <c r="K191" s="9">
        <v>2025</v>
      </c>
      <c r="L191" s="10" t="s">
        <v>54</v>
      </c>
    </row>
    <row r="192" spans="2:12" ht="20" customHeight="1" x14ac:dyDescent="0.35">
      <c r="B192" s="18" t="s">
        <v>5</v>
      </c>
      <c r="C192" s="9" t="s">
        <v>99</v>
      </c>
      <c r="D192" s="9" t="s">
        <v>90</v>
      </c>
      <c r="E192" s="17">
        <v>328</v>
      </c>
      <c r="F192" s="17"/>
      <c r="G192" s="17"/>
      <c r="H192" s="17"/>
      <c r="I192" s="17"/>
      <c r="J192" s="9" t="s">
        <v>53</v>
      </c>
      <c r="K192" s="9">
        <v>2025</v>
      </c>
      <c r="L192" s="10" t="s">
        <v>54</v>
      </c>
    </row>
    <row r="193" spans="2:12" ht="20" customHeight="1" x14ac:dyDescent="0.35">
      <c r="B193" s="18" t="s">
        <v>5</v>
      </c>
      <c r="C193" s="9" t="s">
        <v>100</v>
      </c>
      <c r="D193" s="9" t="s">
        <v>90</v>
      </c>
      <c r="E193" s="17">
        <v>4800</v>
      </c>
      <c r="F193" s="17"/>
      <c r="G193" s="17"/>
      <c r="H193" s="17"/>
      <c r="I193" s="17"/>
      <c r="J193" s="9" t="s">
        <v>53</v>
      </c>
      <c r="K193" s="9">
        <v>2025</v>
      </c>
      <c r="L193" s="10" t="s">
        <v>54</v>
      </c>
    </row>
    <row r="194" spans="2:12" ht="20" customHeight="1" x14ac:dyDescent="0.35">
      <c r="B194" s="18" t="s">
        <v>5</v>
      </c>
      <c r="C194" s="9" t="s">
        <v>101</v>
      </c>
      <c r="D194" s="9" t="s">
        <v>90</v>
      </c>
      <c r="E194" s="17">
        <v>138</v>
      </c>
      <c r="F194" s="17"/>
      <c r="G194" s="17"/>
      <c r="H194" s="17"/>
      <c r="I194" s="17"/>
      <c r="J194" s="9" t="s">
        <v>53</v>
      </c>
      <c r="K194" s="9">
        <v>2025</v>
      </c>
      <c r="L194" s="10" t="s">
        <v>54</v>
      </c>
    </row>
    <row r="195" spans="2:12" ht="20" customHeight="1" x14ac:dyDescent="0.35">
      <c r="B195" s="18" t="s">
        <v>5</v>
      </c>
      <c r="C195" s="9" t="s">
        <v>102</v>
      </c>
      <c r="D195" s="9" t="s">
        <v>90</v>
      </c>
      <c r="E195" s="17">
        <v>3350</v>
      </c>
      <c r="F195" s="17"/>
      <c r="G195" s="17"/>
      <c r="H195" s="17"/>
      <c r="I195" s="17"/>
      <c r="J195" s="9" t="s">
        <v>53</v>
      </c>
      <c r="K195" s="9">
        <v>2025</v>
      </c>
      <c r="L195" s="10" t="s">
        <v>54</v>
      </c>
    </row>
    <row r="196" spans="2:12" ht="20" customHeight="1" x14ac:dyDescent="0.35">
      <c r="B196" s="18" t="s">
        <v>5</v>
      </c>
      <c r="C196" s="9" t="s">
        <v>103</v>
      </c>
      <c r="D196" s="9" t="s">
        <v>90</v>
      </c>
      <c r="E196" s="17">
        <v>8060</v>
      </c>
      <c r="F196" s="17"/>
      <c r="G196" s="17"/>
      <c r="H196" s="17"/>
      <c r="I196" s="17"/>
      <c r="J196" s="9" t="s">
        <v>53</v>
      </c>
      <c r="K196" s="9">
        <v>2025</v>
      </c>
      <c r="L196" s="10" t="s">
        <v>54</v>
      </c>
    </row>
    <row r="197" spans="2:12" ht="20" customHeight="1" x14ac:dyDescent="0.35">
      <c r="B197" s="18" t="s">
        <v>5</v>
      </c>
      <c r="C197" s="9" t="s">
        <v>104</v>
      </c>
      <c r="D197" s="9" t="s">
        <v>90</v>
      </c>
      <c r="E197" s="17">
        <v>858</v>
      </c>
      <c r="F197" s="17"/>
      <c r="G197" s="17"/>
      <c r="H197" s="17"/>
      <c r="I197" s="17"/>
      <c r="J197" s="9" t="s">
        <v>53</v>
      </c>
      <c r="K197" s="9">
        <v>2025</v>
      </c>
      <c r="L197" s="10" t="s">
        <v>54</v>
      </c>
    </row>
    <row r="198" spans="2:12" ht="20" customHeight="1" x14ac:dyDescent="0.35">
      <c r="B198" s="18" t="s">
        <v>5</v>
      </c>
      <c r="C198" s="9" t="s">
        <v>105</v>
      </c>
      <c r="D198" s="9" t="s">
        <v>90</v>
      </c>
      <c r="E198" s="17">
        <v>1650</v>
      </c>
      <c r="F198" s="17"/>
      <c r="G198" s="17"/>
      <c r="H198" s="17"/>
      <c r="I198" s="17"/>
      <c r="J198" s="9" t="s">
        <v>53</v>
      </c>
      <c r="K198" s="9">
        <v>2025</v>
      </c>
      <c r="L198" s="10" t="s">
        <v>54</v>
      </c>
    </row>
    <row r="199" spans="2:12" ht="20" customHeight="1" x14ac:dyDescent="0.35">
      <c r="B199" s="18" t="s">
        <v>5</v>
      </c>
      <c r="C199" s="9" t="s">
        <v>106</v>
      </c>
      <c r="D199" s="9" t="s">
        <v>90</v>
      </c>
      <c r="E199" s="17">
        <v>6630</v>
      </c>
      <c r="F199" s="17"/>
      <c r="G199" s="17"/>
      <c r="H199" s="17"/>
      <c r="I199" s="17"/>
      <c r="J199" s="9" t="s">
        <v>53</v>
      </c>
      <c r="K199" s="9">
        <v>2025</v>
      </c>
      <c r="L199" s="10" t="s">
        <v>54</v>
      </c>
    </row>
    <row r="200" spans="2:12" ht="20" customHeight="1" x14ac:dyDescent="0.35">
      <c r="B200" s="18" t="s">
        <v>5</v>
      </c>
      <c r="C200" s="9" t="s">
        <v>107</v>
      </c>
      <c r="D200" s="9" t="s">
        <v>90</v>
      </c>
      <c r="E200" s="17">
        <v>11100</v>
      </c>
      <c r="F200" s="17"/>
      <c r="G200" s="17"/>
      <c r="H200" s="17"/>
      <c r="I200" s="17"/>
      <c r="J200" s="9" t="s">
        <v>53</v>
      </c>
      <c r="K200" s="9">
        <v>2025</v>
      </c>
      <c r="L200" s="10" t="s">
        <v>54</v>
      </c>
    </row>
    <row r="201" spans="2:12" ht="20" customHeight="1" x14ac:dyDescent="0.35">
      <c r="B201" s="18" t="s">
        <v>5</v>
      </c>
      <c r="C201" s="9" t="s">
        <v>108</v>
      </c>
      <c r="D201" s="9" t="s">
        <v>90</v>
      </c>
      <c r="E201" s="17">
        <v>8900</v>
      </c>
      <c r="F201" s="17"/>
      <c r="G201" s="17"/>
      <c r="H201" s="17"/>
      <c r="I201" s="17"/>
      <c r="J201" s="9" t="s">
        <v>53</v>
      </c>
      <c r="K201" s="9">
        <v>2025</v>
      </c>
      <c r="L201" s="10" t="s">
        <v>54</v>
      </c>
    </row>
    <row r="202" spans="2:12" ht="20" customHeight="1" x14ac:dyDescent="0.35">
      <c r="B202" s="18" t="s">
        <v>5</v>
      </c>
      <c r="C202" s="9" t="s">
        <v>109</v>
      </c>
      <c r="D202" s="9" t="s">
        <v>90</v>
      </c>
      <c r="E202" s="17">
        <v>9540</v>
      </c>
      <c r="F202" s="17"/>
      <c r="G202" s="17"/>
      <c r="H202" s="17"/>
      <c r="I202" s="17"/>
      <c r="J202" s="9" t="s">
        <v>53</v>
      </c>
      <c r="K202" s="9">
        <v>2025</v>
      </c>
      <c r="L202" s="10" t="s">
        <v>54</v>
      </c>
    </row>
    <row r="203" spans="2:12" ht="20" customHeight="1" x14ac:dyDescent="0.35">
      <c r="B203" s="18" t="s">
        <v>5</v>
      </c>
      <c r="C203" s="9" t="s">
        <v>110</v>
      </c>
      <c r="D203" s="9" t="s">
        <v>90</v>
      </c>
      <c r="E203" s="17">
        <v>9200</v>
      </c>
      <c r="F203" s="17"/>
      <c r="G203" s="17"/>
      <c r="H203" s="17"/>
      <c r="I203" s="17"/>
      <c r="J203" s="9" t="s">
        <v>53</v>
      </c>
      <c r="K203" s="9">
        <v>2025</v>
      </c>
      <c r="L203" s="10" t="s">
        <v>54</v>
      </c>
    </row>
    <row r="204" spans="2:12" ht="20" customHeight="1" x14ac:dyDescent="0.35">
      <c r="B204" s="18" t="s">
        <v>5</v>
      </c>
      <c r="C204" s="9" t="s">
        <v>111</v>
      </c>
      <c r="D204" s="9" t="s">
        <v>90</v>
      </c>
      <c r="E204" s="17">
        <v>8550</v>
      </c>
      <c r="F204" s="17"/>
      <c r="G204" s="17"/>
      <c r="H204" s="17"/>
      <c r="I204" s="17"/>
      <c r="J204" s="9" t="s">
        <v>53</v>
      </c>
      <c r="K204" s="9">
        <v>2025</v>
      </c>
      <c r="L204" s="10" t="s">
        <v>54</v>
      </c>
    </row>
    <row r="205" spans="2:12" ht="20" customHeight="1" x14ac:dyDescent="0.35">
      <c r="B205" s="18" t="s">
        <v>5</v>
      </c>
      <c r="C205" s="9" t="s">
        <v>112</v>
      </c>
      <c r="D205" s="9" t="s">
        <v>90</v>
      </c>
      <c r="E205" s="17">
        <v>7910</v>
      </c>
      <c r="F205" s="17"/>
      <c r="G205" s="17"/>
      <c r="H205" s="17"/>
      <c r="I205" s="17"/>
      <c r="J205" s="9" t="s">
        <v>53</v>
      </c>
      <c r="K205" s="9">
        <v>2025</v>
      </c>
      <c r="L205" s="10" t="s">
        <v>54</v>
      </c>
    </row>
    <row r="206" spans="2:12" ht="20" customHeight="1" x14ac:dyDescent="0.35">
      <c r="B206" s="18" t="s">
        <v>5</v>
      </c>
      <c r="C206" s="9" t="s">
        <v>113</v>
      </c>
      <c r="D206" s="9" t="s">
        <v>90</v>
      </c>
      <c r="E206" s="17">
        <v>7190</v>
      </c>
      <c r="F206" s="17"/>
      <c r="G206" s="17"/>
      <c r="H206" s="17"/>
      <c r="I206" s="17"/>
      <c r="J206" s="9" t="s">
        <v>53</v>
      </c>
      <c r="K206" s="9">
        <v>2025</v>
      </c>
      <c r="L206" s="10" t="s">
        <v>54</v>
      </c>
    </row>
    <row r="207" spans="2:12" ht="20" customHeight="1" x14ac:dyDescent="0.35">
      <c r="B207" s="18" t="s">
        <v>5</v>
      </c>
      <c r="C207" s="9" t="s">
        <v>114</v>
      </c>
      <c r="D207" s="9" t="s">
        <v>90</v>
      </c>
      <c r="E207" s="17">
        <v>9200</v>
      </c>
      <c r="F207" s="17"/>
      <c r="G207" s="17"/>
      <c r="H207" s="17"/>
      <c r="I207" s="17"/>
      <c r="J207" s="9" t="s">
        <v>53</v>
      </c>
      <c r="K207" s="9">
        <v>2025</v>
      </c>
      <c r="L207" s="10" t="s">
        <v>54</v>
      </c>
    </row>
    <row r="208" spans="2:12" ht="20" customHeight="1" x14ac:dyDescent="0.35">
      <c r="B208" s="18" t="s">
        <v>5</v>
      </c>
      <c r="C208" s="9" t="s">
        <v>115</v>
      </c>
      <c r="D208" s="9" t="s">
        <v>90</v>
      </c>
      <c r="E208" s="17">
        <v>23500</v>
      </c>
      <c r="F208" s="17"/>
      <c r="G208" s="17"/>
      <c r="H208" s="17"/>
      <c r="I208" s="17"/>
      <c r="J208" s="9" t="s">
        <v>53</v>
      </c>
      <c r="K208" s="9">
        <v>2025</v>
      </c>
      <c r="L208" s="10" t="s">
        <v>54</v>
      </c>
    </row>
    <row r="209" spans="2:12" ht="20" customHeight="1" x14ac:dyDescent="0.35">
      <c r="B209" s="18" t="s">
        <v>5</v>
      </c>
      <c r="C209" s="9" t="s">
        <v>116</v>
      </c>
      <c r="D209" s="9" t="s">
        <v>90</v>
      </c>
      <c r="E209" s="17">
        <v>16</v>
      </c>
      <c r="F209" s="17"/>
      <c r="G209" s="17"/>
      <c r="H209" s="17"/>
      <c r="I209" s="17"/>
      <c r="J209" s="9" t="s">
        <v>53</v>
      </c>
      <c r="K209" s="9">
        <v>2025</v>
      </c>
      <c r="L209" s="10" t="s">
        <v>54</v>
      </c>
    </row>
    <row r="210" spans="2:12" ht="20" customHeight="1" x14ac:dyDescent="0.35">
      <c r="B210" s="18" t="s">
        <v>5</v>
      </c>
      <c r="C210" s="9" t="s">
        <v>117</v>
      </c>
      <c r="D210" s="9" t="s">
        <v>90</v>
      </c>
      <c r="E210" s="17">
        <v>4</v>
      </c>
      <c r="F210" s="17"/>
      <c r="G210" s="17"/>
      <c r="H210" s="17"/>
      <c r="I210" s="17"/>
      <c r="J210" s="9" t="s">
        <v>53</v>
      </c>
      <c r="K210" s="9">
        <v>2025</v>
      </c>
      <c r="L210" s="10" t="s">
        <v>54</v>
      </c>
    </row>
    <row r="211" spans="2:12" ht="20" customHeight="1" x14ac:dyDescent="0.35">
      <c r="B211" s="18" t="s">
        <v>5</v>
      </c>
      <c r="C211" s="9" t="s">
        <v>118</v>
      </c>
      <c r="D211" s="9" t="s">
        <v>90</v>
      </c>
      <c r="E211" s="17">
        <v>1210</v>
      </c>
      <c r="F211" s="17"/>
      <c r="G211" s="17"/>
      <c r="H211" s="17"/>
      <c r="I211" s="17"/>
      <c r="J211" s="9" t="s">
        <v>53</v>
      </c>
      <c r="K211" s="9">
        <v>2025</v>
      </c>
      <c r="L211" s="10" t="s">
        <v>54</v>
      </c>
    </row>
    <row r="212" spans="2:12" ht="20" customHeight="1" x14ac:dyDescent="0.35">
      <c r="B212" s="18" t="s">
        <v>5</v>
      </c>
      <c r="C212" s="9" t="s">
        <v>119</v>
      </c>
      <c r="D212" s="9" t="s">
        <v>90</v>
      </c>
      <c r="E212" s="17">
        <v>1330</v>
      </c>
      <c r="F212" s="17"/>
      <c r="G212" s="17"/>
      <c r="H212" s="17"/>
      <c r="I212" s="17"/>
      <c r="J212" s="9" t="s">
        <v>53</v>
      </c>
      <c r="K212" s="9">
        <v>2025</v>
      </c>
      <c r="L212" s="10" t="s">
        <v>54</v>
      </c>
    </row>
    <row r="213" spans="2:12" ht="20" customHeight="1" x14ac:dyDescent="0.35">
      <c r="B213" s="18" t="s">
        <v>5</v>
      </c>
      <c r="C213" s="9" t="s">
        <v>120</v>
      </c>
      <c r="D213" s="9" t="s">
        <v>90</v>
      </c>
      <c r="E213" s="17">
        <v>716</v>
      </c>
      <c r="F213" s="17"/>
      <c r="G213" s="17"/>
      <c r="H213" s="17"/>
      <c r="I213" s="17"/>
      <c r="J213" s="9" t="s">
        <v>53</v>
      </c>
      <c r="K213" s="9">
        <v>2025</v>
      </c>
      <c r="L213" s="10" t="s">
        <v>54</v>
      </c>
    </row>
    <row r="214" spans="2:12" ht="20" customHeight="1" x14ac:dyDescent="0.35">
      <c r="B214" s="18" t="s">
        <v>5</v>
      </c>
      <c r="C214" s="9" t="s">
        <v>121</v>
      </c>
      <c r="D214" s="9" t="s">
        <v>90</v>
      </c>
      <c r="E214" s="17">
        <v>804</v>
      </c>
      <c r="F214" s="17"/>
      <c r="G214" s="17"/>
      <c r="H214" s="17"/>
      <c r="I214" s="17"/>
      <c r="J214" s="9" t="s">
        <v>53</v>
      </c>
      <c r="K214" s="9">
        <v>2025</v>
      </c>
      <c r="L214" s="10" t="s">
        <v>54</v>
      </c>
    </row>
    <row r="215" spans="2:12" ht="20" customHeight="1" x14ac:dyDescent="0.35">
      <c r="B215" s="18" t="s">
        <v>5</v>
      </c>
      <c r="C215" s="9" t="s">
        <v>122</v>
      </c>
      <c r="D215" s="9" t="s">
        <v>90</v>
      </c>
      <c r="E215" s="17">
        <v>16100</v>
      </c>
      <c r="F215" s="17"/>
      <c r="G215" s="17"/>
      <c r="H215" s="17"/>
      <c r="I215" s="17"/>
      <c r="J215" s="9" t="s">
        <v>53</v>
      </c>
      <c r="K215" s="9">
        <v>2025</v>
      </c>
      <c r="L215" s="10" t="s">
        <v>54</v>
      </c>
    </row>
    <row r="216" spans="2:12" ht="20" customHeight="1" x14ac:dyDescent="0.35">
      <c r="B216" s="18" t="s">
        <v>5</v>
      </c>
      <c r="C216" s="9" t="s">
        <v>123</v>
      </c>
      <c r="D216" s="9" t="s">
        <v>90</v>
      </c>
      <c r="E216" s="17">
        <v>1130</v>
      </c>
      <c r="F216" s="17"/>
      <c r="G216" s="17"/>
      <c r="H216" s="17"/>
      <c r="I216" s="17"/>
      <c r="J216" s="9" t="s">
        <v>53</v>
      </c>
      <c r="K216" s="9">
        <v>2025</v>
      </c>
      <c r="L216" s="10" t="s">
        <v>54</v>
      </c>
    </row>
    <row r="217" spans="2:12" ht="20" customHeight="1" x14ac:dyDescent="0.35">
      <c r="B217" s="18" t="s">
        <v>5</v>
      </c>
      <c r="C217" s="9" t="s">
        <v>124</v>
      </c>
      <c r="D217" s="9" t="s">
        <v>90</v>
      </c>
      <c r="E217" s="17">
        <v>1236</v>
      </c>
      <c r="F217" s="17"/>
      <c r="G217" s="17"/>
      <c r="H217" s="17"/>
      <c r="I217" s="17"/>
      <c r="J217" s="9" t="s">
        <v>53</v>
      </c>
      <c r="K217" s="9">
        <v>2025</v>
      </c>
      <c r="L217" s="10" t="s">
        <v>54</v>
      </c>
    </row>
    <row r="218" spans="2:12" ht="20" customHeight="1" x14ac:dyDescent="0.35">
      <c r="B218" s="18" t="s">
        <v>5</v>
      </c>
      <c r="C218" s="9" t="s">
        <v>125</v>
      </c>
      <c r="D218" s="9" t="s">
        <v>90</v>
      </c>
      <c r="E218" s="17">
        <v>876</v>
      </c>
      <c r="F218" s="17"/>
      <c r="G218" s="17"/>
      <c r="H218" s="17"/>
      <c r="I218" s="17"/>
      <c r="J218" s="9" t="s">
        <v>53</v>
      </c>
      <c r="K218" s="9">
        <v>2025</v>
      </c>
      <c r="L218" s="10" t="s">
        <v>54</v>
      </c>
    </row>
    <row r="219" spans="2:12" ht="20" customHeight="1" x14ac:dyDescent="0.35">
      <c r="B219" s="18" t="s">
        <v>5</v>
      </c>
      <c r="C219" s="9" t="s">
        <v>126</v>
      </c>
      <c r="D219" s="9" t="s">
        <v>90</v>
      </c>
      <c r="E219" s="17">
        <v>2571</v>
      </c>
      <c r="F219" s="17"/>
      <c r="G219" s="17"/>
      <c r="H219" s="17"/>
      <c r="I219" s="17"/>
      <c r="J219" s="9" t="s">
        <v>53</v>
      </c>
      <c r="K219" s="9">
        <v>2025</v>
      </c>
      <c r="L219" s="10" t="s">
        <v>54</v>
      </c>
    </row>
    <row r="220" spans="2:12" ht="20" customHeight="1" x14ac:dyDescent="0.35">
      <c r="B220" s="18" t="s">
        <v>5</v>
      </c>
      <c r="C220" s="9" t="s">
        <v>127</v>
      </c>
      <c r="D220" s="9" t="s">
        <v>90</v>
      </c>
      <c r="E220" s="17">
        <v>2261</v>
      </c>
      <c r="F220" s="17"/>
      <c r="G220" s="17"/>
      <c r="H220" s="17"/>
      <c r="I220" s="17"/>
      <c r="J220" s="9" t="s">
        <v>53</v>
      </c>
      <c r="K220" s="9">
        <v>2025</v>
      </c>
      <c r="L220" s="10" t="s">
        <v>54</v>
      </c>
    </row>
    <row r="221" spans="2:12" ht="20" customHeight="1" x14ac:dyDescent="0.35">
      <c r="B221" s="18" t="s">
        <v>5</v>
      </c>
      <c r="C221" s="9" t="s">
        <v>128</v>
      </c>
      <c r="D221" s="9" t="s">
        <v>90</v>
      </c>
      <c r="E221" s="17">
        <v>3100</v>
      </c>
      <c r="F221" s="17"/>
      <c r="G221" s="17"/>
      <c r="H221" s="17"/>
      <c r="I221" s="17"/>
      <c r="J221" s="9" t="s">
        <v>53</v>
      </c>
      <c r="K221" s="9">
        <v>2025</v>
      </c>
      <c r="L221" s="10" t="s">
        <v>54</v>
      </c>
    </row>
    <row r="222" spans="2:12" ht="20" customHeight="1" x14ac:dyDescent="0.35">
      <c r="B222" s="18" t="s">
        <v>5</v>
      </c>
      <c r="C222" s="9" t="s">
        <v>129</v>
      </c>
      <c r="D222" s="9" t="s">
        <v>90</v>
      </c>
      <c r="E222" s="17">
        <v>4457</v>
      </c>
      <c r="F222" s="17"/>
      <c r="G222" s="17"/>
      <c r="H222" s="17"/>
      <c r="I222" s="17"/>
      <c r="J222" s="9" t="s">
        <v>53</v>
      </c>
      <c r="K222" s="9">
        <v>2025</v>
      </c>
      <c r="L222" s="10" t="s">
        <v>54</v>
      </c>
    </row>
    <row r="223" spans="2:12" ht="20" customHeight="1" x14ac:dyDescent="0.35">
      <c r="B223" s="18" t="s">
        <v>5</v>
      </c>
      <c r="C223" s="9" t="s">
        <v>130</v>
      </c>
      <c r="D223" s="9" t="s">
        <v>90</v>
      </c>
      <c r="E223" s="17">
        <v>3943</v>
      </c>
      <c r="F223" s="17"/>
      <c r="G223" s="17"/>
      <c r="H223" s="17"/>
      <c r="I223" s="17"/>
      <c r="J223" s="9" t="s">
        <v>53</v>
      </c>
      <c r="K223" s="9">
        <v>2025</v>
      </c>
      <c r="L223" s="10" t="s">
        <v>54</v>
      </c>
    </row>
    <row r="224" spans="2:12" ht="20" customHeight="1" x14ac:dyDescent="0.35">
      <c r="B224" s="18" t="s">
        <v>5</v>
      </c>
      <c r="C224" s="9" t="s">
        <v>131</v>
      </c>
      <c r="D224" s="9" t="s">
        <v>90</v>
      </c>
      <c r="E224" s="17">
        <v>4821</v>
      </c>
      <c r="F224" s="17"/>
      <c r="G224" s="17"/>
      <c r="H224" s="17"/>
      <c r="I224" s="17"/>
      <c r="J224" s="9" t="s">
        <v>53</v>
      </c>
      <c r="K224" s="9">
        <v>2025</v>
      </c>
      <c r="L224" s="10" t="s">
        <v>54</v>
      </c>
    </row>
    <row r="225" spans="2:12" ht="20" customHeight="1" x14ac:dyDescent="0.35">
      <c r="B225" s="18" t="s">
        <v>5</v>
      </c>
      <c r="C225" s="9" t="s">
        <v>132</v>
      </c>
      <c r="D225" s="9" t="s">
        <v>90</v>
      </c>
      <c r="E225" s="17">
        <v>1780</v>
      </c>
      <c r="F225" s="17"/>
      <c r="G225" s="17"/>
      <c r="H225" s="17"/>
      <c r="I225" s="17"/>
      <c r="J225" s="9" t="s">
        <v>53</v>
      </c>
      <c r="K225" s="9">
        <v>2025</v>
      </c>
      <c r="L225" s="10" t="s">
        <v>54</v>
      </c>
    </row>
    <row r="226" spans="2:12" ht="20" customHeight="1" x14ac:dyDescent="0.35">
      <c r="B226" s="18" t="s">
        <v>5</v>
      </c>
      <c r="C226" s="9" t="s">
        <v>133</v>
      </c>
      <c r="D226" s="9" t="s">
        <v>90</v>
      </c>
      <c r="E226" s="17">
        <v>1923</v>
      </c>
      <c r="F226" s="17"/>
      <c r="G226" s="17"/>
      <c r="H226" s="17"/>
      <c r="I226" s="17"/>
      <c r="J226" s="9" t="s">
        <v>53</v>
      </c>
      <c r="K226" s="9">
        <v>2025</v>
      </c>
      <c r="L226" s="10" t="s">
        <v>54</v>
      </c>
    </row>
    <row r="227" spans="2:12" ht="20" customHeight="1" x14ac:dyDescent="0.35">
      <c r="B227" s="18" t="s">
        <v>5</v>
      </c>
      <c r="C227" s="9" t="s">
        <v>134</v>
      </c>
      <c r="D227" s="9" t="s">
        <v>90</v>
      </c>
      <c r="E227" s="17">
        <v>2547</v>
      </c>
      <c r="F227" s="17"/>
      <c r="G227" s="17"/>
      <c r="H227" s="17"/>
      <c r="I227" s="17"/>
      <c r="J227" s="9" t="s">
        <v>53</v>
      </c>
      <c r="K227" s="9">
        <v>2025</v>
      </c>
      <c r="L227" s="10" t="s">
        <v>54</v>
      </c>
    </row>
    <row r="228" spans="2:12" ht="20" customHeight="1" x14ac:dyDescent="0.35">
      <c r="B228" s="18" t="s">
        <v>5</v>
      </c>
      <c r="C228" s="9" t="s">
        <v>135</v>
      </c>
      <c r="D228" s="9" t="s">
        <v>90</v>
      </c>
      <c r="E228" s="17">
        <v>1624</v>
      </c>
      <c r="F228" s="17"/>
      <c r="G228" s="17"/>
      <c r="H228" s="17"/>
      <c r="I228" s="17"/>
      <c r="J228" s="9" t="s">
        <v>53</v>
      </c>
      <c r="K228" s="9">
        <v>2025</v>
      </c>
      <c r="L228" s="10" t="s">
        <v>54</v>
      </c>
    </row>
    <row r="229" spans="2:12" ht="20" customHeight="1" x14ac:dyDescent="0.35">
      <c r="B229" s="18" t="s">
        <v>5</v>
      </c>
      <c r="C229" s="9" t="s">
        <v>136</v>
      </c>
      <c r="D229" s="9" t="s">
        <v>90</v>
      </c>
      <c r="E229" s="17">
        <v>1487</v>
      </c>
      <c r="F229" s="17"/>
      <c r="G229" s="17"/>
      <c r="H229" s="17"/>
      <c r="I229" s="17"/>
      <c r="J229" s="9" t="s">
        <v>53</v>
      </c>
      <c r="K229" s="9">
        <v>2025</v>
      </c>
      <c r="L229" s="10" t="s">
        <v>54</v>
      </c>
    </row>
    <row r="230" spans="2:12" ht="20" customHeight="1" x14ac:dyDescent="0.35">
      <c r="B230" s="18" t="s">
        <v>5</v>
      </c>
      <c r="C230" s="9" t="s">
        <v>137</v>
      </c>
      <c r="D230" s="9" t="s">
        <v>90</v>
      </c>
      <c r="E230" s="17">
        <v>1425</v>
      </c>
      <c r="F230" s="17"/>
      <c r="G230" s="17"/>
      <c r="H230" s="17"/>
      <c r="I230" s="17"/>
      <c r="J230" s="9" t="s">
        <v>53</v>
      </c>
      <c r="K230" s="9">
        <v>2025</v>
      </c>
      <c r="L230" s="10" t="s">
        <v>54</v>
      </c>
    </row>
    <row r="231" spans="2:12" ht="20" customHeight="1" x14ac:dyDescent="0.35">
      <c r="B231" s="18" t="s">
        <v>5</v>
      </c>
      <c r="C231" s="9" t="s">
        <v>138</v>
      </c>
      <c r="D231" s="9" t="s">
        <v>90</v>
      </c>
      <c r="E231" s="17">
        <v>1674</v>
      </c>
      <c r="F231" s="17"/>
      <c r="G231" s="17"/>
      <c r="H231" s="17"/>
      <c r="I231" s="17"/>
      <c r="J231" s="9" t="s">
        <v>53</v>
      </c>
      <c r="K231" s="9">
        <v>2025</v>
      </c>
      <c r="L231" s="10" t="s">
        <v>54</v>
      </c>
    </row>
    <row r="232" spans="2:12" ht="20" customHeight="1" x14ac:dyDescent="0.35">
      <c r="B232" s="18" t="s">
        <v>5</v>
      </c>
      <c r="C232" s="9" t="s">
        <v>139</v>
      </c>
      <c r="D232" s="9" t="s">
        <v>90</v>
      </c>
      <c r="E232" s="17">
        <v>3257</v>
      </c>
      <c r="F232" s="17"/>
      <c r="G232" s="17"/>
      <c r="H232" s="17"/>
      <c r="I232" s="17"/>
      <c r="J232" s="9" t="s">
        <v>53</v>
      </c>
      <c r="K232" s="9">
        <v>2025</v>
      </c>
      <c r="L232" s="10" t="s">
        <v>54</v>
      </c>
    </row>
    <row r="233" spans="2:12" ht="20" customHeight="1" x14ac:dyDescent="0.35">
      <c r="B233" s="18" t="s">
        <v>5</v>
      </c>
      <c r="C233" s="9" t="s">
        <v>140</v>
      </c>
      <c r="D233" s="9" t="s">
        <v>90</v>
      </c>
      <c r="E233" s="17">
        <v>1485</v>
      </c>
      <c r="F233" s="17"/>
      <c r="G233" s="17"/>
      <c r="H233" s="17"/>
      <c r="I233" s="17"/>
      <c r="J233" s="9" t="s">
        <v>53</v>
      </c>
      <c r="K233" s="9">
        <v>2025</v>
      </c>
      <c r="L233" s="10" t="s">
        <v>54</v>
      </c>
    </row>
    <row r="234" spans="2:12" ht="20" customHeight="1" x14ac:dyDescent="0.35">
      <c r="B234" s="18" t="s">
        <v>5</v>
      </c>
      <c r="C234" s="9" t="s">
        <v>141</v>
      </c>
      <c r="D234" s="9" t="s">
        <v>90</v>
      </c>
      <c r="E234" s="17">
        <v>1474</v>
      </c>
      <c r="F234" s="17"/>
      <c r="G234" s="17"/>
      <c r="H234" s="17"/>
      <c r="I234" s="17"/>
      <c r="J234" s="9" t="s">
        <v>53</v>
      </c>
      <c r="K234" s="9">
        <v>2025</v>
      </c>
      <c r="L234" s="10" t="s">
        <v>54</v>
      </c>
    </row>
    <row r="235" spans="2:12" ht="20" customHeight="1" x14ac:dyDescent="0.35">
      <c r="B235" s="18" t="s">
        <v>5</v>
      </c>
      <c r="C235" s="9" t="s">
        <v>142</v>
      </c>
      <c r="D235" s="9" t="s">
        <v>90</v>
      </c>
      <c r="E235" s="17">
        <v>1924</v>
      </c>
      <c r="F235" s="17"/>
      <c r="G235" s="17"/>
      <c r="H235" s="17"/>
      <c r="I235" s="17"/>
      <c r="J235" s="9" t="s">
        <v>53</v>
      </c>
      <c r="K235" s="9">
        <v>2025</v>
      </c>
      <c r="L235" s="10" t="s">
        <v>54</v>
      </c>
    </row>
    <row r="236" spans="2:12" ht="20" customHeight="1" x14ac:dyDescent="0.35">
      <c r="B236" s="18" t="s">
        <v>5</v>
      </c>
      <c r="C236" s="9" t="s">
        <v>143</v>
      </c>
      <c r="D236" s="9" t="s">
        <v>90</v>
      </c>
      <c r="E236" s="17">
        <v>2048</v>
      </c>
      <c r="F236" s="17"/>
      <c r="G236" s="17"/>
      <c r="H236" s="17"/>
      <c r="I236" s="17"/>
      <c r="J236" s="9" t="s">
        <v>53</v>
      </c>
      <c r="K236" s="9">
        <v>2025</v>
      </c>
      <c r="L236" s="10" t="s">
        <v>54</v>
      </c>
    </row>
    <row r="237" spans="2:12" ht="20" customHeight="1" x14ac:dyDescent="0.35">
      <c r="B237" s="18" t="s">
        <v>5</v>
      </c>
      <c r="C237" s="9" t="s">
        <v>144</v>
      </c>
      <c r="D237" s="9" t="s">
        <v>90</v>
      </c>
      <c r="E237" s="17">
        <v>1555</v>
      </c>
      <c r="F237" s="17"/>
      <c r="G237" s="17"/>
      <c r="H237" s="17"/>
      <c r="I237" s="17"/>
      <c r="J237" s="9" t="s">
        <v>53</v>
      </c>
      <c r="K237" s="9">
        <v>2025</v>
      </c>
      <c r="L237" s="10" t="s">
        <v>54</v>
      </c>
    </row>
    <row r="238" spans="2:12" ht="20" customHeight="1" x14ac:dyDescent="0.35">
      <c r="B238" s="18" t="s">
        <v>5</v>
      </c>
      <c r="C238" s="9" t="s">
        <v>145</v>
      </c>
      <c r="D238" s="9" t="s">
        <v>90</v>
      </c>
      <c r="E238" s="17">
        <v>1659</v>
      </c>
      <c r="F238" s="17"/>
      <c r="G238" s="17"/>
      <c r="H238" s="17"/>
      <c r="I238" s="17"/>
      <c r="J238" s="9" t="s">
        <v>53</v>
      </c>
      <c r="K238" s="9">
        <v>2025</v>
      </c>
      <c r="L238" s="10" t="s">
        <v>54</v>
      </c>
    </row>
    <row r="239" spans="2:12" ht="20" customHeight="1" x14ac:dyDescent="0.35">
      <c r="B239" s="18" t="s">
        <v>5</v>
      </c>
      <c r="C239" s="9" t="s">
        <v>146</v>
      </c>
      <c r="D239" s="9" t="s">
        <v>90</v>
      </c>
      <c r="E239" s="17">
        <v>2172</v>
      </c>
      <c r="F239" s="17"/>
      <c r="G239" s="17"/>
      <c r="H239" s="17"/>
      <c r="I239" s="17"/>
      <c r="J239" s="9" t="s">
        <v>53</v>
      </c>
      <c r="K239" s="9">
        <v>2025</v>
      </c>
      <c r="L239" s="10" t="s">
        <v>54</v>
      </c>
    </row>
    <row r="240" spans="2:12" ht="20" customHeight="1" x14ac:dyDescent="0.35">
      <c r="B240" s="18" t="s">
        <v>5</v>
      </c>
      <c r="C240" s="9" t="s">
        <v>147</v>
      </c>
      <c r="D240" s="9" t="s">
        <v>90</v>
      </c>
      <c r="E240" s="17">
        <v>1945</v>
      </c>
      <c r="F240" s="17"/>
      <c r="G240" s="17"/>
      <c r="H240" s="17"/>
      <c r="I240" s="17"/>
      <c r="J240" s="9" t="s">
        <v>53</v>
      </c>
      <c r="K240" s="9">
        <v>2025</v>
      </c>
      <c r="L240" s="10" t="s">
        <v>54</v>
      </c>
    </row>
    <row r="241" spans="2:12" ht="20" customHeight="1" x14ac:dyDescent="0.35">
      <c r="B241" s="18" t="s">
        <v>5</v>
      </c>
      <c r="C241" s="9" t="s">
        <v>148</v>
      </c>
      <c r="D241" s="9" t="s">
        <v>90</v>
      </c>
      <c r="E241" s="17">
        <v>1375</v>
      </c>
      <c r="F241" s="17"/>
      <c r="G241" s="17"/>
      <c r="H241" s="17"/>
      <c r="I241" s="17"/>
      <c r="J241" s="9" t="s">
        <v>53</v>
      </c>
      <c r="K241" s="9">
        <v>2025</v>
      </c>
      <c r="L241" s="10" t="s">
        <v>54</v>
      </c>
    </row>
    <row r="242" spans="2:12" ht="20" customHeight="1" x14ac:dyDescent="0.35">
      <c r="B242" s="18" t="s">
        <v>5</v>
      </c>
      <c r="C242" s="9" t="s">
        <v>149</v>
      </c>
      <c r="D242" s="9" t="s">
        <v>90</v>
      </c>
      <c r="E242" s="17">
        <v>1274</v>
      </c>
      <c r="F242" s="17"/>
      <c r="G242" s="17"/>
      <c r="H242" s="17"/>
      <c r="I242" s="17"/>
      <c r="J242" s="9" t="s">
        <v>53</v>
      </c>
      <c r="K242" s="9">
        <v>2025</v>
      </c>
      <c r="L242" s="10" t="s">
        <v>54</v>
      </c>
    </row>
    <row r="243" spans="2:12" ht="20" customHeight="1" x14ac:dyDescent="0.35">
      <c r="B243" s="18" t="s">
        <v>5</v>
      </c>
      <c r="C243" s="9" t="s">
        <v>150</v>
      </c>
      <c r="D243" s="9" t="s">
        <v>90</v>
      </c>
      <c r="E243" s="17">
        <v>1468</v>
      </c>
      <c r="F243" s="17"/>
      <c r="G243" s="17"/>
      <c r="H243" s="17"/>
      <c r="I243" s="17"/>
      <c r="J243" s="9" t="s">
        <v>53</v>
      </c>
      <c r="K243" s="9">
        <v>2025</v>
      </c>
      <c r="L243" s="10" t="s">
        <v>54</v>
      </c>
    </row>
    <row r="244" spans="2:12" ht="20" customHeight="1" x14ac:dyDescent="0.35">
      <c r="B244" s="18" t="s">
        <v>5</v>
      </c>
      <c r="C244" s="9" t="s">
        <v>151</v>
      </c>
      <c r="D244" s="9" t="s">
        <v>90</v>
      </c>
      <c r="E244" s="17">
        <v>544</v>
      </c>
      <c r="F244" s="17"/>
      <c r="G244" s="17"/>
      <c r="H244" s="17"/>
      <c r="I244" s="17"/>
      <c r="J244" s="9" t="s">
        <v>53</v>
      </c>
      <c r="K244" s="9">
        <v>2025</v>
      </c>
      <c r="L244" s="10" t="s">
        <v>54</v>
      </c>
    </row>
    <row r="245" spans="2:12" ht="20" customHeight="1" x14ac:dyDescent="0.35">
      <c r="B245" s="18" t="s">
        <v>5</v>
      </c>
      <c r="C245" s="9" t="s">
        <v>152</v>
      </c>
      <c r="D245" s="9" t="s">
        <v>90</v>
      </c>
      <c r="E245" s="17">
        <v>975</v>
      </c>
      <c r="F245" s="17"/>
      <c r="G245" s="17"/>
      <c r="H245" s="17"/>
      <c r="I245" s="17"/>
      <c r="J245" s="9" t="s">
        <v>53</v>
      </c>
      <c r="K245" s="9">
        <v>2025</v>
      </c>
      <c r="L245" s="10" t="s">
        <v>54</v>
      </c>
    </row>
    <row r="246" spans="2:12" ht="20" customHeight="1" x14ac:dyDescent="0.35">
      <c r="B246" s="18" t="s">
        <v>5</v>
      </c>
      <c r="C246" s="9" t="s">
        <v>153</v>
      </c>
      <c r="D246" s="9" t="s">
        <v>90</v>
      </c>
      <c r="E246" s="17">
        <v>2127</v>
      </c>
      <c r="F246" s="17"/>
      <c r="G246" s="17"/>
      <c r="H246" s="17"/>
      <c r="I246" s="17"/>
      <c r="J246" s="9" t="s">
        <v>53</v>
      </c>
      <c r="K246" s="9">
        <v>2025</v>
      </c>
      <c r="L246" s="10" t="s">
        <v>54</v>
      </c>
    </row>
    <row r="247" spans="2:12" ht="20" customHeight="1" x14ac:dyDescent="0.35">
      <c r="B247" s="18" t="s">
        <v>5</v>
      </c>
      <c r="C247" s="9" t="s">
        <v>154</v>
      </c>
      <c r="D247" s="9" t="s">
        <v>90</v>
      </c>
      <c r="E247" s="17">
        <v>2742</v>
      </c>
      <c r="F247" s="17"/>
      <c r="G247" s="17"/>
      <c r="H247" s="17"/>
      <c r="I247" s="17"/>
      <c r="J247" s="9" t="s">
        <v>53</v>
      </c>
      <c r="K247" s="9">
        <v>2025</v>
      </c>
      <c r="L247" s="10" t="s">
        <v>54</v>
      </c>
    </row>
    <row r="248" spans="2:12" ht="20" customHeight="1" x14ac:dyDescent="0.35">
      <c r="B248" s="18" t="s">
        <v>5</v>
      </c>
      <c r="C248" s="9" t="s">
        <v>155</v>
      </c>
      <c r="D248" s="9" t="s">
        <v>90</v>
      </c>
      <c r="E248" s="17">
        <v>1643</v>
      </c>
      <c r="F248" s="17"/>
      <c r="G248" s="17"/>
      <c r="H248" s="17"/>
      <c r="I248" s="17"/>
      <c r="J248" s="9" t="s">
        <v>53</v>
      </c>
      <c r="K248" s="9">
        <v>2025</v>
      </c>
      <c r="L248" s="10" t="s">
        <v>54</v>
      </c>
    </row>
    <row r="249" spans="2:12" ht="20" customHeight="1" x14ac:dyDescent="0.35">
      <c r="B249" s="18" t="s">
        <v>5</v>
      </c>
      <c r="C249" s="9" t="s">
        <v>156</v>
      </c>
      <c r="D249" s="9" t="s">
        <v>90</v>
      </c>
      <c r="E249" s="17">
        <v>1693</v>
      </c>
      <c r="F249" s="17"/>
      <c r="G249" s="17"/>
      <c r="H249" s="17"/>
      <c r="I249" s="17"/>
      <c r="J249" s="9" t="s">
        <v>53</v>
      </c>
      <c r="K249" s="9">
        <v>2025</v>
      </c>
      <c r="L249" s="10" t="s">
        <v>54</v>
      </c>
    </row>
    <row r="250" spans="2:12" ht="20" customHeight="1" x14ac:dyDescent="0.35">
      <c r="B250" s="18" t="s">
        <v>5</v>
      </c>
      <c r="C250" s="9" t="s">
        <v>157</v>
      </c>
      <c r="D250" s="9" t="s">
        <v>90</v>
      </c>
      <c r="E250" s="17">
        <v>2688</v>
      </c>
      <c r="F250" s="17"/>
      <c r="G250" s="17"/>
      <c r="H250" s="17"/>
      <c r="I250" s="17"/>
      <c r="J250" s="9" t="s">
        <v>53</v>
      </c>
      <c r="K250" s="9">
        <v>2025</v>
      </c>
      <c r="L250" s="10" t="s">
        <v>54</v>
      </c>
    </row>
    <row r="251" spans="2:12" ht="20" customHeight="1" x14ac:dyDescent="0.35">
      <c r="B251" s="18" t="s">
        <v>5</v>
      </c>
      <c r="C251" s="9" t="s">
        <v>158</v>
      </c>
      <c r="D251" s="9" t="s">
        <v>90</v>
      </c>
      <c r="E251" s="17">
        <v>2161</v>
      </c>
      <c r="F251" s="17"/>
      <c r="G251" s="17"/>
      <c r="H251" s="17"/>
      <c r="I251" s="17"/>
      <c r="J251" s="9" t="s">
        <v>53</v>
      </c>
      <c r="K251" s="9">
        <v>2025</v>
      </c>
      <c r="L251" s="10" t="s">
        <v>54</v>
      </c>
    </row>
    <row r="252" spans="2:12" ht="20" customHeight="1" x14ac:dyDescent="0.35">
      <c r="B252" s="18" t="s">
        <v>5</v>
      </c>
      <c r="C252" s="9" t="s">
        <v>159</v>
      </c>
      <c r="D252" s="9" t="s">
        <v>90</v>
      </c>
      <c r="E252" s="17">
        <v>1382</v>
      </c>
      <c r="F252" s="17"/>
      <c r="G252" s="17"/>
      <c r="H252" s="17"/>
      <c r="I252" s="17"/>
      <c r="J252" s="9" t="s">
        <v>53</v>
      </c>
      <c r="K252" s="9">
        <v>2025</v>
      </c>
      <c r="L252" s="10" t="s">
        <v>54</v>
      </c>
    </row>
    <row r="253" spans="2:12" ht="20" customHeight="1" x14ac:dyDescent="0.35">
      <c r="B253" s="18" t="s">
        <v>5</v>
      </c>
      <c r="C253" s="9" t="s">
        <v>160</v>
      </c>
      <c r="D253" s="9" t="s">
        <v>90</v>
      </c>
      <c r="E253" s="17">
        <v>2385</v>
      </c>
      <c r="F253" s="17"/>
      <c r="G253" s="17"/>
      <c r="H253" s="17"/>
      <c r="I253" s="17"/>
      <c r="J253" s="9" t="s">
        <v>53</v>
      </c>
      <c r="K253" s="9">
        <v>2025</v>
      </c>
      <c r="L253" s="10" t="s">
        <v>54</v>
      </c>
    </row>
    <row r="254" spans="2:12" ht="20" customHeight="1" x14ac:dyDescent="0.35">
      <c r="B254" s="18" t="s">
        <v>5</v>
      </c>
      <c r="C254" s="9" t="s">
        <v>161</v>
      </c>
      <c r="D254" s="9" t="s">
        <v>90</v>
      </c>
      <c r="E254" s="17">
        <v>2890</v>
      </c>
      <c r="F254" s="17"/>
      <c r="G254" s="17"/>
      <c r="H254" s="17"/>
      <c r="I254" s="17"/>
      <c r="J254" s="9" t="s">
        <v>53</v>
      </c>
      <c r="K254" s="9">
        <v>2025</v>
      </c>
      <c r="L254" s="10" t="s">
        <v>54</v>
      </c>
    </row>
    <row r="255" spans="2:12" ht="20" customHeight="1" x14ac:dyDescent="0.35">
      <c r="B255" s="18" t="s">
        <v>5</v>
      </c>
      <c r="C255" s="9" t="s">
        <v>162</v>
      </c>
      <c r="D255" s="9" t="s">
        <v>90</v>
      </c>
      <c r="E255" s="17">
        <v>2847</v>
      </c>
      <c r="F255" s="17"/>
      <c r="G255" s="17"/>
      <c r="H255" s="17"/>
      <c r="I255" s="17"/>
      <c r="J255" s="9" t="s">
        <v>53</v>
      </c>
      <c r="K255" s="9">
        <v>2025</v>
      </c>
      <c r="L255" s="10" t="s">
        <v>54</v>
      </c>
    </row>
    <row r="256" spans="2:12" ht="20" customHeight="1" x14ac:dyDescent="0.35">
      <c r="B256" s="18" t="s">
        <v>5</v>
      </c>
      <c r="C256" s="9" t="s">
        <v>163</v>
      </c>
      <c r="D256" s="9" t="s">
        <v>90</v>
      </c>
      <c r="E256" s="17">
        <v>2290</v>
      </c>
      <c r="F256" s="17"/>
      <c r="G256" s="17"/>
      <c r="H256" s="17"/>
      <c r="I256" s="17"/>
      <c r="J256" s="9" t="s">
        <v>53</v>
      </c>
      <c r="K256" s="9">
        <v>2025</v>
      </c>
      <c r="L256" s="10" t="s">
        <v>54</v>
      </c>
    </row>
    <row r="257" spans="2:12" ht="20" customHeight="1" x14ac:dyDescent="0.35">
      <c r="B257" s="18" t="s">
        <v>5</v>
      </c>
      <c r="C257" s="9" t="s">
        <v>164</v>
      </c>
      <c r="D257" s="9" t="s">
        <v>90</v>
      </c>
      <c r="E257" s="17">
        <v>2794</v>
      </c>
      <c r="F257" s="17"/>
      <c r="G257" s="17"/>
      <c r="H257" s="17"/>
      <c r="I257" s="17"/>
      <c r="J257" s="9" t="s">
        <v>53</v>
      </c>
      <c r="K257" s="9">
        <v>2025</v>
      </c>
      <c r="L257" s="10" t="s">
        <v>54</v>
      </c>
    </row>
    <row r="258" spans="2:12" ht="20" customHeight="1" x14ac:dyDescent="0.35">
      <c r="B258" s="18" t="s">
        <v>5</v>
      </c>
      <c r="C258" s="9" t="s">
        <v>165</v>
      </c>
      <c r="D258" s="9" t="s">
        <v>90</v>
      </c>
      <c r="E258" s="17">
        <v>2473</v>
      </c>
      <c r="F258" s="17"/>
      <c r="G258" s="17"/>
      <c r="H258" s="17"/>
      <c r="I258" s="17"/>
      <c r="J258" s="9" t="s">
        <v>53</v>
      </c>
      <c r="K258" s="9">
        <v>2025</v>
      </c>
      <c r="L258" s="10" t="s">
        <v>54</v>
      </c>
    </row>
    <row r="259" spans="2:12" ht="20" customHeight="1" x14ac:dyDescent="0.35">
      <c r="B259" s="18" t="s">
        <v>5</v>
      </c>
      <c r="C259" s="9" t="s">
        <v>166</v>
      </c>
      <c r="D259" s="9" t="s">
        <v>90</v>
      </c>
      <c r="E259" s="17">
        <v>2350</v>
      </c>
      <c r="F259" s="17"/>
      <c r="G259" s="17"/>
      <c r="H259" s="17"/>
      <c r="I259" s="17"/>
      <c r="J259" s="9" t="s">
        <v>53</v>
      </c>
      <c r="K259" s="9">
        <v>2025</v>
      </c>
      <c r="L259" s="10" t="s">
        <v>54</v>
      </c>
    </row>
    <row r="260" spans="2:12" ht="20" customHeight="1" x14ac:dyDescent="0.35">
      <c r="B260" s="18" t="s">
        <v>5</v>
      </c>
      <c r="C260" s="9" t="s">
        <v>167</v>
      </c>
      <c r="D260" s="9" t="s">
        <v>90</v>
      </c>
      <c r="E260" s="17">
        <v>2274</v>
      </c>
      <c r="F260" s="17"/>
      <c r="G260" s="17"/>
      <c r="H260" s="17"/>
      <c r="I260" s="17"/>
      <c r="J260" s="9" t="s">
        <v>53</v>
      </c>
      <c r="K260" s="9">
        <v>2025</v>
      </c>
      <c r="L260" s="10" t="s">
        <v>54</v>
      </c>
    </row>
    <row r="261" spans="2:12" ht="20" customHeight="1" x14ac:dyDescent="0.35">
      <c r="B261" s="18" t="s">
        <v>5</v>
      </c>
      <c r="C261" s="9" t="s">
        <v>168</v>
      </c>
      <c r="D261" s="9" t="s">
        <v>90</v>
      </c>
      <c r="E261" s="17">
        <v>2212</v>
      </c>
      <c r="F261" s="17"/>
      <c r="G261" s="17"/>
      <c r="H261" s="17"/>
      <c r="I261" s="17"/>
      <c r="J261" s="9" t="s">
        <v>53</v>
      </c>
      <c r="K261" s="9">
        <v>2025</v>
      </c>
      <c r="L261" s="10" t="s">
        <v>54</v>
      </c>
    </row>
    <row r="262" spans="2:12" ht="20" customHeight="1" x14ac:dyDescent="0.35">
      <c r="B262" s="18" t="s">
        <v>5</v>
      </c>
      <c r="C262" s="9" t="s">
        <v>169</v>
      </c>
      <c r="D262" s="9" t="s">
        <v>90</v>
      </c>
      <c r="E262" s="17">
        <v>1431</v>
      </c>
      <c r="F262" s="17"/>
      <c r="G262" s="17"/>
      <c r="H262" s="17"/>
      <c r="I262" s="17"/>
      <c r="J262" s="9" t="s">
        <v>53</v>
      </c>
      <c r="K262" s="9">
        <v>2025</v>
      </c>
      <c r="L262" s="10" t="s">
        <v>54</v>
      </c>
    </row>
    <row r="263" spans="2:12" ht="20" customHeight="1" x14ac:dyDescent="0.35">
      <c r="B263" s="18" t="s">
        <v>5</v>
      </c>
      <c r="C263" s="9" t="s">
        <v>170</v>
      </c>
      <c r="D263" s="9" t="s">
        <v>90</v>
      </c>
      <c r="E263" s="17">
        <v>1371</v>
      </c>
      <c r="F263" s="17"/>
      <c r="G263" s="17"/>
      <c r="H263" s="17"/>
      <c r="I263" s="17"/>
      <c r="J263" s="9" t="s">
        <v>53</v>
      </c>
      <c r="K263" s="9">
        <v>2025</v>
      </c>
      <c r="L263" s="10" t="s">
        <v>54</v>
      </c>
    </row>
    <row r="264" spans="2:12" ht="20" customHeight="1" x14ac:dyDescent="0.35">
      <c r="B264" s="18" t="s">
        <v>5</v>
      </c>
      <c r="C264" s="9" t="s">
        <v>171</v>
      </c>
      <c r="D264" s="9" t="s">
        <v>90</v>
      </c>
      <c r="E264" s="17">
        <v>2024</v>
      </c>
      <c r="F264" s="17"/>
      <c r="G264" s="17"/>
      <c r="H264" s="17"/>
      <c r="I264" s="17"/>
      <c r="J264" s="9" t="s">
        <v>53</v>
      </c>
      <c r="K264" s="9">
        <v>2025</v>
      </c>
      <c r="L264" s="10" t="s">
        <v>54</v>
      </c>
    </row>
    <row r="265" spans="2:12" ht="20" customHeight="1" x14ac:dyDescent="0.35">
      <c r="B265" s="18" t="s">
        <v>5</v>
      </c>
      <c r="C265" s="9" t="s">
        <v>172</v>
      </c>
      <c r="D265" s="9" t="s">
        <v>90</v>
      </c>
      <c r="E265" s="17">
        <v>3417</v>
      </c>
      <c r="F265" s="17"/>
      <c r="G265" s="17"/>
      <c r="H265" s="17"/>
      <c r="I265" s="17"/>
      <c r="J265" s="9" t="s">
        <v>53</v>
      </c>
      <c r="K265" s="9">
        <v>2025</v>
      </c>
      <c r="L265" s="10" t="s">
        <v>54</v>
      </c>
    </row>
    <row r="266" spans="2:12" ht="20" customHeight="1" x14ac:dyDescent="0.35">
      <c r="B266" s="18" t="s">
        <v>5</v>
      </c>
      <c r="C266" s="9" t="s">
        <v>173</v>
      </c>
      <c r="D266" s="9" t="s">
        <v>90</v>
      </c>
      <c r="E266" s="17">
        <v>15.3</v>
      </c>
      <c r="F266" s="17"/>
      <c r="G266" s="17"/>
      <c r="H266" s="17"/>
      <c r="I266" s="17"/>
      <c r="J266" s="9" t="s">
        <v>53</v>
      </c>
      <c r="K266" s="9">
        <v>2025</v>
      </c>
      <c r="L266" s="10" t="s">
        <v>54</v>
      </c>
    </row>
    <row r="267" spans="2:12" ht="20" customHeight="1" x14ac:dyDescent="0.35">
      <c r="B267" s="18" t="s">
        <v>5</v>
      </c>
      <c r="C267" s="9" t="s">
        <v>174</v>
      </c>
      <c r="D267" s="9" t="s">
        <v>90</v>
      </c>
      <c r="E267" s="17">
        <v>106</v>
      </c>
      <c r="F267" s="17"/>
      <c r="G267" s="17"/>
      <c r="H267" s="17"/>
      <c r="I267" s="17"/>
      <c r="J267" s="9" t="s">
        <v>53</v>
      </c>
      <c r="K267" s="9">
        <v>2025</v>
      </c>
      <c r="L267" s="10" t="s">
        <v>54</v>
      </c>
    </row>
    <row r="268" spans="2:12" ht="20" customHeight="1" x14ac:dyDescent="0.35">
      <c r="B268" s="18" t="s">
        <v>5</v>
      </c>
      <c r="C268" s="9" t="s">
        <v>175</v>
      </c>
      <c r="D268" s="9" t="s">
        <v>90</v>
      </c>
      <c r="E268" s="17">
        <v>40</v>
      </c>
      <c r="F268" s="17"/>
      <c r="G268" s="17"/>
      <c r="H268" s="17"/>
      <c r="I268" s="17"/>
      <c r="J268" s="9" t="s">
        <v>53</v>
      </c>
      <c r="K268" s="9">
        <v>2025</v>
      </c>
      <c r="L268" s="10" t="s">
        <v>54</v>
      </c>
    </row>
    <row r="269" spans="2:12" ht="20" customHeight="1" x14ac:dyDescent="0.35">
      <c r="B269" s="18" t="s">
        <v>5</v>
      </c>
      <c r="C269" s="9" t="s">
        <v>176</v>
      </c>
      <c r="D269" s="9" t="s">
        <v>90</v>
      </c>
      <c r="E269" s="17">
        <v>1.8</v>
      </c>
      <c r="F269" s="17"/>
      <c r="G269" s="17"/>
      <c r="H269" s="17"/>
      <c r="I269" s="17"/>
      <c r="J269" s="9" t="s">
        <v>53</v>
      </c>
      <c r="K269" s="9">
        <v>2025</v>
      </c>
      <c r="L269" s="10" t="s">
        <v>54</v>
      </c>
    </row>
    <row r="270" spans="2:12" ht="20" customHeight="1" x14ac:dyDescent="0.35">
      <c r="B270" s="18" t="s">
        <v>5</v>
      </c>
      <c r="C270" s="9" t="s">
        <v>177</v>
      </c>
      <c r="D270" s="9" t="s">
        <v>90</v>
      </c>
      <c r="E270" s="17">
        <v>0.64</v>
      </c>
      <c r="F270" s="17"/>
      <c r="G270" s="17"/>
      <c r="H270" s="17"/>
      <c r="I270" s="17"/>
      <c r="J270" s="9" t="s">
        <v>53</v>
      </c>
      <c r="K270" s="9">
        <v>2025</v>
      </c>
      <c r="L270" s="10" t="s">
        <v>54</v>
      </c>
    </row>
    <row r="271" spans="2:12" ht="20" customHeight="1" x14ac:dyDescent="0.35">
      <c r="B271" s="18" t="s">
        <v>5</v>
      </c>
      <c r="C271" s="9" t="s">
        <v>178</v>
      </c>
      <c r="D271" s="9" t="s">
        <v>90</v>
      </c>
      <c r="E271" s="17">
        <v>0.16</v>
      </c>
      <c r="F271" s="17"/>
      <c r="G271" s="17"/>
      <c r="H271" s="17"/>
      <c r="I271" s="17"/>
      <c r="J271" s="9" t="s">
        <v>53</v>
      </c>
      <c r="K271" s="9">
        <v>2025</v>
      </c>
      <c r="L271" s="10" t="s">
        <v>54</v>
      </c>
    </row>
    <row r="272" spans="2:12" ht="20" customHeight="1" x14ac:dyDescent="0.35">
      <c r="B272" s="18" t="s">
        <v>5</v>
      </c>
      <c r="C272" s="9" t="s">
        <v>179</v>
      </c>
      <c r="D272" s="9" t="s">
        <v>90</v>
      </c>
      <c r="E272" s="17">
        <v>0.55000000000000004</v>
      </c>
      <c r="F272" s="17"/>
      <c r="G272" s="17"/>
      <c r="H272" s="17"/>
      <c r="I272" s="17"/>
      <c r="J272" s="9" t="s">
        <v>53</v>
      </c>
      <c r="K272" s="9">
        <v>2025</v>
      </c>
      <c r="L272" s="10" t="s">
        <v>54</v>
      </c>
    </row>
    <row r="273" spans="2:12" ht="20" customHeight="1" x14ac:dyDescent="0.35">
      <c r="B273" s="18" t="s">
        <v>5</v>
      </c>
      <c r="C273" s="9" t="s">
        <v>180</v>
      </c>
      <c r="D273" s="9" t="s">
        <v>90</v>
      </c>
      <c r="E273" s="17">
        <v>3076</v>
      </c>
      <c r="F273" s="17"/>
      <c r="G273" s="17"/>
      <c r="H273" s="17"/>
      <c r="I273" s="17"/>
      <c r="J273" s="9" t="s">
        <v>53</v>
      </c>
      <c r="K273" s="9">
        <v>2025</v>
      </c>
      <c r="L273" s="10" t="s">
        <v>54</v>
      </c>
    </row>
    <row r="274" spans="2:12" ht="20" customHeight="1" x14ac:dyDescent="0.35">
      <c r="B274" s="18" t="s">
        <v>5</v>
      </c>
      <c r="C274" s="9" t="s">
        <v>181</v>
      </c>
      <c r="D274" s="9" t="s">
        <v>90</v>
      </c>
      <c r="E274" s="17">
        <v>28.4</v>
      </c>
      <c r="F274" s="17"/>
      <c r="G274" s="17"/>
      <c r="H274" s="17"/>
      <c r="I274" s="17"/>
      <c r="J274" s="9" t="s">
        <v>53</v>
      </c>
      <c r="K274" s="9">
        <v>2025</v>
      </c>
      <c r="L274" s="10" t="s">
        <v>54</v>
      </c>
    </row>
    <row r="275" spans="2:12" ht="20" customHeight="1" x14ac:dyDescent="0.35">
      <c r="B275" s="18" t="s">
        <v>5</v>
      </c>
      <c r="C275" s="9" t="s">
        <v>182</v>
      </c>
      <c r="D275" s="9" t="s">
        <v>90</v>
      </c>
      <c r="E275" s="17">
        <v>1.35</v>
      </c>
      <c r="F275" s="17"/>
      <c r="G275" s="17"/>
      <c r="H275" s="17"/>
      <c r="I275" s="17"/>
      <c r="J275" s="9" t="s">
        <v>53</v>
      </c>
      <c r="K275" s="9">
        <v>2025</v>
      </c>
      <c r="L275" s="10" t="s">
        <v>54</v>
      </c>
    </row>
    <row r="276" spans="2:12" ht="20" customHeight="1" x14ac:dyDescent="0.35">
      <c r="B276" s="18" t="s">
        <v>5</v>
      </c>
      <c r="C276" s="9" t="s">
        <v>183</v>
      </c>
      <c r="D276" s="9" t="s">
        <v>90</v>
      </c>
      <c r="E276" s="17">
        <v>1.47</v>
      </c>
      <c r="F276" s="17"/>
      <c r="G276" s="17"/>
      <c r="H276" s="17"/>
      <c r="I276" s="17"/>
      <c r="J276" s="9" t="s">
        <v>53</v>
      </c>
      <c r="K276" s="9">
        <v>2025</v>
      </c>
      <c r="L276" s="10" t="s">
        <v>54</v>
      </c>
    </row>
    <row r="277" spans="2:12" ht="20" customHeight="1" x14ac:dyDescent="0.35">
      <c r="B277" s="18" t="s">
        <v>5</v>
      </c>
      <c r="C277" s="9" t="s">
        <v>184</v>
      </c>
      <c r="D277" s="9" t="s">
        <v>90</v>
      </c>
      <c r="E277" s="17">
        <v>1639</v>
      </c>
      <c r="F277" s="17"/>
      <c r="G277" s="17"/>
      <c r="H277" s="17"/>
      <c r="I277" s="17"/>
      <c r="J277" s="9" t="s">
        <v>53</v>
      </c>
      <c r="K277" s="9">
        <v>2025</v>
      </c>
      <c r="L277" s="10" t="s">
        <v>54</v>
      </c>
    </row>
    <row r="278" spans="2:12" ht="20" customHeight="1" x14ac:dyDescent="0.35">
      <c r="B278" s="18" t="s">
        <v>5</v>
      </c>
      <c r="C278" s="9" t="s">
        <v>185</v>
      </c>
      <c r="D278" s="9" t="s">
        <v>90</v>
      </c>
      <c r="E278" s="17">
        <v>2059</v>
      </c>
      <c r="F278" s="17"/>
      <c r="G278" s="17"/>
      <c r="H278" s="17"/>
      <c r="I278" s="17"/>
      <c r="J278" s="9" t="s">
        <v>53</v>
      </c>
      <c r="K278" s="9">
        <v>2025</v>
      </c>
      <c r="L278" s="10" t="s">
        <v>54</v>
      </c>
    </row>
    <row r="279" spans="2:12" ht="20" customHeight="1" x14ac:dyDescent="0.35">
      <c r="B279" s="18" t="s">
        <v>5</v>
      </c>
      <c r="C279" s="9" t="s">
        <v>186</v>
      </c>
      <c r="D279" s="9" t="s">
        <v>90</v>
      </c>
      <c r="E279" s="17">
        <v>1828</v>
      </c>
      <c r="F279" s="17"/>
      <c r="G279" s="17"/>
      <c r="H279" s="17"/>
      <c r="I279" s="17"/>
      <c r="J279" s="9" t="s">
        <v>53</v>
      </c>
      <c r="K279" s="9">
        <v>2025</v>
      </c>
      <c r="L279" s="10" t="s">
        <v>54</v>
      </c>
    </row>
    <row r="280" spans="2:12" ht="20" customHeight="1" x14ac:dyDescent="0.35">
      <c r="B280" s="18" t="s">
        <v>5</v>
      </c>
      <c r="C280" s="9" t="s">
        <v>187</v>
      </c>
      <c r="D280" s="9" t="s">
        <v>90</v>
      </c>
      <c r="E280" s="17">
        <v>156</v>
      </c>
      <c r="F280" s="17"/>
      <c r="G280" s="17"/>
      <c r="H280" s="17"/>
      <c r="I280" s="17"/>
      <c r="J280" s="9" t="s">
        <v>53</v>
      </c>
      <c r="K280" s="9">
        <v>2025</v>
      </c>
      <c r="L280" s="10" t="s">
        <v>54</v>
      </c>
    </row>
    <row r="281" spans="2:12" ht="20" customHeight="1" x14ac:dyDescent="0.35">
      <c r="B281" s="18" t="s">
        <v>5</v>
      </c>
      <c r="C281" s="9" t="s">
        <v>188</v>
      </c>
      <c r="D281" s="9" t="s">
        <v>90</v>
      </c>
      <c r="E281" s="17">
        <v>0.23</v>
      </c>
      <c r="F281" s="17"/>
      <c r="G281" s="17"/>
      <c r="H281" s="17"/>
      <c r="I281" s="17"/>
      <c r="J281" s="9" t="s">
        <v>53</v>
      </c>
      <c r="K281" s="9">
        <v>2025</v>
      </c>
      <c r="L281" s="10" t="s">
        <v>54</v>
      </c>
    </row>
    <row r="282" spans="2:12" ht="20" customHeight="1" x14ac:dyDescent="0.35">
      <c r="B282" s="18" t="s">
        <v>5</v>
      </c>
      <c r="C282" s="9" t="s">
        <v>189</v>
      </c>
      <c r="D282" s="9" t="s">
        <v>90</v>
      </c>
      <c r="E282" s="17">
        <v>1754</v>
      </c>
      <c r="F282" s="17"/>
      <c r="G282" s="17"/>
      <c r="H282" s="17"/>
      <c r="I282" s="17"/>
      <c r="J282" s="9" t="s">
        <v>53</v>
      </c>
      <c r="K282" s="9">
        <v>2025</v>
      </c>
      <c r="L282" s="10" t="s">
        <v>54</v>
      </c>
    </row>
    <row r="283" spans="2:12" ht="20" customHeight="1" x14ac:dyDescent="0.35">
      <c r="B283" s="18" t="s">
        <v>5</v>
      </c>
      <c r="C283" s="9" t="s">
        <v>190</v>
      </c>
      <c r="D283" s="9" t="s">
        <v>90</v>
      </c>
      <c r="E283" s="17">
        <v>1</v>
      </c>
      <c r="F283" s="17"/>
      <c r="G283" s="17"/>
      <c r="H283" s="17"/>
      <c r="I283" s="17"/>
      <c r="J283" s="9" t="s">
        <v>53</v>
      </c>
      <c r="K283" s="9">
        <v>2025</v>
      </c>
      <c r="L283" s="10" t="s">
        <v>54</v>
      </c>
    </row>
    <row r="284" spans="2:12" ht="20" customHeight="1" x14ac:dyDescent="0.35">
      <c r="B284" s="18" t="s">
        <v>5</v>
      </c>
      <c r="C284" s="9" t="s">
        <v>191</v>
      </c>
      <c r="D284" s="9" t="s">
        <v>90</v>
      </c>
      <c r="E284" s="17">
        <v>89</v>
      </c>
      <c r="F284" s="17"/>
      <c r="G284" s="17"/>
      <c r="H284" s="17"/>
      <c r="I284" s="17"/>
      <c r="J284" s="9" t="s">
        <v>53</v>
      </c>
      <c r="K284" s="9">
        <v>2025</v>
      </c>
      <c r="L284" s="10" t="s">
        <v>54</v>
      </c>
    </row>
    <row r="285" spans="2:12" ht="20" customHeight="1" x14ac:dyDescent="0.35">
      <c r="B285" s="18" t="s">
        <v>5</v>
      </c>
      <c r="C285" s="9" t="s">
        <v>192</v>
      </c>
      <c r="D285" s="9" t="s">
        <v>90</v>
      </c>
      <c r="E285" s="17">
        <v>118</v>
      </c>
      <c r="F285" s="17"/>
      <c r="G285" s="17"/>
      <c r="H285" s="17"/>
      <c r="I285" s="17"/>
      <c r="J285" s="9" t="s">
        <v>53</v>
      </c>
      <c r="K285" s="9">
        <v>2025</v>
      </c>
      <c r="L285" s="10" t="s">
        <v>54</v>
      </c>
    </row>
    <row r="286" spans="2:12" ht="20" customHeight="1" x14ac:dyDescent="0.35">
      <c r="B286" s="18" t="s">
        <v>5</v>
      </c>
      <c r="C286" s="9" t="s">
        <v>193</v>
      </c>
      <c r="D286" s="9" t="s">
        <v>90</v>
      </c>
      <c r="E286" s="17">
        <v>7564</v>
      </c>
      <c r="F286" s="17"/>
      <c r="G286" s="17"/>
      <c r="H286" s="17"/>
      <c r="I286" s="17"/>
      <c r="J286" s="9" t="s">
        <v>53</v>
      </c>
      <c r="K286" s="9">
        <v>2025</v>
      </c>
      <c r="L286" s="10" t="s">
        <v>54</v>
      </c>
    </row>
    <row r="287" spans="2:12" ht="20" customHeight="1" x14ac:dyDescent="0.35">
      <c r="B287" s="18" t="s">
        <v>5</v>
      </c>
      <c r="C287" s="9" t="s">
        <v>194</v>
      </c>
      <c r="D287" s="9" t="s">
        <v>90</v>
      </c>
      <c r="E287" s="17">
        <v>3870</v>
      </c>
      <c r="F287" s="17"/>
      <c r="G287" s="17"/>
      <c r="H287" s="17"/>
      <c r="I287" s="17"/>
      <c r="J287" s="9" t="s">
        <v>53</v>
      </c>
      <c r="K287" s="9">
        <v>2025</v>
      </c>
      <c r="L287" s="10" t="s">
        <v>54</v>
      </c>
    </row>
    <row r="288" spans="2:12" ht="20" customHeight="1" x14ac:dyDescent="0.35">
      <c r="B288" s="18" t="s">
        <v>5</v>
      </c>
      <c r="C288" s="9" t="s">
        <v>195</v>
      </c>
      <c r="D288" s="9" t="s">
        <v>90</v>
      </c>
      <c r="E288" s="17">
        <v>4786</v>
      </c>
      <c r="F288" s="17"/>
      <c r="G288" s="17"/>
      <c r="H288" s="17"/>
      <c r="I288" s="17"/>
      <c r="J288" s="9" t="s">
        <v>53</v>
      </c>
      <c r="K288" s="9">
        <v>2025</v>
      </c>
      <c r="L288" s="10" t="s">
        <v>54</v>
      </c>
    </row>
    <row r="289" spans="2:12" ht="20" customHeight="1" x14ac:dyDescent="0.35">
      <c r="B289" s="18" t="s">
        <v>5</v>
      </c>
      <c r="C289" s="9" t="s">
        <v>196</v>
      </c>
      <c r="D289" s="9" t="s">
        <v>90</v>
      </c>
      <c r="E289" s="17">
        <v>13299</v>
      </c>
      <c r="F289" s="17"/>
      <c r="G289" s="17"/>
      <c r="H289" s="17"/>
      <c r="I289" s="17"/>
      <c r="J289" s="9" t="s">
        <v>53</v>
      </c>
      <c r="K289" s="9">
        <v>2025</v>
      </c>
      <c r="L289" s="10" t="s">
        <v>54</v>
      </c>
    </row>
    <row r="290" spans="2:12" ht="20" customHeight="1" x14ac:dyDescent="0.35">
      <c r="B290" s="18" t="s">
        <v>5</v>
      </c>
      <c r="C290" s="9" t="s">
        <v>197</v>
      </c>
      <c r="D290" s="9" t="s">
        <v>90</v>
      </c>
      <c r="E290" s="17">
        <v>4299</v>
      </c>
      <c r="F290" s="17"/>
      <c r="G290" s="17"/>
      <c r="H290" s="17"/>
      <c r="I290" s="17"/>
      <c r="J290" s="9" t="s">
        <v>53</v>
      </c>
      <c r="K290" s="9">
        <v>2025</v>
      </c>
      <c r="L290" s="10" t="s">
        <v>54</v>
      </c>
    </row>
    <row r="291" spans="2:12" ht="20" customHeight="1" x14ac:dyDescent="0.35">
      <c r="B291" s="18" t="s">
        <v>5</v>
      </c>
      <c r="C291" s="9" t="s">
        <v>198</v>
      </c>
      <c r="D291" s="9" t="s">
        <v>90</v>
      </c>
      <c r="E291" s="17">
        <v>7956</v>
      </c>
      <c r="F291" s="17"/>
      <c r="G291" s="17"/>
      <c r="H291" s="17"/>
      <c r="I291" s="17"/>
      <c r="J291" s="9" t="s">
        <v>53</v>
      </c>
      <c r="K291" s="9">
        <v>2025</v>
      </c>
      <c r="L291" s="10" t="s">
        <v>54</v>
      </c>
    </row>
    <row r="292" spans="2:12" ht="20" customHeight="1" x14ac:dyDescent="0.35">
      <c r="B292" s="18" t="s">
        <v>5</v>
      </c>
      <c r="C292" s="9" t="s">
        <v>199</v>
      </c>
      <c r="D292" s="9" t="s">
        <v>90</v>
      </c>
      <c r="E292" s="17">
        <v>3857</v>
      </c>
      <c r="F292" s="17"/>
      <c r="G292" s="17"/>
      <c r="H292" s="17"/>
      <c r="I292" s="17"/>
      <c r="J292" s="9" t="s">
        <v>53</v>
      </c>
      <c r="K292" s="9">
        <v>2025</v>
      </c>
      <c r="L292" s="10" t="s">
        <v>54</v>
      </c>
    </row>
    <row r="293" spans="2:12" ht="20" customHeight="1" x14ac:dyDescent="0.35">
      <c r="B293" s="18" t="s">
        <v>5</v>
      </c>
      <c r="C293" s="9" t="s">
        <v>200</v>
      </c>
      <c r="D293" s="9" t="s">
        <v>90</v>
      </c>
      <c r="E293" s="17">
        <v>3985</v>
      </c>
      <c r="F293" s="17"/>
      <c r="G293" s="17"/>
      <c r="H293" s="17"/>
      <c r="I293" s="17"/>
      <c r="J293" s="9" t="s">
        <v>53</v>
      </c>
      <c r="K293" s="9">
        <v>2025</v>
      </c>
      <c r="L293" s="10" t="s">
        <v>54</v>
      </c>
    </row>
    <row r="294" spans="2:12" ht="20" customHeight="1" x14ac:dyDescent="0.35">
      <c r="B294" s="18" t="s">
        <v>5</v>
      </c>
      <c r="C294" s="9" t="s">
        <v>201</v>
      </c>
      <c r="D294" s="9" t="s">
        <v>90</v>
      </c>
      <c r="E294" s="17">
        <v>11607</v>
      </c>
      <c r="F294" s="17"/>
      <c r="G294" s="17"/>
      <c r="H294" s="17"/>
      <c r="I294" s="17"/>
      <c r="J294" s="9" t="s">
        <v>53</v>
      </c>
      <c r="K294" s="9">
        <v>2025</v>
      </c>
      <c r="L294" s="10" t="s">
        <v>54</v>
      </c>
    </row>
    <row r="295" spans="2:12" ht="20" customHeight="1" x14ac:dyDescent="0.35">
      <c r="B295" s="18" t="s">
        <v>5</v>
      </c>
      <c r="C295" s="9" t="s">
        <v>202</v>
      </c>
      <c r="D295" s="9" t="s">
        <v>90</v>
      </c>
      <c r="E295" s="17">
        <v>11698</v>
      </c>
      <c r="F295" s="17"/>
      <c r="G295" s="17"/>
      <c r="H295" s="17"/>
      <c r="I295" s="17"/>
      <c r="J295" s="9" t="s">
        <v>53</v>
      </c>
      <c r="K295" s="9">
        <v>2025</v>
      </c>
      <c r="L295" s="10" t="s">
        <v>54</v>
      </c>
    </row>
    <row r="296" spans="2:12" ht="20" customHeight="1" x14ac:dyDescent="0.35">
      <c r="B296" s="18" t="s">
        <v>5</v>
      </c>
      <c r="C296" s="9" t="s">
        <v>203</v>
      </c>
      <c r="D296" s="9" t="s">
        <v>90</v>
      </c>
      <c r="E296" s="17">
        <v>5758</v>
      </c>
      <c r="F296" s="17"/>
      <c r="G296" s="17"/>
      <c r="H296" s="17"/>
      <c r="I296" s="17"/>
      <c r="J296" s="9" t="s">
        <v>53</v>
      </c>
      <c r="K296" s="9">
        <v>2025</v>
      </c>
      <c r="L296" s="10" t="s">
        <v>54</v>
      </c>
    </row>
    <row r="297" spans="2:12" ht="20" customHeight="1" x14ac:dyDescent="0.35">
      <c r="B297" s="18" t="s">
        <v>5</v>
      </c>
      <c r="C297" s="9" t="s">
        <v>204</v>
      </c>
      <c r="D297" s="9" t="s">
        <v>90</v>
      </c>
      <c r="E297" s="17">
        <v>1.24</v>
      </c>
      <c r="F297" s="17"/>
      <c r="G297" s="17"/>
      <c r="H297" s="17"/>
      <c r="I297" s="17"/>
      <c r="J297" s="9" t="s">
        <v>53</v>
      </c>
      <c r="K297" s="9">
        <v>2025</v>
      </c>
      <c r="L297" s="10" t="s">
        <v>54</v>
      </c>
    </row>
    <row r="298" spans="2:12" ht="20" customHeight="1" x14ac:dyDescent="0.35">
      <c r="B298" s="18" t="s">
        <v>5</v>
      </c>
      <c r="C298" s="9" t="s">
        <v>205</v>
      </c>
      <c r="D298" s="9" t="s">
        <v>90</v>
      </c>
      <c r="E298" s="17">
        <v>7</v>
      </c>
      <c r="F298" s="17"/>
      <c r="G298" s="17"/>
      <c r="H298" s="17"/>
      <c r="I298" s="17"/>
      <c r="J298" s="9" t="s">
        <v>53</v>
      </c>
      <c r="K298" s="9">
        <v>2025</v>
      </c>
      <c r="L298" s="10" t="s">
        <v>54</v>
      </c>
    </row>
    <row r="299" spans="2:12" ht="20" customHeight="1" x14ac:dyDescent="0.35">
      <c r="B299" s="18" t="s">
        <v>5</v>
      </c>
      <c r="C299" s="9" t="s">
        <v>206</v>
      </c>
      <c r="D299" s="9" t="s">
        <v>90</v>
      </c>
      <c r="E299" s="17">
        <v>196</v>
      </c>
      <c r="F299" s="17"/>
      <c r="G299" s="17"/>
      <c r="H299" s="17"/>
      <c r="I299" s="17"/>
      <c r="J299" s="9" t="s">
        <v>53</v>
      </c>
      <c r="K299" s="9">
        <v>2025</v>
      </c>
      <c r="L299" s="10" t="s">
        <v>54</v>
      </c>
    </row>
    <row r="300" spans="2:12" ht="20" customHeight="1" x14ac:dyDescent="0.35">
      <c r="B300" s="18" t="s">
        <v>5</v>
      </c>
      <c r="C300" s="9" t="s">
        <v>207</v>
      </c>
      <c r="D300" s="9" t="s">
        <v>90</v>
      </c>
      <c r="E300" s="17">
        <v>4660</v>
      </c>
      <c r="F300" s="17"/>
      <c r="G300" s="17"/>
      <c r="H300" s="17"/>
      <c r="I300" s="17"/>
      <c r="J300" s="9" t="s">
        <v>53</v>
      </c>
      <c r="K300" s="9">
        <v>2025</v>
      </c>
      <c r="L300" s="10" t="s">
        <v>54</v>
      </c>
    </row>
    <row r="301" spans="2:12" ht="20" customHeight="1" x14ac:dyDescent="0.35">
      <c r="B301" s="18" t="s">
        <v>5</v>
      </c>
      <c r="C301" s="9" t="s">
        <v>208</v>
      </c>
      <c r="D301" s="9" t="s">
        <v>90</v>
      </c>
      <c r="E301" s="17">
        <v>10200</v>
      </c>
      <c r="F301" s="17"/>
      <c r="G301" s="17"/>
      <c r="H301" s="17"/>
      <c r="I301" s="17"/>
      <c r="J301" s="9" t="s">
        <v>53</v>
      </c>
      <c r="K301" s="9">
        <v>2025</v>
      </c>
      <c r="L301" s="10" t="s">
        <v>54</v>
      </c>
    </row>
    <row r="302" spans="2:12" ht="20" customHeight="1" x14ac:dyDescent="0.35">
      <c r="B302" s="18" t="s">
        <v>5</v>
      </c>
      <c r="C302" s="9" t="s">
        <v>209</v>
      </c>
      <c r="D302" s="9" t="s">
        <v>90</v>
      </c>
      <c r="E302" s="17">
        <v>13900</v>
      </c>
      <c r="F302" s="17"/>
      <c r="G302" s="17"/>
      <c r="H302" s="17"/>
      <c r="I302" s="17"/>
      <c r="J302" s="9" t="s">
        <v>53</v>
      </c>
      <c r="K302" s="9">
        <v>2025</v>
      </c>
      <c r="L302" s="10" t="s">
        <v>54</v>
      </c>
    </row>
    <row r="303" spans="2:12" ht="20" customHeight="1" x14ac:dyDescent="0.35">
      <c r="B303" s="18" t="s">
        <v>5</v>
      </c>
      <c r="C303" s="9" t="s">
        <v>210</v>
      </c>
      <c r="D303" s="9" t="s">
        <v>90</v>
      </c>
      <c r="E303" s="17">
        <v>5820</v>
      </c>
      <c r="F303" s="17"/>
      <c r="G303" s="17"/>
      <c r="H303" s="17"/>
      <c r="I303" s="17"/>
      <c r="J303" s="9" t="s">
        <v>53</v>
      </c>
      <c r="K303" s="9">
        <v>2025</v>
      </c>
      <c r="L303" s="10" t="s">
        <v>54</v>
      </c>
    </row>
    <row r="304" spans="2:12" ht="20" customHeight="1" x14ac:dyDescent="0.35">
      <c r="B304" s="18" t="s">
        <v>5</v>
      </c>
      <c r="C304" s="9" t="s">
        <v>211</v>
      </c>
      <c r="D304" s="9" t="s">
        <v>90</v>
      </c>
      <c r="E304" s="17">
        <v>8590</v>
      </c>
      <c r="F304" s="17"/>
      <c r="G304" s="17"/>
      <c r="H304" s="17"/>
      <c r="I304" s="17"/>
      <c r="J304" s="9" t="s">
        <v>53</v>
      </c>
      <c r="K304" s="9">
        <v>2025</v>
      </c>
      <c r="L304" s="10" t="s">
        <v>54</v>
      </c>
    </row>
    <row r="305" spans="2:12" ht="20" customHeight="1" x14ac:dyDescent="0.35">
      <c r="B305" s="18" t="s">
        <v>5</v>
      </c>
      <c r="C305" s="9" t="s">
        <v>212</v>
      </c>
      <c r="D305" s="9" t="s">
        <v>90</v>
      </c>
      <c r="E305" s="17">
        <v>7670</v>
      </c>
      <c r="F305" s="17"/>
      <c r="G305" s="17"/>
      <c r="H305" s="17"/>
      <c r="I305" s="17"/>
      <c r="J305" s="9" t="s">
        <v>53</v>
      </c>
      <c r="K305" s="9">
        <v>2025</v>
      </c>
      <c r="L305" s="10" t="s">
        <v>54</v>
      </c>
    </row>
    <row r="306" spans="2:12" ht="20" customHeight="1" x14ac:dyDescent="0.35">
      <c r="B306" s="18" t="s">
        <v>5</v>
      </c>
      <c r="C306" s="9" t="s">
        <v>213</v>
      </c>
      <c r="D306" s="9" t="s">
        <v>90</v>
      </c>
      <c r="E306" s="17">
        <v>1750</v>
      </c>
      <c r="F306" s="17"/>
      <c r="G306" s="17"/>
      <c r="H306" s="17"/>
      <c r="I306" s="17"/>
      <c r="J306" s="9" t="s">
        <v>53</v>
      </c>
      <c r="K306" s="9">
        <v>2025</v>
      </c>
      <c r="L306" s="10" t="s">
        <v>54</v>
      </c>
    </row>
    <row r="307" spans="2:12" ht="20" customHeight="1" x14ac:dyDescent="0.35">
      <c r="B307" s="18" t="s">
        <v>5</v>
      </c>
      <c r="C307" s="9" t="s">
        <v>214</v>
      </c>
      <c r="D307" s="9" t="s">
        <v>90</v>
      </c>
      <c r="E307" s="17">
        <v>6290</v>
      </c>
      <c r="F307" s="17"/>
      <c r="G307" s="17"/>
      <c r="H307" s="17"/>
      <c r="I307" s="17"/>
      <c r="J307" s="9" t="s">
        <v>53</v>
      </c>
      <c r="K307" s="9">
        <v>2025</v>
      </c>
      <c r="L307" s="10" t="s">
        <v>54</v>
      </c>
    </row>
    <row r="308" spans="2:12" ht="20" customHeight="1" x14ac:dyDescent="0.35">
      <c r="B308" s="18" t="s">
        <v>5</v>
      </c>
      <c r="C308" s="9" t="s">
        <v>215</v>
      </c>
      <c r="D308" s="9" t="s">
        <v>90</v>
      </c>
      <c r="E308" s="17">
        <v>1470</v>
      </c>
      <c r="F308" s="17"/>
      <c r="G308" s="17"/>
      <c r="H308" s="17"/>
      <c r="I308" s="17"/>
      <c r="J308" s="9" t="s">
        <v>53</v>
      </c>
      <c r="K308" s="9">
        <v>2025</v>
      </c>
      <c r="L308" s="10" t="s">
        <v>54</v>
      </c>
    </row>
    <row r="309" spans="2:12" ht="20" customHeight="1" x14ac:dyDescent="0.35">
      <c r="B309" s="18" t="s">
        <v>5</v>
      </c>
      <c r="C309" s="9" t="s">
        <v>216</v>
      </c>
      <c r="D309" s="9" t="s">
        <v>90</v>
      </c>
      <c r="E309" s="17">
        <v>1730</v>
      </c>
      <c r="F309" s="17"/>
      <c r="G309" s="17"/>
      <c r="H309" s="17"/>
      <c r="I309" s="17"/>
      <c r="J309" s="9" t="s">
        <v>53</v>
      </c>
      <c r="K309" s="9">
        <v>2025</v>
      </c>
      <c r="L309" s="10" t="s">
        <v>54</v>
      </c>
    </row>
    <row r="310" spans="2:12" ht="20" customHeight="1" x14ac:dyDescent="0.35">
      <c r="B310" s="18" t="s">
        <v>5</v>
      </c>
      <c r="C310" s="9" t="s">
        <v>217</v>
      </c>
      <c r="D310" s="9" t="s">
        <v>90</v>
      </c>
      <c r="E310" s="17">
        <v>2</v>
      </c>
      <c r="F310" s="17"/>
      <c r="G310" s="17"/>
      <c r="H310" s="17"/>
      <c r="I310" s="17"/>
      <c r="J310" s="9" t="s">
        <v>53</v>
      </c>
      <c r="K310" s="9">
        <v>2025</v>
      </c>
      <c r="L310" s="10" t="s">
        <v>54</v>
      </c>
    </row>
    <row r="311" spans="2:12" ht="20" customHeight="1" x14ac:dyDescent="0.35">
      <c r="B311" s="18" t="s">
        <v>5</v>
      </c>
      <c r="C311" s="9" t="s">
        <v>218</v>
      </c>
      <c r="D311" s="9" t="s">
        <v>90</v>
      </c>
      <c r="E311" s="17">
        <v>160</v>
      </c>
      <c r="F311" s="17"/>
      <c r="G311" s="17"/>
      <c r="H311" s="17"/>
      <c r="I311" s="17"/>
      <c r="J311" s="9" t="s">
        <v>53</v>
      </c>
      <c r="K311" s="9">
        <v>2025</v>
      </c>
      <c r="L311" s="10" t="s">
        <v>54</v>
      </c>
    </row>
    <row r="312" spans="2:12" ht="20" customHeight="1" x14ac:dyDescent="0.35">
      <c r="B312" s="18" t="s">
        <v>5</v>
      </c>
      <c r="C312" s="9" t="s">
        <v>219</v>
      </c>
      <c r="D312" s="9" t="s">
        <v>90</v>
      </c>
      <c r="E312" s="17">
        <v>1760</v>
      </c>
      <c r="F312" s="17"/>
      <c r="G312" s="17"/>
      <c r="H312" s="17"/>
      <c r="I312" s="17"/>
      <c r="J312" s="9" t="s">
        <v>53</v>
      </c>
      <c r="K312" s="9">
        <v>2025</v>
      </c>
      <c r="L312" s="10" t="s">
        <v>54</v>
      </c>
    </row>
    <row r="313" spans="2:12" ht="20" customHeight="1" x14ac:dyDescent="0.35">
      <c r="B313" s="18" t="s">
        <v>5</v>
      </c>
      <c r="C313" s="9" t="s">
        <v>220</v>
      </c>
      <c r="D313" s="9" t="s">
        <v>90</v>
      </c>
      <c r="E313" s="17">
        <v>79</v>
      </c>
      <c r="F313" s="17"/>
      <c r="G313" s="17"/>
      <c r="H313" s="17"/>
      <c r="I313" s="17"/>
      <c r="J313" s="9" t="s">
        <v>53</v>
      </c>
      <c r="K313" s="9">
        <v>2025</v>
      </c>
      <c r="L313" s="10" t="s">
        <v>54</v>
      </c>
    </row>
    <row r="314" spans="2:12" ht="20" customHeight="1" x14ac:dyDescent="0.35">
      <c r="B314" s="18" t="s">
        <v>5</v>
      </c>
      <c r="C314" s="9" t="s">
        <v>221</v>
      </c>
      <c r="D314" s="9" t="s">
        <v>90</v>
      </c>
      <c r="E314" s="17">
        <v>527</v>
      </c>
      <c r="F314" s="17"/>
      <c r="G314" s="17"/>
      <c r="H314" s="17"/>
      <c r="I314" s="17"/>
      <c r="J314" s="9" t="s">
        <v>53</v>
      </c>
      <c r="K314" s="9">
        <v>2025</v>
      </c>
      <c r="L314" s="10" t="s">
        <v>54</v>
      </c>
    </row>
    <row r="315" spans="2:12" ht="20" customHeight="1" x14ac:dyDescent="0.35">
      <c r="B315" s="18" t="s">
        <v>5</v>
      </c>
      <c r="C315" s="9" t="s">
        <v>222</v>
      </c>
      <c r="D315" s="9" t="s">
        <v>90</v>
      </c>
      <c r="E315" s="17">
        <v>782</v>
      </c>
      <c r="F315" s="17"/>
      <c r="G315" s="17"/>
      <c r="H315" s="17"/>
      <c r="I315" s="17"/>
      <c r="J315" s="9" t="s">
        <v>53</v>
      </c>
      <c r="K315" s="9">
        <v>2025</v>
      </c>
      <c r="L315" s="10" t="s">
        <v>54</v>
      </c>
    </row>
    <row r="316" spans="2:12" ht="20" customHeight="1" x14ac:dyDescent="0.35">
      <c r="B316" s="18" t="s">
        <v>5</v>
      </c>
      <c r="C316" s="9" t="s">
        <v>223</v>
      </c>
      <c r="D316" s="9" t="s">
        <v>90</v>
      </c>
      <c r="E316" s="17">
        <v>1980</v>
      </c>
      <c r="F316" s="17"/>
      <c r="G316" s="17"/>
      <c r="H316" s="17"/>
      <c r="I316" s="17"/>
      <c r="J316" s="9" t="s">
        <v>53</v>
      </c>
      <c r="K316" s="9">
        <v>2025</v>
      </c>
      <c r="L316" s="10" t="s">
        <v>54</v>
      </c>
    </row>
    <row r="317" spans="2:12" ht="20" customHeight="1" x14ac:dyDescent="0.35">
      <c r="B317" s="18" t="s">
        <v>5</v>
      </c>
      <c r="C317" s="9" t="s">
        <v>224</v>
      </c>
      <c r="D317" s="9" t="s">
        <v>90</v>
      </c>
      <c r="E317" s="17">
        <v>127</v>
      </c>
      <c r="F317" s="17"/>
      <c r="G317" s="17"/>
      <c r="H317" s="17"/>
      <c r="I317" s="17"/>
      <c r="J317" s="9" t="s">
        <v>53</v>
      </c>
      <c r="K317" s="9">
        <v>2025</v>
      </c>
      <c r="L317" s="10" t="s">
        <v>54</v>
      </c>
    </row>
    <row r="318" spans="2:12" ht="20" customHeight="1" x14ac:dyDescent="0.35">
      <c r="B318" s="18" t="s">
        <v>5</v>
      </c>
      <c r="C318" s="9" t="s">
        <v>225</v>
      </c>
      <c r="D318" s="9" t="s">
        <v>90</v>
      </c>
      <c r="E318" s="17">
        <v>525</v>
      </c>
      <c r="F318" s="17"/>
      <c r="G318" s="17"/>
      <c r="H318" s="17"/>
      <c r="I318" s="17"/>
      <c r="J318" s="9" t="s">
        <v>53</v>
      </c>
      <c r="K318" s="9">
        <v>2025</v>
      </c>
      <c r="L318" s="10" t="s">
        <v>54</v>
      </c>
    </row>
    <row r="319" spans="2:12" ht="20" customHeight="1" x14ac:dyDescent="0.35">
      <c r="B319" s="22" t="s">
        <v>5</v>
      </c>
      <c r="C319" s="55" t="s">
        <v>226</v>
      </c>
      <c r="D319" s="55" t="s">
        <v>90</v>
      </c>
      <c r="E319" s="36">
        <v>148</v>
      </c>
      <c r="F319" s="36"/>
      <c r="G319" s="36"/>
      <c r="H319" s="36"/>
      <c r="I319" s="36"/>
      <c r="J319" s="55" t="s">
        <v>53</v>
      </c>
      <c r="K319" s="55">
        <v>2025</v>
      </c>
      <c r="L319" s="26" t="s">
        <v>54</v>
      </c>
    </row>
  </sheetData>
  <hyperlinks>
    <hyperlink ref="L7" r:id="rId1" xr:uid="{6CE5AD37-6F06-428F-B362-76EE71BCA6F8}"/>
    <hyperlink ref="L90" r:id="rId2" xr:uid="{1C569F0D-8206-4D69-8F61-C76B84C66F71}"/>
    <hyperlink ref="L183" r:id="rId3" xr:uid="{7C03E0A5-6799-4FA4-BCB7-919376C3387B}"/>
    <hyperlink ref="L58" r:id="rId4" xr:uid="{FB2FDE32-981E-4F95-B844-5245795F3C4D}"/>
    <hyperlink ref="L118" r:id="rId5" xr:uid="{E3E144DF-FFF8-4E96-901A-4F4C257B2D1E}"/>
  </hyperlinks>
  <pageMargins left="0.7" right="0.7" top="0.75" bottom="0.75" header="0.3" footer="0.3"/>
  <tableParts count="3">
    <tablePart r:id="rId6"/>
    <tablePart r:id="rId7"/>
    <tablePart r:id="rId8"/>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8445B-CCB4-4B64-9D49-53DF3DF8C680}">
  <sheetPr>
    <tabColor rgb="FFE7EEEE"/>
  </sheetPr>
  <dimension ref="B1:S1160"/>
  <sheetViews>
    <sheetView showGridLines="0" zoomScale="80" zoomScaleNormal="80" workbookViewId="0"/>
  </sheetViews>
  <sheetFormatPr defaultRowHeight="14.5" x14ac:dyDescent="0.35"/>
  <cols>
    <col min="1" max="1" width="2.6328125" style="2" customWidth="1"/>
    <col min="2" max="2" width="72.81640625" style="2" bestFit="1" customWidth="1"/>
    <col min="3" max="3" width="35.26953125" style="2" bestFit="1" customWidth="1"/>
    <col min="4" max="5" width="20.6328125" style="2" customWidth="1"/>
    <col min="6" max="6" width="24.26953125" style="2" customWidth="1"/>
    <col min="7" max="7" width="22.26953125" style="2" customWidth="1"/>
    <col min="8" max="8" width="21.81640625" style="2" customWidth="1"/>
    <col min="9" max="15" width="20.6328125" style="2" customWidth="1"/>
    <col min="16" max="16" width="49.08984375" style="2" bestFit="1" customWidth="1"/>
    <col min="17" max="17" width="20.6328125" style="2" customWidth="1"/>
    <col min="18" max="18" width="27.54296875" style="2" bestFit="1" customWidth="1"/>
    <col min="19" max="19" width="37.453125" style="2" bestFit="1" customWidth="1"/>
    <col min="20" max="20" width="13.36328125" style="2" customWidth="1"/>
    <col min="21" max="21" width="20.6328125" style="2" customWidth="1"/>
    <col min="22" max="22" width="25.36328125" style="2" customWidth="1"/>
    <col min="23" max="16384" width="8.7265625" style="2"/>
  </cols>
  <sheetData>
    <row r="1" spans="2:19" s="1" customFormat="1" x14ac:dyDescent="0.35">
      <c r="B1" s="147" t="str">
        <f>const_Company_Name &amp; " Corporate Carbon Footprint Calculation"</f>
        <v>[Ihr Unternehmen] Corporate Carbon Footprint Calculation</v>
      </c>
    </row>
    <row r="2" spans="2:19" s="1" customFormat="1" x14ac:dyDescent="0.35">
      <c r="B2" s="147" t="str">
        <f>"01/01/" &amp; const_Reporting_Year &amp; " - 31/12/" &amp; const_Reporting_Year</f>
        <v>01/01/2025 - 31/12/2025</v>
      </c>
    </row>
    <row r="4" spans="2:19" ht="17" x14ac:dyDescent="0.35">
      <c r="B4" s="41" t="s">
        <v>243</v>
      </c>
      <c r="C4" s="67"/>
      <c r="D4" s="67"/>
      <c r="E4" s="67"/>
      <c r="F4" s="67"/>
      <c r="G4" s="67"/>
      <c r="H4" s="67"/>
      <c r="I4" s="67"/>
      <c r="J4" s="67"/>
      <c r="K4" s="67"/>
      <c r="L4" s="67"/>
      <c r="M4" s="67"/>
      <c r="N4" s="67"/>
      <c r="O4" s="67"/>
      <c r="P4" s="67"/>
      <c r="Q4" s="67"/>
      <c r="R4" s="67"/>
      <c r="S4" s="67"/>
    </row>
    <row r="6" spans="2:19" ht="29" x14ac:dyDescent="0.35">
      <c r="B6" s="60" t="s">
        <v>20</v>
      </c>
      <c r="C6" s="61" t="s">
        <v>244</v>
      </c>
      <c r="D6" s="61" t="s">
        <v>22</v>
      </c>
      <c r="E6" s="61" t="s">
        <v>40</v>
      </c>
      <c r="F6" s="61" t="s">
        <v>245</v>
      </c>
      <c r="G6" s="61" t="s">
        <v>246</v>
      </c>
      <c r="H6" s="61" t="s">
        <v>247</v>
      </c>
      <c r="I6" s="61" t="s">
        <v>248</v>
      </c>
      <c r="J6" s="61" t="s">
        <v>2490</v>
      </c>
      <c r="K6" s="61" t="s">
        <v>250</v>
      </c>
      <c r="L6" s="61" t="s">
        <v>251</v>
      </c>
      <c r="M6" s="61" t="s">
        <v>252</v>
      </c>
      <c r="N6" s="61" t="s">
        <v>253</v>
      </c>
      <c r="O6" s="62" t="s">
        <v>254</v>
      </c>
      <c r="P6" s="61" t="s">
        <v>255</v>
      </c>
      <c r="Q6" s="61" t="s">
        <v>256</v>
      </c>
      <c r="R6" s="61" t="s">
        <v>2491</v>
      </c>
      <c r="S6" s="61" t="s">
        <v>257</v>
      </c>
    </row>
    <row r="7" spans="2:19" x14ac:dyDescent="0.35">
      <c r="B7" s="18" t="s">
        <v>258</v>
      </c>
      <c r="C7" s="9" t="s">
        <v>259</v>
      </c>
      <c r="D7" s="9" t="s">
        <v>799</v>
      </c>
      <c r="E7" s="9" t="s">
        <v>39</v>
      </c>
      <c r="F7" s="17">
        <v>0.51370000000000005</v>
      </c>
      <c r="G7" s="17">
        <v>0.5121</v>
      </c>
      <c r="H7" s="17">
        <v>2.9999999999999997E-4</v>
      </c>
      <c r="I7" s="17">
        <v>1.2999999999999999E-3</v>
      </c>
      <c r="J7" s="17">
        <v>0</v>
      </c>
      <c r="K7" s="9" t="s">
        <v>1343</v>
      </c>
      <c r="L7" s="9" t="s">
        <v>260</v>
      </c>
      <c r="M7" s="9">
        <v>2023</v>
      </c>
      <c r="N7" s="9" t="s">
        <v>577</v>
      </c>
      <c r="O7" s="10" t="s">
        <v>577</v>
      </c>
      <c r="P7" s="31" t="s">
        <v>315</v>
      </c>
      <c r="Q7" s="31" t="s">
        <v>264</v>
      </c>
      <c r="R7" s="31" t="s">
        <v>1344</v>
      </c>
      <c r="S7" s="31" t="s">
        <v>1345</v>
      </c>
    </row>
    <row r="8" spans="2:19" x14ac:dyDescent="0.35">
      <c r="B8" s="18" t="s">
        <v>258</v>
      </c>
      <c r="C8" s="9" t="s">
        <v>259</v>
      </c>
      <c r="D8" s="9" t="s">
        <v>799</v>
      </c>
      <c r="E8" s="9" t="s">
        <v>39</v>
      </c>
      <c r="F8" s="17">
        <v>0.52449999999999997</v>
      </c>
      <c r="G8" s="17">
        <v>0.52280000000000004</v>
      </c>
      <c r="H8" s="17">
        <v>2.9999999999999997E-4</v>
      </c>
      <c r="I8" s="17">
        <v>1.4E-3</v>
      </c>
      <c r="J8" s="17">
        <v>0</v>
      </c>
      <c r="K8" s="9" t="s">
        <v>1343</v>
      </c>
      <c r="L8" s="9" t="s">
        <v>260</v>
      </c>
      <c r="M8" s="9">
        <v>2022</v>
      </c>
      <c r="N8" s="9" t="s">
        <v>577</v>
      </c>
      <c r="O8" s="10" t="s">
        <v>577</v>
      </c>
      <c r="P8" s="9" t="s">
        <v>315</v>
      </c>
      <c r="Q8" s="9" t="s">
        <v>264</v>
      </c>
      <c r="R8" s="9" t="s">
        <v>1344</v>
      </c>
      <c r="S8" s="9" t="s">
        <v>1346</v>
      </c>
    </row>
    <row r="9" spans="2:19" x14ac:dyDescent="0.35">
      <c r="B9" s="18" t="s">
        <v>800</v>
      </c>
      <c r="C9" s="9" t="s">
        <v>803</v>
      </c>
      <c r="D9" s="9" t="s">
        <v>799</v>
      </c>
      <c r="E9" s="9" t="s">
        <v>39</v>
      </c>
      <c r="F9" s="17">
        <v>3.8E-3</v>
      </c>
      <c r="G9" s="17"/>
      <c r="H9" s="17"/>
      <c r="I9" s="17"/>
      <c r="J9" s="17">
        <v>3.8E-3</v>
      </c>
      <c r="K9" s="9" t="s">
        <v>1343</v>
      </c>
      <c r="L9" s="9" t="s">
        <v>804</v>
      </c>
      <c r="M9" s="9">
        <v>2022</v>
      </c>
      <c r="N9" s="9" t="s">
        <v>805</v>
      </c>
      <c r="O9" s="10" t="s">
        <v>806</v>
      </c>
      <c r="P9" s="9" t="s">
        <v>807</v>
      </c>
      <c r="Q9" s="9" t="s">
        <v>264</v>
      </c>
      <c r="R9" s="9" t="s">
        <v>1344</v>
      </c>
      <c r="S9" s="9" t="s">
        <v>1347</v>
      </c>
    </row>
    <row r="10" spans="2:19" x14ac:dyDescent="0.35">
      <c r="B10" s="18" t="s">
        <v>800</v>
      </c>
      <c r="C10" s="9" t="s">
        <v>803</v>
      </c>
      <c r="D10" s="9" t="s">
        <v>799</v>
      </c>
      <c r="E10" s="9" t="s">
        <v>39</v>
      </c>
      <c r="F10" s="17">
        <v>4.1000000000000003E-3</v>
      </c>
      <c r="G10" s="17"/>
      <c r="H10" s="17"/>
      <c r="I10" s="17"/>
      <c r="J10" s="17">
        <v>4.1000000000000003E-3</v>
      </c>
      <c r="K10" s="9" t="s">
        <v>1343</v>
      </c>
      <c r="L10" s="9" t="s">
        <v>804</v>
      </c>
      <c r="M10" s="9">
        <v>2023</v>
      </c>
      <c r="N10" s="9" t="s">
        <v>805</v>
      </c>
      <c r="O10" s="10" t="s">
        <v>806</v>
      </c>
      <c r="P10" s="9" t="s">
        <v>807</v>
      </c>
      <c r="Q10" s="9" t="s">
        <v>264</v>
      </c>
      <c r="R10" s="9" t="s">
        <v>1344</v>
      </c>
      <c r="S10" s="9" t="s">
        <v>1348</v>
      </c>
    </row>
    <row r="11" spans="2:19" x14ac:dyDescent="0.35">
      <c r="B11" s="18" t="s">
        <v>800</v>
      </c>
      <c r="C11" s="9" t="s">
        <v>803</v>
      </c>
      <c r="D11" s="9" t="s">
        <v>799</v>
      </c>
      <c r="E11" s="9" t="s">
        <v>39</v>
      </c>
      <c r="F11" s="17">
        <v>5.7000000000000002E-3</v>
      </c>
      <c r="G11" s="17"/>
      <c r="H11" s="17"/>
      <c r="I11" s="17"/>
      <c r="J11" s="17">
        <v>5.7000000000000002E-3</v>
      </c>
      <c r="K11" s="9" t="s">
        <v>1343</v>
      </c>
      <c r="L11" s="9" t="s">
        <v>804</v>
      </c>
      <c r="M11" s="9">
        <v>2024</v>
      </c>
      <c r="N11" s="9" t="s">
        <v>805</v>
      </c>
      <c r="O11" s="10" t="s">
        <v>806</v>
      </c>
      <c r="P11" s="9" t="s">
        <v>807</v>
      </c>
      <c r="Q11" s="9" t="s">
        <v>264</v>
      </c>
      <c r="R11" s="9" t="s">
        <v>1344</v>
      </c>
      <c r="S11" s="9" t="s">
        <v>1349</v>
      </c>
    </row>
    <row r="12" spans="2:19" x14ac:dyDescent="0.35">
      <c r="B12" s="18" t="s">
        <v>258</v>
      </c>
      <c r="C12" s="9" t="s">
        <v>259</v>
      </c>
      <c r="D12" s="9" t="s">
        <v>799</v>
      </c>
      <c r="E12" s="9" t="s">
        <v>39</v>
      </c>
      <c r="F12" s="17">
        <v>0.50070000000000003</v>
      </c>
      <c r="G12" s="17">
        <v>0.50009999999999999</v>
      </c>
      <c r="H12" s="17">
        <v>2.9999999999999997E-4</v>
      </c>
      <c r="I12" s="17">
        <v>2.9999999999999997E-4</v>
      </c>
      <c r="J12" s="17">
        <v>0</v>
      </c>
      <c r="K12" s="9" t="s">
        <v>1343</v>
      </c>
      <c r="L12" s="9" t="s">
        <v>260</v>
      </c>
      <c r="M12" s="9">
        <v>2023</v>
      </c>
      <c r="N12" s="9" t="s">
        <v>721</v>
      </c>
      <c r="O12" s="10" t="s">
        <v>722</v>
      </c>
      <c r="P12" s="9" t="s">
        <v>723</v>
      </c>
      <c r="Q12" s="9" t="s">
        <v>264</v>
      </c>
      <c r="R12" s="9" t="s">
        <v>1344</v>
      </c>
      <c r="S12" s="9" t="s">
        <v>1350</v>
      </c>
    </row>
    <row r="13" spans="2:19" x14ac:dyDescent="0.35">
      <c r="B13" s="18" t="s">
        <v>258</v>
      </c>
      <c r="C13" s="9" t="s">
        <v>259</v>
      </c>
      <c r="D13" s="9" t="s">
        <v>799</v>
      </c>
      <c r="E13" s="9" t="s">
        <v>39</v>
      </c>
      <c r="F13" s="17">
        <v>0.50939999999999996</v>
      </c>
      <c r="G13" s="17">
        <v>0.50880000000000003</v>
      </c>
      <c r="H13" s="17">
        <v>2.9999999999999997E-4</v>
      </c>
      <c r="I13" s="17">
        <v>2.9999999999999997E-4</v>
      </c>
      <c r="J13" s="17">
        <v>0</v>
      </c>
      <c r="K13" s="9" t="s">
        <v>1343</v>
      </c>
      <c r="L13" s="9" t="s">
        <v>260</v>
      </c>
      <c r="M13" s="9">
        <v>2022</v>
      </c>
      <c r="N13" s="9" t="s">
        <v>721</v>
      </c>
      <c r="O13" s="10" t="s">
        <v>722</v>
      </c>
      <c r="P13" s="9" t="s">
        <v>723</v>
      </c>
      <c r="Q13" s="9" t="s">
        <v>264</v>
      </c>
      <c r="R13" s="9" t="s">
        <v>1344</v>
      </c>
      <c r="S13" s="9" t="s">
        <v>1351</v>
      </c>
    </row>
    <row r="14" spans="2:19" x14ac:dyDescent="0.35">
      <c r="B14" s="18" t="s">
        <v>800</v>
      </c>
      <c r="C14" s="9" t="s">
        <v>801</v>
      </c>
      <c r="D14" s="9" t="s">
        <v>799</v>
      </c>
      <c r="E14" s="9" t="s">
        <v>39</v>
      </c>
      <c r="F14" s="17">
        <v>6.0100000000000001E-2</v>
      </c>
      <c r="G14" s="17"/>
      <c r="H14" s="17"/>
      <c r="I14" s="17"/>
      <c r="J14" s="17">
        <v>6.0100000000000001E-2</v>
      </c>
      <c r="K14" s="9" t="s">
        <v>1343</v>
      </c>
      <c r="L14" s="9" t="s">
        <v>802</v>
      </c>
      <c r="M14" s="9">
        <v>2023</v>
      </c>
      <c r="N14" s="9" t="s">
        <v>721</v>
      </c>
      <c r="O14" s="10" t="s">
        <v>722</v>
      </c>
      <c r="P14" s="9" t="s">
        <v>723</v>
      </c>
      <c r="Q14" s="9" t="s">
        <v>264</v>
      </c>
      <c r="R14" s="9" t="s">
        <v>1344</v>
      </c>
      <c r="S14" s="9" t="s">
        <v>1352</v>
      </c>
    </row>
    <row r="15" spans="2:19" x14ac:dyDescent="0.35">
      <c r="B15" s="18" t="s">
        <v>800</v>
      </c>
      <c r="C15" s="9" t="s">
        <v>801</v>
      </c>
      <c r="D15" s="9" t="s">
        <v>799</v>
      </c>
      <c r="E15" s="9" t="s">
        <v>39</v>
      </c>
      <c r="F15" s="17">
        <v>6.3600000000000004E-2</v>
      </c>
      <c r="G15" s="17"/>
      <c r="H15" s="17"/>
      <c r="I15" s="17"/>
      <c r="J15" s="17">
        <v>6.3600000000000004E-2</v>
      </c>
      <c r="K15" s="9" t="s">
        <v>1343</v>
      </c>
      <c r="L15" s="9" t="s">
        <v>802</v>
      </c>
      <c r="M15" s="9">
        <v>2022</v>
      </c>
      <c r="N15" s="9" t="s">
        <v>721</v>
      </c>
      <c r="O15" s="10" t="s">
        <v>722</v>
      </c>
      <c r="P15" s="9" t="s">
        <v>723</v>
      </c>
      <c r="Q15" s="9" t="s">
        <v>264</v>
      </c>
      <c r="R15" s="9" t="s">
        <v>1344</v>
      </c>
      <c r="S15" s="9" t="s">
        <v>1353</v>
      </c>
    </row>
    <row r="16" spans="2:19" x14ac:dyDescent="0.35">
      <c r="B16" s="18" t="s">
        <v>800</v>
      </c>
      <c r="C16" s="9" t="s">
        <v>803</v>
      </c>
      <c r="D16" s="9" t="s">
        <v>799</v>
      </c>
      <c r="E16" s="9" t="s">
        <v>39</v>
      </c>
      <c r="F16" s="17">
        <v>8.2900000000000001E-2</v>
      </c>
      <c r="G16" s="17"/>
      <c r="H16" s="17"/>
      <c r="I16" s="17"/>
      <c r="J16" s="17">
        <v>8.2900000000000001E-2</v>
      </c>
      <c r="K16" s="9" t="s">
        <v>1343</v>
      </c>
      <c r="L16" s="9" t="s">
        <v>804</v>
      </c>
      <c r="M16" s="9">
        <v>2023</v>
      </c>
      <c r="N16" s="9" t="s">
        <v>721</v>
      </c>
      <c r="O16" s="10" t="s">
        <v>722</v>
      </c>
      <c r="P16" s="9" t="s">
        <v>723</v>
      </c>
      <c r="Q16" s="9" t="s">
        <v>264</v>
      </c>
      <c r="R16" s="9" t="s">
        <v>1344</v>
      </c>
      <c r="S16" s="9" t="s">
        <v>1354</v>
      </c>
    </row>
    <row r="17" spans="2:19" x14ac:dyDescent="0.35">
      <c r="B17" s="18" t="s">
        <v>800</v>
      </c>
      <c r="C17" s="9" t="s">
        <v>803</v>
      </c>
      <c r="D17" s="9" t="s">
        <v>799</v>
      </c>
      <c r="E17" s="9" t="s">
        <v>39</v>
      </c>
      <c r="F17" s="17">
        <v>8.3799999999999999E-2</v>
      </c>
      <c r="G17" s="17"/>
      <c r="H17" s="17"/>
      <c r="I17" s="17"/>
      <c r="J17" s="17">
        <v>8.3799999999999999E-2</v>
      </c>
      <c r="K17" s="9" t="s">
        <v>1343</v>
      </c>
      <c r="L17" s="9" t="s">
        <v>804</v>
      </c>
      <c r="M17" s="9">
        <v>2022</v>
      </c>
      <c r="N17" s="9" t="s">
        <v>721</v>
      </c>
      <c r="O17" s="10" t="s">
        <v>722</v>
      </c>
      <c r="P17" s="9" t="s">
        <v>723</v>
      </c>
      <c r="Q17" s="9" t="s">
        <v>264</v>
      </c>
      <c r="R17" s="9" t="s">
        <v>1344</v>
      </c>
      <c r="S17" s="9" t="s">
        <v>1355</v>
      </c>
    </row>
    <row r="18" spans="2:19" x14ac:dyDescent="0.35">
      <c r="B18" s="18" t="s">
        <v>258</v>
      </c>
      <c r="C18" s="9" t="s">
        <v>259</v>
      </c>
      <c r="D18" s="9" t="s">
        <v>799</v>
      </c>
      <c r="E18" s="9" t="s">
        <v>39</v>
      </c>
      <c r="F18" s="17">
        <v>0.2792</v>
      </c>
      <c r="G18" s="17">
        <v>0.27829999999999999</v>
      </c>
      <c r="H18" s="17">
        <v>2.0000000000000001E-4</v>
      </c>
      <c r="I18" s="17">
        <v>6.9999999999999999E-4</v>
      </c>
      <c r="J18" s="17">
        <v>0</v>
      </c>
      <c r="K18" s="9" t="s">
        <v>1343</v>
      </c>
      <c r="L18" s="9" t="s">
        <v>260</v>
      </c>
      <c r="M18" s="9">
        <v>2023</v>
      </c>
      <c r="N18" s="9" t="s">
        <v>461</v>
      </c>
      <c r="O18" s="10" t="s">
        <v>461</v>
      </c>
      <c r="P18" s="9" t="s">
        <v>462</v>
      </c>
      <c r="Q18" s="9" t="s">
        <v>264</v>
      </c>
      <c r="R18" s="9" t="s">
        <v>1344</v>
      </c>
      <c r="S18" s="9" t="s">
        <v>1356</v>
      </c>
    </row>
    <row r="19" spans="2:19" x14ac:dyDescent="0.35">
      <c r="B19" s="18" t="s">
        <v>258</v>
      </c>
      <c r="C19" s="9" t="s">
        <v>259</v>
      </c>
      <c r="D19" s="9" t="s">
        <v>799</v>
      </c>
      <c r="E19" s="9" t="s">
        <v>39</v>
      </c>
      <c r="F19" s="17">
        <v>0.29430000000000001</v>
      </c>
      <c r="G19" s="17">
        <v>0.29330000000000001</v>
      </c>
      <c r="H19" s="17">
        <v>2.0000000000000001E-4</v>
      </c>
      <c r="I19" s="17">
        <v>8.0000000000000004E-4</v>
      </c>
      <c r="J19" s="17">
        <v>0</v>
      </c>
      <c r="K19" s="9" t="s">
        <v>1343</v>
      </c>
      <c r="L19" s="9" t="s">
        <v>260</v>
      </c>
      <c r="M19" s="9">
        <v>2022</v>
      </c>
      <c r="N19" s="9" t="s">
        <v>461</v>
      </c>
      <c r="O19" s="10" t="s">
        <v>461</v>
      </c>
      <c r="P19" s="9" t="s">
        <v>462</v>
      </c>
      <c r="Q19" s="9" t="s">
        <v>264</v>
      </c>
      <c r="R19" s="9" t="s">
        <v>1344</v>
      </c>
      <c r="S19" s="9" t="s">
        <v>1357</v>
      </c>
    </row>
    <row r="20" spans="2:19" x14ac:dyDescent="0.35">
      <c r="B20" s="18" t="s">
        <v>258</v>
      </c>
      <c r="C20" s="9" t="s">
        <v>259</v>
      </c>
      <c r="D20" s="9" t="s">
        <v>799</v>
      </c>
      <c r="E20" s="9" t="s">
        <v>39</v>
      </c>
      <c r="F20" s="17">
        <v>0.20430000000000001</v>
      </c>
      <c r="G20" s="17">
        <v>0.20369999999999999</v>
      </c>
      <c r="H20" s="17">
        <v>2.0000000000000001E-4</v>
      </c>
      <c r="I20" s="17">
        <v>4.0000000000000002E-4</v>
      </c>
      <c r="J20" s="17">
        <v>0</v>
      </c>
      <c r="K20" s="9" t="s">
        <v>1343</v>
      </c>
      <c r="L20" s="9" t="s">
        <v>260</v>
      </c>
      <c r="M20" s="9">
        <v>2023</v>
      </c>
      <c r="N20" s="9" t="s">
        <v>712</v>
      </c>
      <c r="O20" s="10" t="s">
        <v>713</v>
      </c>
      <c r="P20" s="9" t="s">
        <v>714</v>
      </c>
      <c r="Q20" s="9" t="s">
        <v>264</v>
      </c>
      <c r="R20" s="9" t="s">
        <v>1344</v>
      </c>
      <c r="S20" s="9" t="s">
        <v>1358</v>
      </c>
    </row>
    <row r="21" spans="2:19" x14ac:dyDescent="0.35">
      <c r="B21" s="18" t="s">
        <v>258</v>
      </c>
      <c r="C21" s="9" t="s">
        <v>259</v>
      </c>
      <c r="D21" s="9" t="s">
        <v>799</v>
      </c>
      <c r="E21" s="9" t="s">
        <v>39</v>
      </c>
      <c r="F21" s="17">
        <v>0.2208</v>
      </c>
      <c r="G21" s="17">
        <v>0.22020000000000001</v>
      </c>
      <c r="H21" s="17">
        <v>2.0000000000000001E-4</v>
      </c>
      <c r="I21" s="17">
        <v>4.0000000000000002E-4</v>
      </c>
      <c r="J21" s="17">
        <v>0</v>
      </c>
      <c r="K21" s="9" t="s">
        <v>1343</v>
      </c>
      <c r="L21" s="9" t="s">
        <v>260</v>
      </c>
      <c r="M21" s="9">
        <v>2022</v>
      </c>
      <c r="N21" s="9" t="s">
        <v>712</v>
      </c>
      <c r="O21" s="10" t="s">
        <v>713</v>
      </c>
      <c r="P21" s="9" t="s">
        <v>714</v>
      </c>
      <c r="Q21" s="9" t="s">
        <v>264</v>
      </c>
      <c r="R21" s="9" t="s">
        <v>1344</v>
      </c>
      <c r="S21" s="9" t="s">
        <v>1359</v>
      </c>
    </row>
    <row r="22" spans="2:19" x14ac:dyDescent="0.35">
      <c r="B22" s="18" t="s">
        <v>800</v>
      </c>
      <c r="C22" s="9" t="s">
        <v>801</v>
      </c>
      <c r="D22" s="9" t="s">
        <v>799</v>
      </c>
      <c r="E22" s="9" t="s">
        <v>39</v>
      </c>
      <c r="F22" s="17">
        <v>2.9399999999999999E-2</v>
      </c>
      <c r="G22" s="17"/>
      <c r="H22" s="17"/>
      <c r="I22" s="17"/>
      <c r="J22" s="17">
        <v>2.9399999999999999E-2</v>
      </c>
      <c r="K22" s="9" t="s">
        <v>1343</v>
      </c>
      <c r="L22" s="9" t="s">
        <v>802</v>
      </c>
      <c r="M22" s="9">
        <v>2023</v>
      </c>
      <c r="N22" s="9" t="s">
        <v>712</v>
      </c>
      <c r="O22" s="10" t="s">
        <v>713</v>
      </c>
      <c r="P22" s="9" t="s">
        <v>714</v>
      </c>
      <c r="Q22" s="9" t="s">
        <v>264</v>
      </c>
      <c r="R22" s="9" t="s">
        <v>1344</v>
      </c>
      <c r="S22" s="9" t="s">
        <v>1360</v>
      </c>
    </row>
    <row r="23" spans="2:19" x14ac:dyDescent="0.35">
      <c r="B23" s="18" t="s">
        <v>800</v>
      </c>
      <c r="C23" s="9" t="s">
        <v>801</v>
      </c>
      <c r="D23" s="9" t="s">
        <v>799</v>
      </c>
      <c r="E23" s="9" t="s">
        <v>39</v>
      </c>
      <c r="F23" s="17">
        <v>3.1699999999999999E-2</v>
      </c>
      <c r="G23" s="17"/>
      <c r="H23" s="17"/>
      <c r="I23" s="17"/>
      <c r="J23" s="17">
        <v>3.1699999999999999E-2</v>
      </c>
      <c r="K23" s="9" t="s">
        <v>1343</v>
      </c>
      <c r="L23" s="9" t="s">
        <v>802</v>
      </c>
      <c r="M23" s="9">
        <v>2022</v>
      </c>
      <c r="N23" s="9" t="s">
        <v>712</v>
      </c>
      <c r="O23" s="10" t="s">
        <v>713</v>
      </c>
      <c r="P23" s="9" t="s">
        <v>714</v>
      </c>
      <c r="Q23" s="9" t="s">
        <v>264</v>
      </c>
      <c r="R23" s="9" t="s">
        <v>1344</v>
      </c>
      <c r="S23" s="9" t="s">
        <v>1361</v>
      </c>
    </row>
    <row r="24" spans="2:19" x14ac:dyDescent="0.35">
      <c r="B24" s="18" t="s">
        <v>800</v>
      </c>
      <c r="C24" s="9" t="s">
        <v>803</v>
      </c>
      <c r="D24" s="9" t="s">
        <v>799</v>
      </c>
      <c r="E24" s="9" t="s">
        <v>39</v>
      </c>
      <c r="F24" s="17">
        <v>4.9099999999999998E-2</v>
      </c>
      <c r="G24" s="17"/>
      <c r="H24" s="17"/>
      <c r="I24" s="17"/>
      <c r="J24" s="17">
        <v>4.9099999999999998E-2</v>
      </c>
      <c r="K24" s="9" t="s">
        <v>1343</v>
      </c>
      <c r="L24" s="9" t="s">
        <v>804</v>
      </c>
      <c r="M24" s="9">
        <v>2023</v>
      </c>
      <c r="N24" s="9" t="s">
        <v>712</v>
      </c>
      <c r="O24" s="10" t="s">
        <v>713</v>
      </c>
      <c r="P24" s="9" t="s">
        <v>714</v>
      </c>
      <c r="Q24" s="9" t="s">
        <v>264</v>
      </c>
      <c r="R24" s="9" t="s">
        <v>1344</v>
      </c>
      <c r="S24" s="9" t="s">
        <v>1362</v>
      </c>
    </row>
    <row r="25" spans="2:19" x14ac:dyDescent="0.35">
      <c r="B25" s="18" t="s">
        <v>800</v>
      </c>
      <c r="C25" s="9" t="s">
        <v>803</v>
      </c>
      <c r="D25" s="9" t="s">
        <v>799</v>
      </c>
      <c r="E25" s="9" t="s">
        <v>39</v>
      </c>
      <c r="F25" s="17">
        <v>5.2299999999999999E-2</v>
      </c>
      <c r="G25" s="17"/>
      <c r="H25" s="17"/>
      <c r="I25" s="17"/>
      <c r="J25" s="17">
        <v>5.2299999999999999E-2</v>
      </c>
      <c r="K25" s="9" t="s">
        <v>1343</v>
      </c>
      <c r="L25" s="9" t="s">
        <v>804</v>
      </c>
      <c r="M25" s="9">
        <v>2022</v>
      </c>
      <c r="N25" s="9" t="s">
        <v>712</v>
      </c>
      <c r="O25" s="10" t="s">
        <v>713</v>
      </c>
      <c r="P25" s="9" t="s">
        <v>714</v>
      </c>
      <c r="Q25" s="9" t="s">
        <v>264</v>
      </c>
      <c r="R25" s="9" t="s">
        <v>1344</v>
      </c>
      <c r="S25" s="9" t="s">
        <v>1363</v>
      </c>
    </row>
    <row r="26" spans="2:19" x14ac:dyDescent="0.35">
      <c r="B26" s="18" t="s">
        <v>258</v>
      </c>
      <c r="C26" s="9" t="s">
        <v>259</v>
      </c>
      <c r="D26" s="9" t="s">
        <v>799</v>
      </c>
      <c r="E26" s="9" t="s">
        <v>39</v>
      </c>
      <c r="F26" s="17">
        <v>0.2296</v>
      </c>
      <c r="G26" s="17">
        <v>0.22850000000000001</v>
      </c>
      <c r="H26" s="17">
        <v>2.9999999999999997E-4</v>
      </c>
      <c r="I26" s="17">
        <v>8.0000000000000004E-4</v>
      </c>
      <c r="J26" s="17">
        <v>0</v>
      </c>
      <c r="K26" s="9" t="s">
        <v>1343</v>
      </c>
      <c r="L26" s="9" t="s">
        <v>260</v>
      </c>
      <c r="M26" s="9">
        <v>2023</v>
      </c>
      <c r="N26" s="9" t="s">
        <v>352</v>
      </c>
      <c r="O26" s="10" t="s">
        <v>352</v>
      </c>
      <c r="P26" s="9" t="s">
        <v>353</v>
      </c>
      <c r="Q26" s="9" t="s">
        <v>264</v>
      </c>
      <c r="R26" s="9" t="s">
        <v>1344</v>
      </c>
      <c r="S26" s="9" t="s">
        <v>1364</v>
      </c>
    </row>
    <row r="27" spans="2:19" x14ac:dyDescent="0.35">
      <c r="B27" s="18" t="s">
        <v>258</v>
      </c>
      <c r="C27" s="9" t="s">
        <v>259</v>
      </c>
      <c r="D27" s="9" t="s">
        <v>799</v>
      </c>
      <c r="E27" s="9" t="s">
        <v>39</v>
      </c>
      <c r="F27" s="17">
        <v>0.26590000000000003</v>
      </c>
      <c r="G27" s="17">
        <v>0.26469999999999999</v>
      </c>
      <c r="H27" s="17">
        <v>2.9999999999999997E-4</v>
      </c>
      <c r="I27" s="17">
        <v>8.9999999999999998E-4</v>
      </c>
      <c r="J27" s="17">
        <v>0</v>
      </c>
      <c r="K27" s="9" t="s">
        <v>1343</v>
      </c>
      <c r="L27" s="9" t="s">
        <v>260</v>
      </c>
      <c r="M27" s="9">
        <v>2022</v>
      </c>
      <c r="N27" s="9" t="s">
        <v>352</v>
      </c>
      <c r="O27" s="10" t="s">
        <v>352</v>
      </c>
      <c r="P27" s="9" t="s">
        <v>353</v>
      </c>
      <c r="Q27" s="9" t="s">
        <v>264</v>
      </c>
      <c r="R27" s="9" t="s">
        <v>1344</v>
      </c>
      <c r="S27" s="9" t="s">
        <v>1365</v>
      </c>
    </row>
    <row r="28" spans="2:19" x14ac:dyDescent="0.35">
      <c r="B28" s="18" t="s">
        <v>258</v>
      </c>
      <c r="C28" s="9" t="s">
        <v>259</v>
      </c>
      <c r="D28" s="9" t="s">
        <v>799</v>
      </c>
      <c r="E28" s="9" t="s">
        <v>39</v>
      </c>
      <c r="F28" s="17">
        <v>0.30130000000000001</v>
      </c>
      <c r="G28" s="17">
        <v>0.30009999999999998</v>
      </c>
      <c r="H28" s="17">
        <v>2.9999999999999997E-4</v>
      </c>
      <c r="I28" s="17">
        <v>8.9999999999999998E-4</v>
      </c>
      <c r="J28" s="17">
        <v>0</v>
      </c>
      <c r="K28" s="9" t="s">
        <v>1343</v>
      </c>
      <c r="L28" s="9" t="s">
        <v>260</v>
      </c>
      <c r="M28" s="9">
        <v>2023</v>
      </c>
      <c r="N28" s="9" t="s">
        <v>371</v>
      </c>
      <c r="O28" s="10" t="s">
        <v>371</v>
      </c>
      <c r="P28" s="9" t="s">
        <v>372</v>
      </c>
      <c r="Q28" s="9" t="s">
        <v>264</v>
      </c>
      <c r="R28" s="9" t="s">
        <v>1344</v>
      </c>
      <c r="S28" s="9" t="s">
        <v>1366</v>
      </c>
    </row>
    <row r="29" spans="2:19" x14ac:dyDescent="0.35">
      <c r="B29" s="18" t="s">
        <v>258</v>
      </c>
      <c r="C29" s="9" t="s">
        <v>259</v>
      </c>
      <c r="D29" s="9" t="s">
        <v>799</v>
      </c>
      <c r="E29" s="9" t="s">
        <v>39</v>
      </c>
      <c r="F29" s="17">
        <v>0.32229999999999998</v>
      </c>
      <c r="G29" s="17">
        <v>0.32100000000000001</v>
      </c>
      <c r="H29" s="17">
        <v>2.9999999999999997E-4</v>
      </c>
      <c r="I29" s="17">
        <v>1E-3</v>
      </c>
      <c r="J29" s="17">
        <v>0</v>
      </c>
      <c r="K29" s="9" t="s">
        <v>1343</v>
      </c>
      <c r="L29" s="9" t="s">
        <v>260</v>
      </c>
      <c r="M29" s="9">
        <v>2022</v>
      </c>
      <c r="N29" s="9" t="s">
        <v>371</v>
      </c>
      <c r="O29" s="10" t="s">
        <v>371</v>
      </c>
      <c r="P29" s="9" t="s">
        <v>372</v>
      </c>
      <c r="Q29" s="9" t="s">
        <v>264</v>
      </c>
      <c r="R29" s="9" t="s">
        <v>1344</v>
      </c>
      <c r="S29" s="9" t="s">
        <v>1367</v>
      </c>
    </row>
    <row r="30" spans="2:19" x14ac:dyDescent="0.35">
      <c r="B30" s="18" t="s">
        <v>258</v>
      </c>
      <c r="C30" s="9" t="s">
        <v>259</v>
      </c>
      <c r="D30" s="9" t="s">
        <v>799</v>
      </c>
      <c r="E30" s="9" t="s">
        <v>39</v>
      </c>
      <c r="F30" s="17">
        <v>0.37469999999999998</v>
      </c>
      <c r="G30" s="17">
        <v>0.37359999999999999</v>
      </c>
      <c r="H30" s="17">
        <v>2.0000000000000001E-4</v>
      </c>
      <c r="I30" s="17">
        <v>8.9999999999999998E-4</v>
      </c>
      <c r="J30" s="17">
        <v>0</v>
      </c>
      <c r="K30" s="9" t="s">
        <v>1343</v>
      </c>
      <c r="L30" s="9" t="s">
        <v>260</v>
      </c>
      <c r="M30" s="9">
        <v>2023</v>
      </c>
      <c r="N30" s="9" t="s">
        <v>373</v>
      </c>
      <c r="O30" s="10" t="s">
        <v>373</v>
      </c>
      <c r="P30" s="9" t="s">
        <v>374</v>
      </c>
      <c r="Q30" s="9" t="s">
        <v>264</v>
      </c>
      <c r="R30" s="9" t="s">
        <v>1344</v>
      </c>
      <c r="S30" s="9" t="s">
        <v>1368</v>
      </c>
    </row>
    <row r="31" spans="2:19" x14ac:dyDescent="0.35">
      <c r="B31" s="18" t="s">
        <v>258</v>
      </c>
      <c r="C31" s="9" t="s">
        <v>259</v>
      </c>
      <c r="D31" s="9" t="s">
        <v>799</v>
      </c>
      <c r="E31" s="9" t="s">
        <v>39</v>
      </c>
      <c r="F31" s="17">
        <v>0.38300000000000001</v>
      </c>
      <c r="G31" s="17">
        <v>0.38179999999999997</v>
      </c>
      <c r="H31" s="17">
        <v>2.0000000000000001E-4</v>
      </c>
      <c r="I31" s="17">
        <v>1E-3</v>
      </c>
      <c r="J31" s="17">
        <v>0</v>
      </c>
      <c r="K31" s="9" t="s">
        <v>1343</v>
      </c>
      <c r="L31" s="9" t="s">
        <v>260</v>
      </c>
      <c r="M31" s="9">
        <v>2022</v>
      </c>
      <c r="N31" s="9" t="s">
        <v>373</v>
      </c>
      <c r="O31" s="10" t="s">
        <v>373</v>
      </c>
      <c r="P31" s="9" t="s">
        <v>374</v>
      </c>
      <c r="Q31" s="9" t="s">
        <v>264</v>
      </c>
      <c r="R31" s="9" t="s">
        <v>1344</v>
      </c>
      <c r="S31" s="9" t="s">
        <v>1369</v>
      </c>
    </row>
    <row r="32" spans="2:19" x14ac:dyDescent="0.35">
      <c r="B32" s="18" t="s">
        <v>258</v>
      </c>
      <c r="C32" s="9" t="s">
        <v>259</v>
      </c>
      <c r="D32" s="9" t="s">
        <v>799</v>
      </c>
      <c r="E32" s="9" t="s">
        <v>39</v>
      </c>
      <c r="F32" s="17">
        <v>0.46629999999999999</v>
      </c>
      <c r="G32" s="17">
        <v>0.4642</v>
      </c>
      <c r="H32" s="17">
        <v>5.0000000000000001E-4</v>
      </c>
      <c r="I32" s="17">
        <v>1.6000000000000001E-3</v>
      </c>
      <c r="J32" s="17">
        <v>0</v>
      </c>
      <c r="K32" s="9" t="s">
        <v>1343</v>
      </c>
      <c r="L32" s="9" t="s">
        <v>260</v>
      </c>
      <c r="M32" s="9">
        <v>2023</v>
      </c>
      <c r="N32" s="9" t="s">
        <v>378</v>
      </c>
      <c r="O32" s="10" t="s">
        <v>378</v>
      </c>
      <c r="P32" s="9" t="s">
        <v>379</v>
      </c>
      <c r="Q32" s="9" t="s">
        <v>264</v>
      </c>
      <c r="R32" s="9" t="s">
        <v>1344</v>
      </c>
      <c r="S32" s="9" t="s">
        <v>1370</v>
      </c>
    </row>
    <row r="33" spans="2:19" x14ac:dyDescent="0.35">
      <c r="B33" s="18" t="s">
        <v>258</v>
      </c>
      <c r="C33" s="9" t="s">
        <v>259</v>
      </c>
      <c r="D33" s="9" t="s">
        <v>799</v>
      </c>
      <c r="E33" s="9" t="s">
        <v>39</v>
      </c>
      <c r="F33" s="17">
        <v>0.48799999999999999</v>
      </c>
      <c r="G33" s="17">
        <v>0.4859</v>
      </c>
      <c r="H33" s="17">
        <v>4.0000000000000002E-4</v>
      </c>
      <c r="I33" s="17">
        <v>1.6999999999999999E-3</v>
      </c>
      <c r="J33" s="17">
        <v>0</v>
      </c>
      <c r="K33" s="9" t="s">
        <v>1343</v>
      </c>
      <c r="L33" s="9" t="s">
        <v>260</v>
      </c>
      <c r="M33" s="9">
        <v>2022</v>
      </c>
      <c r="N33" s="9" t="s">
        <v>378</v>
      </c>
      <c r="O33" s="10" t="s">
        <v>378</v>
      </c>
      <c r="P33" s="9" t="s">
        <v>379</v>
      </c>
      <c r="Q33" s="9" t="s">
        <v>264</v>
      </c>
      <c r="R33" s="9" t="s">
        <v>1344</v>
      </c>
      <c r="S33" s="9" t="s">
        <v>1371</v>
      </c>
    </row>
    <row r="34" spans="2:19" x14ac:dyDescent="0.35">
      <c r="B34" s="18" t="s">
        <v>258</v>
      </c>
      <c r="C34" s="9" t="s">
        <v>259</v>
      </c>
      <c r="D34" s="9" t="s">
        <v>799</v>
      </c>
      <c r="E34" s="9" t="s">
        <v>39</v>
      </c>
      <c r="F34" s="17">
        <v>0.28239999999999998</v>
      </c>
      <c r="G34" s="17">
        <v>0.28129999999999999</v>
      </c>
      <c r="H34" s="17">
        <v>2.9999999999999997E-4</v>
      </c>
      <c r="I34" s="17">
        <v>8.0000000000000004E-4</v>
      </c>
      <c r="J34" s="17">
        <v>0</v>
      </c>
      <c r="K34" s="9" t="s">
        <v>1343</v>
      </c>
      <c r="L34" s="9" t="s">
        <v>260</v>
      </c>
      <c r="M34" s="9">
        <v>2023</v>
      </c>
      <c r="N34" s="9" t="s">
        <v>369</v>
      </c>
      <c r="O34" s="10" t="s">
        <v>369</v>
      </c>
      <c r="P34" s="9" t="s">
        <v>370</v>
      </c>
      <c r="Q34" s="9" t="s">
        <v>264</v>
      </c>
      <c r="R34" s="9" t="s">
        <v>1344</v>
      </c>
      <c r="S34" s="9" t="s">
        <v>1372</v>
      </c>
    </row>
    <row r="35" spans="2:19" x14ac:dyDescent="0.35">
      <c r="B35" s="18" t="s">
        <v>258</v>
      </c>
      <c r="C35" s="9" t="s">
        <v>259</v>
      </c>
      <c r="D35" s="9" t="s">
        <v>799</v>
      </c>
      <c r="E35" s="9" t="s">
        <v>39</v>
      </c>
      <c r="F35" s="17">
        <v>0.30659999999999998</v>
      </c>
      <c r="G35" s="17">
        <v>0.3054</v>
      </c>
      <c r="H35" s="17">
        <v>2.9999999999999997E-4</v>
      </c>
      <c r="I35" s="17">
        <v>8.9999999999999998E-4</v>
      </c>
      <c r="J35" s="17">
        <v>0</v>
      </c>
      <c r="K35" s="9" t="s">
        <v>1343</v>
      </c>
      <c r="L35" s="9" t="s">
        <v>260</v>
      </c>
      <c r="M35" s="9">
        <v>2022</v>
      </c>
      <c r="N35" s="9" t="s">
        <v>369</v>
      </c>
      <c r="O35" s="10" t="s">
        <v>369</v>
      </c>
      <c r="P35" s="9" t="s">
        <v>370</v>
      </c>
      <c r="Q35" s="9" t="s">
        <v>264</v>
      </c>
      <c r="R35" s="9" t="s">
        <v>1344</v>
      </c>
      <c r="S35" s="9" t="s">
        <v>1373</v>
      </c>
    </row>
    <row r="36" spans="2:19" x14ac:dyDescent="0.35">
      <c r="B36" s="18" t="s">
        <v>258</v>
      </c>
      <c r="C36" s="9" t="s">
        <v>259</v>
      </c>
      <c r="D36" s="9" t="s">
        <v>799</v>
      </c>
      <c r="E36" s="9" t="s">
        <v>39</v>
      </c>
      <c r="F36" s="17">
        <v>0.1545</v>
      </c>
      <c r="G36" s="17">
        <v>0.15359999999999999</v>
      </c>
      <c r="H36" s="17">
        <v>2.9999999999999997E-4</v>
      </c>
      <c r="I36" s="17">
        <v>5.9999999999999995E-4</v>
      </c>
      <c r="J36" s="17">
        <v>0</v>
      </c>
      <c r="K36" s="9" t="s">
        <v>1343</v>
      </c>
      <c r="L36" s="9" t="s">
        <v>260</v>
      </c>
      <c r="M36" s="9">
        <v>2023</v>
      </c>
      <c r="N36" s="9" t="s">
        <v>338</v>
      </c>
      <c r="O36" s="10" t="s">
        <v>338</v>
      </c>
      <c r="P36" s="9" t="s">
        <v>339</v>
      </c>
      <c r="Q36" s="9" t="s">
        <v>264</v>
      </c>
      <c r="R36" s="9" t="s">
        <v>1344</v>
      </c>
      <c r="S36" s="9" t="s">
        <v>1374</v>
      </c>
    </row>
    <row r="37" spans="2:19" x14ac:dyDescent="0.35">
      <c r="B37" s="18" t="s">
        <v>258</v>
      </c>
      <c r="C37" s="9" t="s">
        <v>259</v>
      </c>
      <c r="D37" s="9" t="s">
        <v>799</v>
      </c>
      <c r="E37" s="9" t="s">
        <v>39</v>
      </c>
      <c r="F37" s="17">
        <v>0.19109999999999999</v>
      </c>
      <c r="G37" s="17">
        <v>0.19009999999999999</v>
      </c>
      <c r="H37" s="17">
        <v>2.9999999999999997E-4</v>
      </c>
      <c r="I37" s="17">
        <v>6.9999999999999999E-4</v>
      </c>
      <c r="J37" s="17">
        <v>0</v>
      </c>
      <c r="K37" s="9" t="s">
        <v>1343</v>
      </c>
      <c r="L37" s="9" t="s">
        <v>260</v>
      </c>
      <c r="M37" s="9">
        <v>2022</v>
      </c>
      <c r="N37" s="9" t="s">
        <v>338</v>
      </c>
      <c r="O37" s="10" t="s">
        <v>338</v>
      </c>
      <c r="P37" s="9" t="s">
        <v>339</v>
      </c>
      <c r="Q37" s="9" t="s">
        <v>264</v>
      </c>
      <c r="R37" s="9" t="s">
        <v>1344</v>
      </c>
      <c r="S37" s="9" t="s">
        <v>1375</v>
      </c>
    </row>
    <row r="38" spans="2:19" x14ac:dyDescent="0.35">
      <c r="B38" s="18" t="s">
        <v>258</v>
      </c>
      <c r="C38" s="9" t="s">
        <v>259</v>
      </c>
      <c r="D38" s="9" t="s">
        <v>799</v>
      </c>
      <c r="E38" s="9" t="s">
        <v>39</v>
      </c>
      <c r="F38" s="17">
        <v>0.30530000000000002</v>
      </c>
      <c r="G38" s="17">
        <v>0.30430000000000001</v>
      </c>
      <c r="H38" s="17">
        <v>2.0000000000000001E-4</v>
      </c>
      <c r="I38" s="17">
        <v>8.0000000000000004E-4</v>
      </c>
      <c r="J38" s="17">
        <v>0</v>
      </c>
      <c r="K38" s="9" t="s">
        <v>1343</v>
      </c>
      <c r="L38" s="9" t="s">
        <v>260</v>
      </c>
      <c r="M38" s="9">
        <v>2023</v>
      </c>
      <c r="N38" s="9" t="s">
        <v>424</v>
      </c>
      <c r="O38" s="10" t="s">
        <v>424</v>
      </c>
      <c r="P38" s="9" t="s">
        <v>425</v>
      </c>
      <c r="Q38" s="9" t="s">
        <v>264</v>
      </c>
      <c r="R38" s="9" t="s">
        <v>1344</v>
      </c>
      <c r="S38" s="9" t="s">
        <v>1376</v>
      </c>
    </row>
    <row r="39" spans="2:19" x14ac:dyDescent="0.35">
      <c r="B39" s="18" t="s">
        <v>258</v>
      </c>
      <c r="C39" s="9" t="s">
        <v>259</v>
      </c>
      <c r="D39" s="9" t="s">
        <v>799</v>
      </c>
      <c r="E39" s="9" t="s">
        <v>39</v>
      </c>
      <c r="F39" s="17">
        <v>0.32419999999999999</v>
      </c>
      <c r="G39" s="17">
        <v>0.3231</v>
      </c>
      <c r="H39" s="17">
        <v>2.0000000000000001E-4</v>
      </c>
      <c r="I39" s="17">
        <v>8.9999999999999998E-4</v>
      </c>
      <c r="J39" s="17">
        <v>0</v>
      </c>
      <c r="K39" s="9" t="s">
        <v>1343</v>
      </c>
      <c r="L39" s="9" t="s">
        <v>260</v>
      </c>
      <c r="M39" s="9">
        <v>2022</v>
      </c>
      <c r="N39" s="9" t="s">
        <v>424</v>
      </c>
      <c r="O39" s="10" t="s">
        <v>424</v>
      </c>
      <c r="P39" s="9" t="s">
        <v>425</v>
      </c>
      <c r="Q39" s="9" t="s">
        <v>264</v>
      </c>
      <c r="R39" s="9" t="s">
        <v>1344</v>
      </c>
      <c r="S39" s="9" t="s">
        <v>1377</v>
      </c>
    </row>
    <row r="40" spans="2:19" x14ac:dyDescent="0.35">
      <c r="B40" s="18" t="s">
        <v>258</v>
      </c>
      <c r="C40" s="9" t="s">
        <v>259</v>
      </c>
      <c r="D40" s="9" t="s">
        <v>799</v>
      </c>
      <c r="E40" s="9" t="s">
        <v>39</v>
      </c>
      <c r="F40" s="17">
        <v>0.25850000000000001</v>
      </c>
      <c r="G40" s="17">
        <v>0.25750000000000001</v>
      </c>
      <c r="H40" s="17">
        <v>4.0000000000000002E-4</v>
      </c>
      <c r="I40" s="17">
        <v>5.9999999999999995E-4</v>
      </c>
      <c r="J40" s="17">
        <v>0</v>
      </c>
      <c r="K40" s="9" t="s">
        <v>1343</v>
      </c>
      <c r="L40" s="9" t="s">
        <v>260</v>
      </c>
      <c r="M40" s="9">
        <v>2023</v>
      </c>
      <c r="N40" s="9" t="s">
        <v>595</v>
      </c>
      <c r="O40" s="10" t="s">
        <v>596</v>
      </c>
      <c r="P40" s="9" t="s">
        <v>597</v>
      </c>
      <c r="Q40" s="9" t="s">
        <v>264</v>
      </c>
      <c r="R40" s="9" t="s">
        <v>1344</v>
      </c>
      <c r="S40" s="9" t="s">
        <v>1378</v>
      </c>
    </row>
    <row r="41" spans="2:19" x14ac:dyDescent="0.35">
      <c r="B41" s="18" t="s">
        <v>258</v>
      </c>
      <c r="C41" s="9" t="s">
        <v>259</v>
      </c>
      <c r="D41" s="9" t="s">
        <v>799</v>
      </c>
      <c r="E41" s="9" t="s">
        <v>39</v>
      </c>
      <c r="F41" s="17">
        <v>0.27250000000000002</v>
      </c>
      <c r="G41" s="17">
        <v>0.27150000000000002</v>
      </c>
      <c r="H41" s="17">
        <v>4.0000000000000002E-4</v>
      </c>
      <c r="I41" s="17">
        <v>5.9999999999999995E-4</v>
      </c>
      <c r="J41" s="17">
        <v>0</v>
      </c>
      <c r="K41" s="9" t="s">
        <v>1343</v>
      </c>
      <c r="L41" s="9" t="s">
        <v>260</v>
      </c>
      <c r="M41" s="9">
        <v>2024</v>
      </c>
      <c r="N41" s="9" t="s">
        <v>595</v>
      </c>
      <c r="O41" s="10" t="s">
        <v>596</v>
      </c>
      <c r="P41" s="9" t="s">
        <v>597</v>
      </c>
      <c r="Q41" s="9" t="s">
        <v>264</v>
      </c>
      <c r="R41" s="9" t="s">
        <v>1344</v>
      </c>
      <c r="S41" s="9" t="s">
        <v>1379</v>
      </c>
    </row>
    <row r="42" spans="2:19" x14ac:dyDescent="0.35">
      <c r="B42" s="18" t="s">
        <v>258</v>
      </c>
      <c r="C42" s="9" t="s">
        <v>259</v>
      </c>
      <c r="D42" s="9" t="s">
        <v>799</v>
      </c>
      <c r="E42" s="9" t="s">
        <v>39</v>
      </c>
      <c r="F42" s="17">
        <v>0.31180000000000002</v>
      </c>
      <c r="G42" s="17">
        <v>0.31059999999999999</v>
      </c>
      <c r="H42" s="17">
        <v>5.0000000000000001E-4</v>
      </c>
      <c r="I42" s="17">
        <v>6.9999999999999999E-4</v>
      </c>
      <c r="J42" s="17">
        <v>0</v>
      </c>
      <c r="K42" s="9" t="s">
        <v>1343</v>
      </c>
      <c r="L42" s="9" t="s">
        <v>260</v>
      </c>
      <c r="M42" s="9">
        <v>2022</v>
      </c>
      <c r="N42" s="9" t="s">
        <v>595</v>
      </c>
      <c r="O42" s="10" t="s">
        <v>596</v>
      </c>
      <c r="P42" s="9" t="s">
        <v>597</v>
      </c>
      <c r="Q42" s="9" t="s">
        <v>264</v>
      </c>
      <c r="R42" s="9" t="s">
        <v>1344</v>
      </c>
      <c r="S42" s="9" t="s">
        <v>1380</v>
      </c>
    </row>
    <row r="43" spans="2:19" x14ac:dyDescent="0.35">
      <c r="B43" s="18" t="s">
        <v>800</v>
      </c>
      <c r="C43" s="9" t="s">
        <v>801</v>
      </c>
      <c r="D43" s="9" t="s">
        <v>799</v>
      </c>
      <c r="E43" s="9" t="s">
        <v>39</v>
      </c>
      <c r="F43" s="17">
        <v>7.2400000000000006E-2</v>
      </c>
      <c r="G43" s="17"/>
      <c r="H43" s="17"/>
      <c r="I43" s="17"/>
      <c r="J43" s="17">
        <v>7.2400000000000006E-2</v>
      </c>
      <c r="K43" s="9" t="s">
        <v>1343</v>
      </c>
      <c r="L43" s="9" t="s">
        <v>802</v>
      </c>
      <c r="M43" s="9">
        <v>2023</v>
      </c>
      <c r="N43" s="9" t="s">
        <v>595</v>
      </c>
      <c r="O43" s="10" t="s">
        <v>596</v>
      </c>
      <c r="P43" s="9" t="s">
        <v>597</v>
      </c>
      <c r="Q43" s="9" t="s">
        <v>264</v>
      </c>
      <c r="R43" s="9" t="s">
        <v>1344</v>
      </c>
      <c r="S43" s="9" t="s">
        <v>1381</v>
      </c>
    </row>
    <row r="44" spans="2:19" x14ac:dyDescent="0.35">
      <c r="B44" s="18" t="s">
        <v>800</v>
      </c>
      <c r="C44" s="9" t="s">
        <v>801</v>
      </c>
      <c r="D44" s="9" t="s">
        <v>799</v>
      </c>
      <c r="E44" s="9" t="s">
        <v>39</v>
      </c>
      <c r="F44" s="17">
        <v>7.6100000000000001E-2</v>
      </c>
      <c r="G44" s="17"/>
      <c r="H44" s="17"/>
      <c r="I44" s="17"/>
      <c r="J44" s="17">
        <v>7.6100000000000001E-2</v>
      </c>
      <c r="K44" s="9" t="s">
        <v>1343</v>
      </c>
      <c r="L44" s="9" t="s">
        <v>802</v>
      </c>
      <c r="M44" s="9">
        <v>2022</v>
      </c>
      <c r="N44" s="9" t="s">
        <v>595</v>
      </c>
      <c r="O44" s="10" t="s">
        <v>596</v>
      </c>
      <c r="P44" s="9" t="s">
        <v>597</v>
      </c>
      <c r="Q44" s="9" t="s">
        <v>264</v>
      </c>
      <c r="R44" s="9" t="s">
        <v>1344</v>
      </c>
      <c r="S44" s="9" t="s">
        <v>1382</v>
      </c>
    </row>
    <row r="45" spans="2:19" x14ac:dyDescent="0.35">
      <c r="B45" s="18" t="s">
        <v>800</v>
      </c>
      <c r="C45" s="9" t="s">
        <v>803</v>
      </c>
      <c r="D45" s="9" t="s">
        <v>799</v>
      </c>
      <c r="E45" s="9" t="s">
        <v>39</v>
      </c>
      <c r="F45" s="17">
        <v>6.5100000000000005E-2</v>
      </c>
      <c r="G45" s="17"/>
      <c r="H45" s="17"/>
      <c r="I45" s="17"/>
      <c r="J45" s="17">
        <v>6.5100000000000005E-2</v>
      </c>
      <c r="K45" s="9" t="s">
        <v>1343</v>
      </c>
      <c r="L45" s="9" t="s">
        <v>804</v>
      </c>
      <c r="M45" s="9">
        <v>2024</v>
      </c>
      <c r="N45" s="9" t="s">
        <v>595</v>
      </c>
      <c r="O45" s="10" t="s">
        <v>596</v>
      </c>
      <c r="P45" s="9" t="s">
        <v>597</v>
      </c>
      <c r="Q45" s="9" t="s">
        <v>264</v>
      </c>
      <c r="R45" s="9" t="s">
        <v>1344</v>
      </c>
      <c r="S45" s="9" t="s">
        <v>1383</v>
      </c>
    </row>
    <row r="46" spans="2:19" x14ac:dyDescent="0.35">
      <c r="B46" s="18" t="s">
        <v>800</v>
      </c>
      <c r="C46" s="9" t="s">
        <v>803</v>
      </c>
      <c r="D46" s="9" t="s">
        <v>799</v>
      </c>
      <c r="E46" s="9" t="s">
        <v>39</v>
      </c>
      <c r="F46" s="17">
        <v>6.7900000000000002E-2</v>
      </c>
      <c r="G46" s="17"/>
      <c r="H46" s="17"/>
      <c r="I46" s="17"/>
      <c r="J46" s="17">
        <v>6.7900000000000002E-2</v>
      </c>
      <c r="K46" s="9" t="s">
        <v>1343</v>
      </c>
      <c r="L46" s="9" t="s">
        <v>804</v>
      </c>
      <c r="M46" s="9">
        <v>2023</v>
      </c>
      <c r="N46" s="9" t="s">
        <v>595</v>
      </c>
      <c r="O46" s="10" t="s">
        <v>596</v>
      </c>
      <c r="P46" s="9" t="s">
        <v>597</v>
      </c>
      <c r="Q46" s="9" t="s">
        <v>264</v>
      </c>
      <c r="R46" s="9" t="s">
        <v>1344</v>
      </c>
      <c r="S46" s="9" t="s">
        <v>1384</v>
      </c>
    </row>
    <row r="47" spans="2:19" x14ac:dyDescent="0.35">
      <c r="B47" s="18" t="s">
        <v>800</v>
      </c>
      <c r="C47" s="9" t="s">
        <v>803</v>
      </c>
      <c r="D47" s="9" t="s">
        <v>799</v>
      </c>
      <c r="E47" s="9" t="s">
        <v>39</v>
      </c>
      <c r="F47" s="17">
        <v>8.1000000000000003E-2</v>
      </c>
      <c r="G47" s="17"/>
      <c r="H47" s="17"/>
      <c r="I47" s="17"/>
      <c r="J47" s="17">
        <v>8.1000000000000003E-2</v>
      </c>
      <c r="K47" s="9" t="s">
        <v>1343</v>
      </c>
      <c r="L47" s="9" t="s">
        <v>804</v>
      </c>
      <c r="M47" s="9">
        <v>2022</v>
      </c>
      <c r="N47" s="9" t="s">
        <v>595</v>
      </c>
      <c r="O47" s="10" t="s">
        <v>596</v>
      </c>
      <c r="P47" s="9" t="s">
        <v>597</v>
      </c>
      <c r="Q47" s="9" t="s">
        <v>264</v>
      </c>
      <c r="R47" s="9" t="s">
        <v>1344</v>
      </c>
      <c r="S47" s="9" t="s">
        <v>1385</v>
      </c>
    </row>
    <row r="48" spans="2:19" x14ac:dyDescent="0.35">
      <c r="B48" s="18" t="s">
        <v>258</v>
      </c>
      <c r="C48" s="9" t="s">
        <v>259</v>
      </c>
      <c r="D48" s="9" t="s">
        <v>799</v>
      </c>
      <c r="E48" s="9" t="s">
        <v>39</v>
      </c>
      <c r="F48" s="17">
        <v>0.1517</v>
      </c>
      <c r="G48" s="17">
        <v>0.1515</v>
      </c>
      <c r="H48" s="17">
        <v>1E-4</v>
      </c>
      <c r="I48" s="17">
        <v>1E-4</v>
      </c>
      <c r="J48" s="17">
        <v>0</v>
      </c>
      <c r="K48" s="9" t="s">
        <v>1343</v>
      </c>
      <c r="L48" s="9" t="s">
        <v>260</v>
      </c>
      <c r="M48" s="9">
        <v>2024</v>
      </c>
      <c r="N48" s="9" t="s">
        <v>697</v>
      </c>
      <c r="O48" s="10" t="s">
        <v>698</v>
      </c>
      <c r="P48" s="9" t="s">
        <v>699</v>
      </c>
      <c r="Q48" s="9" t="s">
        <v>264</v>
      </c>
      <c r="R48" s="9" t="s">
        <v>1344</v>
      </c>
      <c r="S48" s="9" t="s">
        <v>1386</v>
      </c>
    </row>
    <row r="49" spans="2:19" x14ac:dyDescent="0.35">
      <c r="B49" s="18" t="s">
        <v>258</v>
      </c>
      <c r="C49" s="9" t="s">
        <v>259</v>
      </c>
      <c r="D49" s="9" t="s">
        <v>799</v>
      </c>
      <c r="E49" s="9" t="s">
        <v>39</v>
      </c>
      <c r="F49" s="17">
        <v>0.17069999999999999</v>
      </c>
      <c r="G49" s="17">
        <v>0.17050000000000001</v>
      </c>
      <c r="H49" s="17">
        <v>1E-4</v>
      </c>
      <c r="I49" s="17">
        <v>1E-4</v>
      </c>
      <c r="J49" s="17">
        <v>0</v>
      </c>
      <c r="K49" s="9" t="s">
        <v>1343</v>
      </c>
      <c r="L49" s="9" t="s">
        <v>260</v>
      </c>
      <c r="M49" s="9">
        <v>2023</v>
      </c>
      <c r="N49" s="9" t="s">
        <v>697</v>
      </c>
      <c r="O49" s="10" t="s">
        <v>698</v>
      </c>
      <c r="P49" s="9" t="s">
        <v>699</v>
      </c>
      <c r="Q49" s="9" t="s">
        <v>264</v>
      </c>
      <c r="R49" s="9" t="s">
        <v>1344</v>
      </c>
      <c r="S49" s="9" t="s">
        <v>1387</v>
      </c>
    </row>
    <row r="50" spans="2:19" x14ac:dyDescent="0.35">
      <c r="B50" s="18" t="s">
        <v>258</v>
      </c>
      <c r="C50" s="9" t="s">
        <v>259</v>
      </c>
      <c r="D50" s="9" t="s">
        <v>799</v>
      </c>
      <c r="E50" s="9" t="s">
        <v>39</v>
      </c>
      <c r="F50" s="17">
        <v>0.1817</v>
      </c>
      <c r="G50" s="17">
        <v>0.18149999999999999</v>
      </c>
      <c r="H50" s="17">
        <v>1E-4</v>
      </c>
      <c r="I50" s="17">
        <v>1E-4</v>
      </c>
      <c r="J50" s="17">
        <v>0</v>
      </c>
      <c r="K50" s="9" t="s">
        <v>1343</v>
      </c>
      <c r="L50" s="9" t="s">
        <v>260</v>
      </c>
      <c r="M50" s="9">
        <v>2022</v>
      </c>
      <c r="N50" s="9" t="s">
        <v>697</v>
      </c>
      <c r="O50" s="10" t="s">
        <v>698</v>
      </c>
      <c r="P50" s="9" t="s">
        <v>699</v>
      </c>
      <c r="Q50" s="9" t="s">
        <v>264</v>
      </c>
      <c r="R50" s="9" t="s">
        <v>1344</v>
      </c>
      <c r="S50" s="9" t="s">
        <v>1388</v>
      </c>
    </row>
    <row r="51" spans="2:19" x14ac:dyDescent="0.35">
      <c r="B51" s="18" t="s">
        <v>800</v>
      </c>
      <c r="C51" s="9" t="s">
        <v>801</v>
      </c>
      <c r="D51" s="9" t="s">
        <v>799</v>
      </c>
      <c r="E51" s="9" t="s">
        <v>39</v>
      </c>
      <c r="F51" s="17">
        <v>1.55E-2</v>
      </c>
      <c r="G51" s="17"/>
      <c r="H51" s="17"/>
      <c r="I51" s="17"/>
      <c r="J51" s="17">
        <v>1.55E-2</v>
      </c>
      <c r="K51" s="9" t="s">
        <v>1343</v>
      </c>
      <c r="L51" s="9" t="s">
        <v>802</v>
      </c>
      <c r="M51" s="9">
        <v>2023</v>
      </c>
      <c r="N51" s="9" t="s">
        <v>697</v>
      </c>
      <c r="O51" s="10" t="s">
        <v>698</v>
      </c>
      <c r="P51" s="9" t="s">
        <v>699</v>
      </c>
      <c r="Q51" s="9" t="s">
        <v>264</v>
      </c>
      <c r="R51" s="9" t="s">
        <v>1344</v>
      </c>
      <c r="S51" s="9" t="s">
        <v>1389</v>
      </c>
    </row>
    <row r="52" spans="2:19" x14ac:dyDescent="0.35">
      <c r="B52" s="18" t="s">
        <v>800</v>
      </c>
      <c r="C52" s="9" t="s">
        <v>801</v>
      </c>
      <c r="D52" s="9" t="s">
        <v>799</v>
      </c>
      <c r="E52" s="9" t="s">
        <v>39</v>
      </c>
      <c r="F52" s="17">
        <v>1.61E-2</v>
      </c>
      <c r="G52" s="17"/>
      <c r="H52" s="17"/>
      <c r="I52" s="17"/>
      <c r="J52" s="17">
        <v>1.61E-2</v>
      </c>
      <c r="K52" s="9" t="s">
        <v>1343</v>
      </c>
      <c r="L52" s="9" t="s">
        <v>802</v>
      </c>
      <c r="M52" s="9">
        <v>2022</v>
      </c>
      <c r="N52" s="9" t="s">
        <v>697</v>
      </c>
      <c r="O52" s="10" t="s">
        <v>698</v>
      </c>
      <c r="P52" s="9" t="s">
        <v>699</v>
      </c>
      <c r="Q52" s="9" t="s">
        <v>264</v>
      </c>
      <c r="R52" s="9" t="s">
        <v>1344</v>
      </c>
      <c r="S52" s="9" t="s">
        <v>1390</v>
      </c>
    </row>
    <row r="53" spans="2:19" x14ac:dyDescent="0.35">
      <c r="B53" s="18" t="s">
        <v>800</v>
      </c>
      <c r="C53" s="9" t="s">
        <v>803</v>
      </c>
      <c r="D53" s="9" t="s">
        <v>799</v>
      </c>
      <c r="E53" s="9" t="s">
        <v>39</v>
      </c>
      <c r="F53" s="17">
        <v>4.9700000000000001E-2</v>
      </c>
      <c r="G53" s="17"/>
      <c r="H53" s="17"/>
      <c r="I53" s="17"/>
      <c r="J53" s="17">
        <v>4.9700000000000001E-2</v>
      </c>
      <c r="K53" s="9" t="s">
        <v>1343</v>
      </c>
      <c r="L53" s="9" t="s">
        <v>804</v>
      </c>
      <c r="M53" s="9">
        <v>2024</v>
      </c>
      <c r="N53" s="9" t="s">
        <v>697</v>
      </c>
      <c r="O53" s="10" t="s">
        <v>698</v>
      </c>
      <c r="P53" s="9" t="s">
        <v>699</v>
      </c>
      <c r="Q53" s="9" t="s">
        <v>264</v>
      </c>
      <c r="R53" s="9" t="s">
        <v>1344</v>
      </c>
      <c r="S53" s="9" t="s">
        <v>1391</v>
      </c>
    </row>
    <row r="54" spans="2:19" x14ac:dyDescent="0.35">
      <c r="B54" s="18" t="s">
        <v>800</v>
      </c>
      <c r="C54" s="9" t="s">
        <v>803</v>
      </c>
      <c r="D54" s="9" t="s">
        <v>799</v>
      </c>
      <c r="E54" s="9" t="s">
        <v>39</v>
      </c>
      <c r="F54" s="17">
        <v>5.2900000000000003E-2</v>
      </c>
      <c r="G54" s="17"/>
      <c r="H54" s="17"/>
      <c r="I54" s="17"/>
      <c r="J54" s="17">
        <v>5.2900000000000003E-2</v>
      </c>
      <c r="K54" s="9" t="s">
        <v>1343</v>
      </c>
      <c r="L54" s="9" t="s">
        <v>804</v>
      </c>
      <c r="M54" s="9">
        <v>2023</v>
      </c>
      <c r="N54" s="9" t="s">
        <v>697</v>
      </c>
      <c r="O54" s="10" t="s">
        <v>698</v>
      </c>
      <c r="P54" s="9" t="s">
        <v>699</v>
      </c>
      <c r="Q54" s="9" t="s">
        <v>264</v>
      </c>
      <c r="R54" s="9" t="s">
        <v>1344</v>
      </c>
      <c r="S54" s="9" t="s">
        <v>1392</v>
      </c>
    </row>
    <row r="55" spans="2:19" x14ac:dyDescent="0.35">
      <c r="B55" s="18" t="s">
        <v>800</v>
      </c>
      <c r="C55" s="9" t="s">
        <v>803</v>
      </c>
      <c r="D55" s="9" t="s">
        <v>799</v>
      </c>
      <c r="E55" s="9" t="s">
        <v>39</v>
      </c>
      <c r="F55" s="17">
        <v>5.4899999999999997E-2</v>
      </c>
      <c r="G55" s="17"/>
      <c r="H55" s="17"/>
      <c r="I55" s="17"/>
      <c r="J55" s="17">
        <v>5.4899999999999997E-2</v>
      </c>
      <c r="K55" s="9" t="s">
        <v>1343</v>
      </c>
      <c r="L55" s="9" t="s">
        <v>804</v>
      </c>
      <c r="M55" s="9">
        <v>2022</v>
      </c>
      <c r="N55" s="9" t="s">
        <v>697</v>
      </c>
      <c r="O55" s="10" t="s">
        <v>698</v>
      </c>
      <c r="P55" s="9" t="s">
        <v>699</v>
      </c>
      <c r="Q55" s="9" t="s">
        <v>264</v>
      </c>
      <c r="R55" s="9" t="s">
        <v>1344</v>
      </c>
      <c r="S55" s="9" t="s">
        <v>1393</v>
      </c>
    </row>
    <row r="56" spans="2:19" x14ac:dyDescent="0.35">
      <c r="B56" s="18" t="s">
        <v>258</v>
      </c>
      <c r="C56" s="9" t="s">
        <v>259</v>
      </c>
      <c r="D56" s="9" t="s">
        <v>799</v>
      </c>
      <c r="E56" s="9" t="s">
        <v>39</v>
      </c>
      <c r="F56" s="17">
        <v>0.59199999999999997</v>
      </c>
      <c r="G56" s="17">
        <v>0.58909999999999996</v>
      </c>
      <c r="H56" s="17">
        <v>4.0000000000000002E-4</v>
      </c>
      <c r="I56" s="17">
        <v>2.5000000000000001E-3</v>
      </c>
      <c r="J56" s="17">
        <v>0</v>
      </c>
      <c r="K56" s="9" t="s">
        <v>1343</v>
      </c>
      <c r="L56" s="9" t="s">
        <v>260</v>
      </c>
      <c r="M56" s="9">
        <v>2022</v>
      </c>
      <c r="N56" s="9" t="s">
        <v>533</v>
      </c>
      <c r="O56" s="10" t="s">
        <v>533</v>
      </c>
      <c r="P56" s="9" t="s">
        <v>534</v>
      </c>
      <c r="Q56" s="9" t="s">
        <v>264</v>
      </c>
      <c r="R56" s="9" t="s">
        <v>1344</v>
      </c>
      <c r="S56" s="9" t="s">
        <v>1394</v>
      </c>
    </row>
    <row r="57" spans="2:19" x14ac:dyDescent="0.35">
      <c r="B57" s="18" t="s">
        <v>258</v>
      </c>
      <c r="C57" s="9" t="s">
        <v>259</v>
      </c>
      <c r="D57" s="9" t="s">
        <v>799</v>
      </c>
      <c r="E57" s="9" t="s">
        <v>39</v>
      </c>
      <c r="F57" s="17">
        <v>0.59299999999999997</v>
      </c>
      <c r="G57" s="17">
        <v>0.59009999999999996</v>
      </c>
      <c r="H57" s="17">
        <v>4.0000000000000002E-4</v>
      </c>
      <c r="I57" s="17">
        <v>2.5000000000000001E-3</v>
      </c>
      <c r="J57" s="17">
        <v>0</v>
      </c>
      <c r="K57" s="9" t="s">
        <v>1343</v>
      </c>
      <c r="L57" s="9" t="s">
        <v>260</v>
      </c>
      <c r="M57" s="9">
        <v>2023</v>
      </c>
      <c r="N57" s="9" t="s">
        <v>533</v>
      </c>
      <c r="O57" s="10" t="s">
        <v>533</v>
      </c>
      <c r="P57" s="9" t="s">
        <v>534</v>
      </c>
      <c r="Q57" s="9" t="s">
        <v>264</v>
      </c>
      <c r="R57" s="9" t="s">
        <v>1344</v>
      </c>
      <c r="S57" s="9" t="s">
        <v>1395</v>
      </c>
    </row>
    <row r="58" spans="2:19" x14ac:dyDescent="0.35">
      <c r="B58" s="18" t="s">
        <v>258</v>
      </c>
      <c r="C58" s="9" t="s">
        <v>259</v>
      </c>
      <c r="D58" s="9" t="s">
        <v>799</v>
      </c>
      <c r="E58" s="9" t="s">
        <v>39</v>
      </c>
      <c r="F58" s="17">
        <v>0.61150000000000004</v>
      </c>
      <c r="G58" s="17">
        <v>0.6079</v>
      </c>
      <c r="H58" s="17">
        <v>8.0000000000000004E-4</v>
      </c>
      <c r="I58" s="17">
        <v>2.8E-3</v>
      </c>
      <c r="J58" s="17">
        <v>0</v>
      </c>
      <c r="K58" s="9" t="s">
        <v>1343</v>
      </c>
      <c r="L58" s="9" t="s">
        <v>260</v>
      </c>
      <c r="M58" s="9">
        <v>2023</v>
      </c>
      <c r="N58" s="9" t="s">
        <v>572</v>
      </c>
      <c r="O58" s="10" t="s">
        <v>572</v>
      </c>
      <c r="P58" s="9" t="s">
        <v>573</v>
      </c>
      <c r="Q58" s="9" t="s">
        <v>264</v>
      </c>
      <c r="R58" s="9" t="s">
        <v>1344</v>
      </c>
      <c r="S58" s="9" t="s">
        <v>1396</v>
      </c>
    </row>
    <row r="59" spans="2:19" x14ac:dyDescent="0.35">
      <c r="B59" s="18" t="s">
        <v>258</v>
      </c>
      <c r="C59" s="9" t="s">
        <v>259</v>
      </c>
      <c r="D59" s="9" t="s">
        <v>799</v>
      </c>
      <c r="E59" s="9" t="s">
        <v>39</v>
      </c>
      <c r="F59" s="17">
        <v>0.6149</v>
      </c>
      <c r="G59" s="17">
        <v>0.61140000000000005</v>
      </c>
      <c r="H59" s="17">
        <v>8.0000000000000004E-4</v>
      </c>
      <c r="I59" s="17">
        <v>2.7000000000000001E-3</v>
      </c>
      <c r="J59" s="17">
        <v>0</v>
      </c>
      <c r="K59" s="9" t="s">
        <v>1343</v>
      </c>
      <c r="L59" s="9" t="s">
        <v>260</v>
      </c>
      <c r="M59" s="9">
        <v>2022</v>
      </c>
      <c r="N59" s="9" t="s">
        <v>572</v>
      </c>
      <c r="O59" s="10" t="s">
        <v>572</v>
      </c>
      <c r="P59" s="9" t="s">
        <v>573</v>
      </c>
      <c r="Q59" s="9" t="s">
        <v>264</v>
      </c>
      <c r="R59" s="9" t="s">
        <v>1344</v>
      </c>
      <c r="S59" s="9" t="s">
        <v>1397</v>
      </c>
    </row>
    <row r="60" spans="2:19" x14ac:dyDescent="0.35">
      <c r="B60" s="18" t="s">
        <v>258</v>
      </c>
      <c r="C60" s="9" t="s">
        <v>259</v>
      </c>
      <c r="D60" s="9" t="s">
        <v>799</v>
      </c>
      <c r="E60" s="9" t="s">
        <v>39</v>
      </c>
      <c r="F60" s="17">
        <v>0.5776</v>
      </c>
      <c r="G60" s="17">
        <v>0.57540000000000002</v>
      </c>
      <c r="H60" s="17">
        <v>2.0000000000000001E-4</v>
      </c>
      <c r="I60" s="17">
        <v>2E-3</v>
      </c>
      <c r="J60" s="17">
        <v>0</v>
      </c>
      <c r="K60" s="9" t="s">
        <v>1343</v>
      </c>
      <c r="L60" s="9" t="s">
        <v>260</v>
      </c>
      <c r="M60" s="9">
        <v>2024</v>
      </c>
      <c r="N60" s="9" t="s">
        <v>435</v>
      </c>
      <c r="O60" s="10" t="s">
        <v>436</v>
      </c>
      <c r="P60" s="9" t="s">
        <v>437</v>
      </c>
      <c r="Q60" s="9" t="s">
        <v>264</v>
      </c>
      <c r="R60" s="9" t="s">
        <v>1344</v>
      </c>
      <c r="S60" s="9" t="s">
        <v>1398</v>
      </c>
    </row>
    <row r="61" spans="2:19" x14ac:dyDescent="0.35">
      <c r="B61" s="18" t="s">
        <v>258</v>
      </c>
      <c r="C61" s="9" t="s">
        <v>259</v>
      </c>
      <c r="D61" s="9" t="s">
        <v>799</v>
      </c>
      <c r="E61" s="9" t="s">
        <v>39</v>
      </c>
      <c r="F61" s="17">
        <v>0.58560000000000001</v>
      </c>
      <c r="G61" s="17">
        <v>0.58340000000000003</v>
      </c>
      <c r="H61" s="17">
        <v>2.0000000000000001E-4</v>
      </c>
      <c r="I61" s="17">
        <v>2E-3</v>
      </c>
      <c r="J61" s="17">
        <v>0</v>
      </c>
      <c r="K61" s="9" t="s">
        <v>1343</v>
      </c>
      <c r="L61" s="9" t="s">
        <v>260</v>
      </c>
      <c r="M61" s="9">
        <v>2023</v>
      </c>
      <c r="N61" s="9" t="s">
        <v>435</v>
      </c>
      <c r="O61" s="10" t="s">
        <v>436</v>
      </c>
      <c r="P61" s="9" t="s">
        <v>437</v>
      </c>
      <c r="Q61" s="9" t="s">
        <v>264</v>
      </c>
      <c r="R61" s="9" t="s">
        <v>1344</v>
      </c>
      <c r="S61" s="9" t="s">
        <v>1399</v>
      </c>
    </row>
    <row r="62" spans="2:19" x14ac:dyDescent="0.35">
      <c r="B62" s="18" t="s">
        <v>258</v>
      </c>
      <c r="C62" s="9" t="s">
        <v>259</v>
      </c>
      <c r="D62" s="9" t="s">
        <v>799</v>
      </c>
      <c r="E62" s="9" t="s">
        <v>39</v>
      </c>
      <c r="F62" s="17">
        <v>0.60960000000000003</v>
      </c>
      <c r="G62" s="17">
        <v>0.60729999999999995</v>
      </c>
      <c r="H62" s="17">
        <v>2.0000000000000001E-4</v>
      </c>
      <c r="I62" s="17">
        <v>2.0999999999999999E-3</v>
      </c>
      <c r="J62" s="17">
        <v>0</v>
      </c>
      <c r="K62" s="9" t="s">
        <v>1343</v>
      </c>
      <c r="L62" s="9" t="s">
        <v>260</v>
      </c>
      <c r="M62" s="9">
        <v>2022</v>
      </c>
      <c r="N62" s="9" t="s">
        <v>435</v>
      </c>
      <c r="O62" s="10" t="s">
        <v>436</v>
      </c>
      <c r="P62" s="9" t="s">
        <v>437</v>
      </c>
      <c r="Q62" s="9" t="s">
        <v>264</v>
      </c>
      <c r="R62" s="9" t="s">
        <v>1344</v>
      </c>
      <c r="S62" s="9" t="s">
        <v>1400</v>
      </c>
    </row>
    <row r="63" spans="2:19" x14ac:dyDescent="0.35">
      <c r="B63" s="18" t="s">
        <v>800</v>
      </c>
      <c r="C63" s="9" t="s">
        <v>801</v>
      </c>
      <c r="D63" s="9" t="s">
        <v>799</v>
      </c>
      <c r="E63" s="9" t="s">
        <v>39</v>
      </c>
      <c r="F63" s="17">
        <v>3.3599999999999998E-2</v>
      </c>
      <c r="G63" s="17"/>
      <c r="H63" s="17"/>
      <c r="I63" s="17"/>
      <c r="J63" s="17">
        <v>3.3599999999999998E-2</v>
      </c>
      <c r="K63" s="9" t="s">
        <v>1343</v>
      </c>
      <c r="L63" s="9" t="s">
        <v>802</v>
      </c>
      <c r="M63" s="9">
        <v>2023</v>
      </c>
      <c r="N63" s="9" t="s">
        <v>435</v>
      </c>
      <c r="O63" s="10" t="s">
        <v>436</v>
      </c>
      <c r="P63" s="9" t="s">
        <v>437</v>
      </c>
      <c r="Q63" s="9" t="s">
        <v>264</v>
      </c>
      <c r="R63" s="9" t="s">
        <v>1344</v>
      </c>
      <c r="S63" s="9" t="s">
        <v>1401</v>
      </c>
    </row>
    <row r="64" spans="2:19" x14ac:dyDescent="0.35">
      <c r="B64" s="18" t="s">
        <v>800</v>
      </c>
      <c r="C64" s="9" t="s">
        <v>801</v>
      </c>
      <c r="D64" s="9" t="s">
        <v>799</v>
      </c>
      <c r="E64" s="9" t="s">
        <v>39</v>
      </c>
      <c r="F64" s="17">
        <v>3.7199999999999997E-2</v>
      </c>
      <c r="G64" s="17"/>
      <c r="H64" s="17"/>
      <c r="I64" s="17"/>
      <c r="J64" s="17">
        <v>3.7199999999999997E-2</v>
      </c>
      <c r="K64" s="9" t="s">
        <v>1343</v>
      </c>
      <c r="L64" s="9" t="s">
        <v>802</v>
      </c>
      <c r="M64" s="9">
        <v>2022</v>
      </c>
      <c r="N64" s="9" t="s">
        <v>435</v>
      </c>
      <c r="O64" s="10" t="s">
        <v>436</v>
      </c>
      <c r="P64" s="9" t="s">
        <v>437</v>
      </c>
      <c r="Q64" s="9" t="s">
        <v>264</v>
      </c>
      <c r="R64" s="9" t="s">
        <v>1344</v>
      </c>
      <c r="S64" s="9" t="s">
        <v>1402</v>
      </c>
    </row>
    <row r="65" spans="2:19" x14ac:dyDescent="0.35">
      <c r="B65" s="18" t="s">
        <v>800</v>
      </c>
      <c r="C65" s="9" t="s">
        <v>803</v>
      </c>
      <c r="D65" s="9" t="s">
        <v>799</v>
      </c>
      <c r="E65" s="9" t="s">
        <v>39</v>
      </c>
      <c r="F65" s="17">
        <v>0.1041</v>
      </c>
      <c r="G65" s="17"/>
      <c r="H65" s="17"/>
      <c r="I65" s="17"/>
      <c r="J65" s="17">
        <v>0.1041</v>
      </c>
      <c r="K65" s="9" t="s">
        <v>1343</v>
      </c>
      <c r="L65" s="9" t="s">
        <v>804</v>
      </c>
      <c r="M65" s="9">
        <v>2024</v>
      </c>
      <c r="N65" s="9" t="s">
        <v>435</v>
      </c>
      <c r="O65" s="10" t="s">
        <v>436</v>
      </c>
      <c r="P65" s="9" t="s">
        <v>437</v>
      </c>
      <c r="Q65" s="9" t="s">
        <v>264</v>
      </c>
      <c r="R65" s="9" t="s">
        <v>1344</v>
      </c>
      <c r="S65" s="9" t="s">
        <v>1403</v>
      </c>
    </row>
    <row r="66" spans="2:19" x14ac:dyDescent="0.35">
      <c r="B66" s="18" t="s">
        <v>800</v>
      </c>
      <c r="C66" s="9" t="s">
        <v>803</v>
      </c>
      <c r="D66" s="9" t="s">
        <v>799</v>
      </c>
      <c r="E66" s="9" t="s">
        <v>39</v>
      </c>
      <c r="F66" s="17">
        <v>0.1043</v>
      </c>
      <c r="G66" s="17"/>
      <c r="H66" s="17"/>
      <c r="I66" s="17"/>
      <c r="J66" s="17">
        <v>0.1043</v>
      </c>
      <c r="K66" s="9" t="s">
        <v>1343</v>
      </c>
      <c r="L66" s="9" t="s">
        <v>804</v>
      </c>
      <c r="M66" s="9">
        <v>2023</v>
      </c>
      <c r="N66" s="9" t="s">
        <v>435</v>
      </c>
      <c r="O66" s="10" t="s">
        <v>436</v>
      </c>
      <c r="P66" s="9" t="s">
        <v>437</v>
      </c>
      <c r="Q66" s="9" t="s">
        <v>264</v>
      </c>
      <c r="R66" s="9" t="s">
        <v>1344</v>
      </c>
      <c r="S66" s="9" t="s">
        <v>1404</v>
      </c>
    </row>
    <row r="67" spans="2:19" x14ac:dyDescent="0.35">
      <c r="B67" s="18" t="s">
        <v>800</v>
      </c>
      <c r="C67" s="9" t="s">
        <v>803</v>
      </c>
      <c r="D67" s="9" t="s">
        <v>799</v>
      </c>
      <c r="E67" s="9" t="s">
        <v>39</v>
      </c>
      <c r="F67" s="17">
        <v>0.10879999999999999</v>
      </c>
      <c r="G67" s="17"/>
      <c r="H67" s="17"/>
      <c r="I67" s="17"/>
      <c r="J67" s="17">
        <v>0.10879999999999999</v>
      </c>
      <c r="K67" s="9" t="s">
        <v>1343</v>
      </c>
      <c r="L67" s="9" t="s">
        <v>804</v>
      </c>
      <c r="M67" s="9">
        <v>2022</v>
      </c>
      <c r="N67" s="9" t="s">
        <v>435</v>
      </c>
      <c r="O67" s="10" t="s">
        <v>436</v>
      </c>
      <c r="P67" s="9" t="s">
        <v>437</v>
      </c>
      <c r="Q67" s="9" t="s">
        <v>264</v>
      </c>
      <c r="R67" s="9" t="s">
        <v>1344</v>
      </c>
      <c r="S67" s="9" t="s">
        <v>1405</v>
      </c>
    </row>
    <row r="68" spans="2:19" x14ac:dyDescent="0.35">
      <c r="B68" s="18" t="s">
        <v>258</v>
      </c>
      <c r="C68" s="9" t="s">
        <v>259</v>
      </c>
      <c r="D68" s="9" t="s">
        <v>799</v>
      </c>
      <c r="E68" s="9" t="s">
        <v>39</v>
      </c>
      <c r="F68" s="17">
        <v>9.2899999999999996E-2</v>
      </c>
      <c r="G68" s="17">
        <v>9.2299999999999993E-2</v>
      </c>
      <c r="H68" s="17">
        <v>2.9999999999999997E-4</v>
      </c>
      <c r="I68" s="17">
        <v>2.9999999999999997E-4</v>
      </c>
      <c r="J68" s="17">
        <v>0</v>
      </c>
      <c r="K68" s="9" t="s">
        <v>1343</v>
      </c>
      <c r="L68" s="9" t="s">
        <v>260</v>
      </c>
      <c r="M68" s="9">
        <v>2024</v>
      </c>
      <c r="N68" s="9" t="s">
        <v>322</v>
      </c>
      <c r="O68" s="10" t="s">
        <v>323</v>
      </c>
      <c r="P68" s="9" t="s">
        <v>324</v>
      </c>
      <c r="Q68" s="9" t="s">
        <v>264</v>
      </c>
      <c r="R68" s="9" t="s">
        <v>1344</v>
      </c>
      <c r="S68" s="9" t="s">
        <v>1406</v>
      </c>
    </row>
    <row r="69" spans="2:19" x14ac:dyDescent="0.35">
      <c r="B69" s="18" t="s">
        <v>258</v>
      </c>
      <c r="C69" s="9" t="s">
        <v>259</v>
      </c>
      <c r="D69" s="9" t="s">
        <v>799</v>
      </c>
      <c r="E69" s="9" t="s">
        <v>39</v>
      </c>
      <c r="F69" s="17">
        <v>0.10050000000000001</v>
      </c>
      <c r="G69" s="17">
        <v>9.9900000000000003E-2</v>
      </c>
      <c r="H69" s="17">
        <v>2.9999999999999997E-4</v>
      </c>
      <c r="I69" s="17">
        <v>2.9999999999999997E-4</v>
      </c>
      <c r="J69" s="17">
        <v>0</v>
      </c>
      <c r="K69" s="9" t="s">
        <v>1343</v>
      </c>
      <c r="L69" s="9" t="s">
        <v>260</v>
      </c>
      <c r="M69" s="9">
        <v>2023</v>
      </c>
      <c r="N69" s="9" t="s">
        <v>322</v>
      </c>
      <c r="O69" s="10" t="s">
        <v>323</v>
      </c>
      <c r="P69" s="9" t="s">
        <v>324</v>
      </c>
      <c r="Q69" s="9" t="s">
        <v>264</v>
      </c>
      <c r="R69" s="9" t="s">
        <v>1344</v>
      </c>
      <c r="S69" s="9" t="s">
        <v>1407</v>
      </c>
    </row>
    <row r="70" spans="2:19" x14ac:dyDescent="0.35">
      <c r="B70" s="18" t="s">
        <v>258</v>
      </c>
      <c r="C70" s="9" t="s">
        <v>259</v>
      </c>
      <c r="D70" s="9" t="s">
        <v>799</v>
      </c>
      <c r="E70" s="9" t="s">
        <v>39</v>
      </c>
      <c r="F70" s="17">
        <v>0.12379999999999999</v>
      </c>
      <c r="G70" s="17">
        <v>0.1231</v>
      </c>
      <c r="H70" s="17">
        <v>2.9999999999999997E-4</v>
      </c>
      <c r="I70" s="17">
        <v>4.0000000000000002E-4</v>
      </c>
      <c r="J70" s="17">
        <v>0</v>
      </c>
      <c r="K70" s="9" t="s">
        <v>1343</v>
      </c>
      <c r="L70" s="9" t="s">
        <v>260</v>
      </c>
      <c r="M70" s="9">
        <v>2022</v>
      </c>
      <c r="N70" s="9" t="s">
        <v>322</v>
      </c>
      <c r="O70" s="10" t="s">
        <v>323</v>
      </c>
      <c r="P70" s="9" t="s">
        <v>324</v>
      </c>
      <c r="Q70" s="9" t="s">
        <v>264</v>
      </c>
      <c r="R70" s="9" t="s">
        <v>1344</v>
      </c>
      <c r="S70" s="9" t="s">
        <v>1408</v>
      </c>
    </row>
    <row r="71" spans="2:19" x14ac:dyDescent="0.35">
      <c r="B71" s="18" t="s">
        <v>800</v>
      </c>
      <c r="C71" s="9" t="s">
        <v>801</v>
      </c>
      <c r="D71" s="9" t="s">
        <v>799</v>
      </c>
      <c r="E71" s="9" t="s">
        <v>39</v>
      </c>
      <c r="F71" s="17">
        <v>4.1999999999999997E-3</v>
      </c>
      <c r="G71" s="17"/>
      <c r="H71" s="17"/>
      <c r="I71" s="17"/>
      <c r="J71" s="17">
        <v>4.1999999999999997E-3</v>
      </c>
      <c r="K71" s="9" t="s">
        <v>1343</v>
      </c>
      <c r="L71" s="9" t="s">
        <v>802</v>
      </c>
      <c r="M71" s="9">
        <v>2023</v>
      </c>
      <c r="N71" s="9" t="s">
        <v>322</v>
      </c>
      <c r="O71" s="10" t="s">
        <v>323</v>
      </c>
      <c r="P71" s="9" t="s">
        <v>324</v>
      </c>
      <c r="Q71" s="9" t="s">
        <v>264</v>
      </c>
      <c r="R71" s="9" t="s">
        <v>1344</v>
      </c>
      <c r="S71" s="9" t="s">
        <v>1409</v>
      </c>
    </row>
    <row r="72" spans="2:19" x14ac:dyDescent="0.35">
      <c r="B72" s="18" t="s">
        <v>800</v>
      </c>
      <c r="C72" s="9" t="s">
        <v>801</v>
      </c>
      <c r="D72" s="9" t="s">
        <v>799</v>
      </c>
      <c r="E72" s="9" t="s">
        <v>39</v>
      </c>
      <c r="F72" s="17">
        <v>5.3E-3</v>
      </c>
      <c r="G72" s="17"/>
      <c r="H72" s="17"/>
      <c r="I72" s="17"/>
      <c r="J72" s="17">
        <v>5.3E-3</v>
      </c>
      <c r="K72" s="9" t="s">
        <v>1343</v>
      </c>
      <c r="L72" s="9" t="s">
        <v>802</v>
      </c>
      <c r="M72" s="9">
        <v>2022</v>
      </c>
      <c r="N72" s="9" t="s">
        <v>322</v>
      </c>
      <c r="O72" s="10" t="s">
        <v>323</v>
      </c>
      <c r="P72" s="9" t="s">
        <v>324</v>
      </c>
      <c r="Q72" s="9" t="s">
        <v>264</v>
      </c>
      <c r="R72" s="9" t="s">
        <v>1344</v>
      </c>
      <c r="S72" s="9" t="s">
        <v>1410</v>
      </c>
    </row>
    <row r="73" spans="2:19" x14ac:dyDescent="0.35">
      <c r="B73" s="18" t="s">
        <v>800</v>
      </c>
      <c r="C73" s="9" t="s">
        <v>803</v>
      </c>
      <c r="D73" s="9" t="s">
        <v>799</v>
      </c>
      <c r="E73" s="9" t="s">
        <v>39</v>
      </c>
      <c r="F73" s="17">
        <v>2.1100000000000001E-2</v>
      </c>
      <c r="G73" s="17"/>
      <c r="H73" s="17"/>
      <c r="I73" s="17"/>
      <c r="J73" s="17">
        <v>2.1100000000000001E-2</v>
      </c>
      <c r="K73" s="9" t="s">
        <v>1343</v>
      </c>
      <c r="L73" s="9" t="s">
        <v>804</v>
      </c>
      <c r="M73" s="9">
        <v>2024</v>
      </c>
      <c r="N73" s="9" t="s">
        <v>322</v>
      </c>
      <c r="O73" s="10" t="s">
        <v>323</v>
      </c>
      <c r="P73" s="9" t="s">
        <v>324</v>
      </c>
      <c r="Q73" s="9" t="s">
        <v>264</v>
      </c>
      <c r="R73" s="9" t="s">
        <v>1344</v>
      </c>
      <c r="S73" s="9" t="s">
        <v>1411</v>
      </c>
    </row>
    <row r="74" spans="2:19" x14ac:dyDescent="0.35">
      <c r="B74" s="18" t="s">
        <v>800</v>
      </c>
      <c r="C74" s="9" t="s">
        <v>803</v>
      </c>
      <c r="D74" s="9" t="s">
        <v>799</v>
      </c>
      <c r="E74" s="9" t="s">
        <v>39</v>
      </c>
      <c r="F74" s="17">
        <v>2.2200000000000001E-2</v>
      </c>
      <c r="G74" s="17"/>
      <c r="H74" s="17"/>
      <c r="I74" s="17"/>
      <c r="J74" s="17">
        <v>2.2200000000000001E-2</v>
      </c>
      <c r="K74" s="9" t="s">
        <v>1343</v>
      </c>
      <c r="L74" s="9" t="s">
        <v>804</v>
      </c>
      <c r="M74" s="9">
        <v>2023</v>
      </c>
      <c r="N74" s="9" t="s">
        <v>322</v>
      </c>
      <c r="O74" s="10" t="s">
        <v>323</v>
      </c>
      <c r="P74" s="9" t="s">
        <v>324</v>
      </c>
      <c r="Q74" s="9" t="s">
        <v>264</v>
      </c>
      <c r="R74" s="9" t="s">
        <v>1344</v>
      </c>
      <c r="S74" s="9" t="s">
        <v>1412</v>
      </c>
    </row>
    <row r="75" spans="2:19" x14ac:dyDescent="0.35">
      <c r="B75" s="18" t="s">
        <v>800</v>
      </c>
      <c r="C75" s="9" t="s">
        <v>803</v>
      </c>
      <c r="D75" s="9" t="s">
        <v>799</v>
      </c>
      <c r="E75" s="9" t="s">
        <v>39</v>
      </c>
      <c r="F75" s="17">
        <v>2.5399999999999999E-2</v>
      </c>
      <c r="G75" s="17"/>
      <c r="H75" s="17"/>
      <c r="I75" s="17"/>
      <c r="J75" s="17">
        <v>2.5399999999999999E-2</v>
      </c>
      <c r="K75" s="9" t="s">
        <v>1343</v>
      </c>
      <c r="L75" s="9" t="s">
        <v>804</v>
      </c>
      <c r="M75" s="9">
        <v>2022</v>
      </c>
      <c r="N75" s="9" t="s">
        <v>322</v>
      </c>
      <c r="O75" s="10" t="s">
        <v>323</v>
      </c>
      <c r="P75" s="9" t="s">
        <v>324</v>
      </c>
      <c r="Q75" s="9" t="s">
        <v>264</v>
      </c>
      <c r="R75" s="9" t="s">
        <v>1344</v>
      </c>
      <c r="S75" s="9" t="s">
        <v>1413</v>
      </c>
    </row>
    <row r="76" spans="2:19" x14ac:dyDescent="0.35">
      <c r="B76" s="18" t="s">
        <v>258</v>
      </c>
      <c r="C76" s="9" t="s">
        <v>259</v>
      </c>
      <c r="D76" s="9" t="s">
        <v>799</v>
      </c>
      <c r="E76" s="9" t="s">
        <v>39</v>
      </c>
      <c r="F76" s="17">
        <v>0.39119999999999999</v>
      </c>
      <c r="G76" s="17">
        <v>0.3906</v>
      </c>
      <c r="H76" s="17">
        <v>2.9999999999999997E-4</v>
      </c>
      <c r="I76" s="17">
        <v>2.9999999999999997E-4</v>
      </c>
      <c r="J76" s="17">
        <v>0</v>
      </c>
      <c r="K76" s="9" t="s">
        <v>1343</v>
      </c>
      <c r="L76" s="9" t="s">
        <v>260</v>
      </c>
      <c r="M76" s="9">
        <v>2024</v>
      </c>
      <c r="N76" s="9" t="s">
        <v>505</v>
      </c>
      <c r="O76" s="10" t="s">
        <v>506</v>
      </c>
      <c r="P76" s="9" t="s">
        <v>507</v>
      </c>
      <c r="Q76" s="9" t="s">
        <v>264</v>
      </c>
      <c r="R76" s="9" t="s">
        <v>1344</v>
      </c>
      <c r="S76" s="9" t="s">
        <v>1414</v>
      </c>
    </row>
    <row r="77" spans="2:19" x14ac:dyDescent="0.35">
      <c r="B77" s="18" t="s">
        <v>258</v>
      </c>
      <c r="C77" s="9" t="s">
        <v>259</v>
      </c>
      <c r="D77" s="9" t="s">
        <v>799</v>
      </c>
      <c r="E77" s="9" t="s">
        <v>39</v>
      </c>
      <c r="F77" s="17">
        <v>0.41920000000000002</v>
      </c>
      <c r="G77" s="17">
        <v>0.41860000000000003</v>
      </c>
      <c r="H77" s="17">
        <v>2.9999999999999997E-4</v>
      </c>
      <c r="I77" s="17">
        <v>2.9999999999999997E-4</v>
      </c>
      <c r="J77" s="17">
        <v>0</v>
      </c>
      <c r="K77" s="9" t="s">
        <v>1343</v>
      </c>
      <c r="L77" s="9" t="s">
        <v>260</v>
      </c>
      <c r="M77" s="9">
        <v>2023</v>
      </c>
      <c r="N77" s="9" t="s">
        <v>505</v>
      </c>
      <c r="O77" s="10" t="s">
        <v>506</v>
      </c>
      <c r="P77" s="9" t="s">
        <v>507</v>
      </c>
      <c r="Q77" s="9" t="s">
        <v>264</v>
      </c>
      <c r="R77" s="9" t="s">
        <v>1344</v>
      </c>
      <c r="S77" s="9" t="s">
        <v>1415</v>
      </c>
    </row>
    <row r="78" spans="2:19" x14ac:dyDescent="0.35">
      <c r="B78" s="18" t="s">
        <v>258</v>
      </c>
      <c r="C78" s="9" t="s">
        <v>259</v>
      </c>
      <c r="D78" s="9" t="s">
        <v>799</v>
      </c>
      <c r="E78" s="9" t="s">
        <v>39</v>
      </c>
      <c r="F78" s="17">
        <v>0.4219</v>
      </c>
      <c r="G78" s="17">
        <v>0.42130000000000001</v>
      </c>
      <c r="H78" s="17">
        <v>2.9999999999999997E-4</v>
      </c>
      <c r="I78" s="17">
        <v>2.9999999999999997E-4</v>
      </c>
      <c r="J78" s="17">
        <v>0</v>
      </c>
      <c r="K78" s="9" t="s">
        <v>1343</v>
      </c>
      <c r="L78" s="9" t="s">
        <v>260</v>
      </c>
      <c r="M78" s="9">
        <v>2022</v>
      </c>
      <c r="N78" s="9" t="s">
        <v>505</v>
      </c>
      <c r="O78" s="10" t="s">
        <v>506</v>
      </c>
      <c r="P78" s="9" t="s">
        <v>507</v>
      </c>
      <c r="Q78" s="9" t="s">
        <v>264</v>
      </c>
      <c r="R78" s="9" t="s">
        <v>1344</v>
      </c>
      <c r="S78" s="9" t="s">
        <v>1416</v>
      </c>
    </row>
    <row r="79" spans="2:19" x14ac:dyDescent="0.35">
      <c r="B79" s="18" t="s">
        <v>800</v>
      </c>
      <c r="C79" s="9" t="s">
        <v>801</v>
      </c>
      <c r="D79" s="9" t="s">
        <v>799</v>
      </c>
      <c r="E79" s="9" t="s">
        <v>39</v>
      </c>
      <c r="F79" s="17">
        <v>4.1000000000000002E-2</v>
      </c>
      <c r="G79" s="17"/>
      <c r="H79" s="17"/>
      <c r="I79" s="17"/>
      <c r="J79" s="17">
        <v>4.1000000000000002E-2</v>
      </c>
      <c r="K79" s="9" t="s">
        <v>1343</v>
      </c>
      <c r="L79" s="9" t="s">
        <v>802</v>
      </c>
      <c r="M79" s="9">
        <v>2022</v>
      </c>
      <c r="N79" s="9" t="s">
        <v>505</v>
      </c>
      <c r="O79" s="10" t="s">
        <v>506</v>
      </c>
      <c r="P79" s="9" t="s">
        <v>507</v>
      </c>
      <c r="Q79" s="9" t="s">
        <v>264</v>
      </c>
      <c r="R79" s="9" t="s">
        <v>1344</v>
      </c>
      <c r="S79" s="9" t="s">
        <v>1417</v>
      </c>
    </row>
    <row r="80" spans="2:19" x14ac:dyDescent="0.35">
      <c r="B80" s="18" t="s">
        <v>800</v>
      </c>
      <c r="C80" s="9" t="s">
        <v>801</v>
      </c>
      <c r="D80" s="9" t="s">
        <v>799</v>
      </c>
      <c r="E80" s="9" t="s">
        <v>39</v>
      </c>
      <c r="F80" s="17">
        <v>4.1300000000000003E-2</v>
      </c>
      <c r="G80" s="17"/>
      <c r="H80" s="17"/>
      <c r="I80" s="17"/>
      <c r="J80" s="17">
        <v>4.1300000000000003E-2</v>
      </c>
      <c r="K80" s="9" t="s">
        <v>1343</v>
      </c>
      <c r="L80" s="9" t="s">
        <v>802</v>
      </c>
      <c r="M80" s="9">
        <v>2023</v>
      </c>
      <c r="N80" s="9" t="s">
        <v>505</v>
      </c>
      <c r="O80" s="10" t="s">
        <v>506</v>
      </c>
      <c r="P80" s="9" t="s">
        <v>507</v>
      </c>
      <c r="Q80" s="9" t="s">
        <v>264</v>
      </c>
      <c r="R80" s="9" t="s">
        <v>1344</v>
      </c>
      <c r="S80" s="9" t="s">
        <v>1418</v>
      </c>
    </row>
    <row r="81" spans="2:19" x14ac:dyDescent="0.35">
      <c r="B81" s="18" t="s">
        <v>800</v>
      </c>
      <c r="C81" s="9" t="s">
        <v>803</v>
      </c>
      <c r="D81" s="9" t="s">
        <v>799</v>
      </c>
      <c r="E81" s="9" t="s">
        <v>39</v>
      </c>
      <c r="F81" s="17">
        <v>0.1067</v>
      </c>
      <c r="G81" s="17"/>
      <c r="H81" s="17"/>
      <c r="I81" s="17"/>
      <c r="J81" s="17">
        <v>0.1067</v>
      </c>
      <c r="K81" s="9" t="s">
        <v>1343</v>
      </c>
      <c r="L81" s="9" t="s">
        <v>804</v>
      </c>
      <c r="M81" s="9">
        <v>2024</v>
      </c>
      <c r="N81" s="9" t="s">
        <v>505</v>
      </c>
      <c r="O81" s="10" t="s">
        <v>506</v>
      </c>
      <c r="P81" s="9" t="s">
        <v>507</v>
      </c>
      <c r="Q81" s="9" t="s">
        <v>264</v>
      </c>
      <c r="R81" s="9" t="s">
        <v>1344</v>
      </c>
      <c r="S81" s="9" t="s">
        <v>1419</v>
      </c>
    </row>
    <row r="82" spans="2:19" x14ac:dyDescent="0.35">
      <c r="B82" s="18" t="s">
        <v>800</v>
      </c>
      <c r="C82" s="9" t="s">
        <v>803</v>
      </c>
      <c r="D82" s="9" t="s">
        <v>799</v>
      </c>
      <c r="E82" s="9" t="s">
        <v>39</v>
      </c>
      <c r="F82" s="17">
        <v>0.1106</v>
      </c>
      <c r="G82" s="17"/>
      <c r="H82" s="17"/>
      <c r="I82" s="17"/>
      <c r="J82" s="17">
        <v>0.1106</v>
      </c>
      <c r="K82" s="9" t="s">
        <v>1343</v>
      </c>
      <c r="L82" s="9" t="s">
        <v>804</v>
      </c>
      <c r="M82" s="9">
        <v>2023</v>
      </c>
      <c r="N82" s="9" t="s">
        <v>505</v>
      </c>
      <c r="O82" s="10" t="s">
        <v>506</v>
      </c>
      <c r="P82" s="9" t="s">
        <v>507</v>
      </c>
      <c r="Q82" s="9" t="s">
        <v>264</v>
      </c>
      <c r="R82" s="9" t="s">
        <v>1344</v>
      </c>
      <c r="S82" s="9" t="s">
        <v>1420</v>
      </c>
    </row>
    <row r="83" spans="2:19" x14ac:dyDescent="0.35">
      <c r="B83" s="18" t="s">
        <v>800</v>
      </c>
      <c r="C83" s="9" t="s">
        <v>803</v>
      </c>
      <c r="D83" s="9" t="s">
        <v>799</v>
      </c>
      <c r="E83" s="9" t="s">
        <v>39</v>
      </c>
      <c r="F83" s="17">
        <v>0.1111</v>
      </c>
      <c r="G83" s="17"/>
      <c r="H83" s="17"/>
      <c r="I83" s="17"/>
      <c r="J83" s="17">
        <v>0.1111</v>
      </c>
      <c r="K83" s="9" t="s">
        <v>1343</v>
      </c>
      <c r="L83" s="9" t="s">
        <v>804</v>
      </c>
      <c r="M83" s="9">
        <v>2022</v>
      </c>
      <c r="N83" s="9" t="s">
        <v>505</v>
      </c>
      <c r="O83" s="10" t="s">
        <v>506</v>
      </c>
      <c r="P83" s="9" t="s">
        <v>507</v>
      </c>
      <c r="Q83" s="9" t="s">
        <v>264</v>
      </c>
      <c r="R83" s="9" t="s">
        <v>1344</v>
      </c>
      <c r="S83" s="9" t="s">
        <v>1421</v>
      </c>
    </row>
    <row r="84" spans="2:19" x14ac:dyDescent="0.35">
      <c r="B84" s="18" t="s">
        <v>258</v>
      </c>
      <c r="C84" s="9" t="s">
        <v>259</v>
      </c>
      <c r="D84" s="9" t="s">
        <v>799</v>
      </c>
      <c r="E84" s="9" t="s">
        <v>39</v>
      </c>
      <c r="F84" s="17">
        <v>0.69769999999999999</v>
      </c>
      <c r="G84" s="17">
        <v>0.69710000000000005</v>
      </c>
      <c r="H84" s="17">
        <v>2.9999999999999997E-4</v>
      </c>
      <c r="I84" s="17">
        <v>2.9999999999999997E-4</v>
      </c>
      <c r="J84" s="17">
        <v>0</v>
      </c>
      <c r="K84" s="9" t="s">
        <v>1343</v>
      </c>
      <c r="L84" s="9" t="s">
        <v>260</v>
      </c>
      <c r="M84" s="9">
        <v>2023</v>
      </c>
      <c r="N84" s="9" t="s">
        <v>754</v>
      </c>
      <c r="O84" s="10" t="s">
        <v>755</v>
      </c>
      <c r="P84" s="9" t="s">
        <v>756</v>
      </c>
      <c r="Q84" s="9" t="s">
        <v>264</v>
      </c>
      <c r="R84" s="9" t="s">
        <v>1344</v>
      </c>
      <c r="S84" s="9" t="s">
        <v>1422</v>
      </c>
    </row>
    <row r="85" spans="2:19" x14ac:dyDescent="0.35">
      <c r="B85" s="18" t="s">
        <v>258</v>
      </c>
      <c r="C85" s="9" t="s">
        <v>259</v>
      </c>
      <c r="D85" s="9" t="s">
        <v>799</v>
      </c>
      <c r="E85" s="9" t="s">
        <v>39</v>
      </c>
      <c r="F85" s="17">
        <v>0.69810000000000005</v>
      </c>
      <c r="G85" s="17">
        <v>0.69750000000000001</v>
      </c>
      <c r="H85" s="17">
        <v>2.9999999999999997E-4</v>
      </c>
      <c r="I85" s="17">
        <v>2.9999999999999997E-4</v>
      </c>
      <c r="J85" s="17">
        <v>0</v>
      </c>
      <c r="K85" s="9" t="s">
        <v>1343</v>
      </c>
      <c r="L85" s="9" t="s">
        <v>260</v>
      </c>
      <c r="M85" s="9">
        <v>2022</v>
      </c>
      <c r="N85" s="9" t="s">
        <v>754</v>
      </c>
      <c r="O85" s="10" t="s">
        <v>755</v>
      </c>
      <c r="P85" s="9" t="s">
        <v>756</v>
      </c>
      <c r="Q85" s="9" t="s">
        <v>264</v>
      </c>
      <c r="R85" s="9" t="s">
        <v>1344</v>
      </c>
      <c r="S85" s="9" t="s">
        <v>1423</v>
      </c>
    </row>
    <row r="86" spans="2:19" x14ac:dyDescent="0.35">
      <c r="B86" s="18" t="s">
        <v>800</v>
      </c>
      <c r="C86" s="9" t="s">
        <v>801</v>
      </c>
      <c r="D86" s="9" t="s">
        <v>799</v>
      </c>
      <c r="E86" s="9" t="s">
        <v>39</v>
      </c>
      <c r="F86" s="17">
        <v>2.1299999999999999E-2</v>
      </c>
      <c r="G86" s="17"/>
      <c r="H86" s="17"/>
      <c r="I86" s="17"/>
      <c r="J86" s="17">
        <v>2.1299999999999999E-2</v>
      </c>
      <c r="K86" s="9" t="s">
        <v>1343</v>
      </c>
      <c r="L86" s="9" t="s">
        <v>802</v>
      </c>
      <c r="M86" s="9">
        <v>2023</v>
      </c>
      <c r="N86" s="9" t="s">
        <v>754</v>
      </c>
      <c r="O86" s="10" t="s">
        <v>755</v>
      </c>
      <c r="P86" s="9" t="s">
        <v>756</v>
      </c>
      <c r="Q86" s="9" t="s">
        <v>264</v>
      </c>
      <c r="R86" s="9" t="s">
        <v>1344</v>
      </c>
      <c r="S86" s="9" t="s">
        <v>1424</v>
      </c>
    </row>
    <row r="87" spans="2:19" x14ac:dyDescent="0.35">
      <c r="B87" s="18" t="s">
        <v>800</v>
      </c>
      <c r="C87" s="9" t="s">
        <v>801</v>
      </c>
      <c r="D87" s="9" t="s">
        <v>799</v>
      </c>
      <c r="E87" s="9" t="s">
        <v>39</v>
      </c>
      <c r="F87" s="17">
        <v>2.3400000000000001E-2</v>
      </c>
      <c r="G87" s="17"/>
      <c r="H87" s="17"/>
      <c r="I87" s="17"/>
      <c r="J87" s="17">
        <v>2.3400000000000001E-2</v>
      </c>
      <c r="K87" s="9" t="s">
        <v>1343</v>
      </c>
      <c r="L87" s="9" t="s">
        <v>802</v>
      </c>
      <c r="M87" s="9">
        <v>2022</v>
      </c>
      <c r="N87" s="9" t="s">
        <v>754</v>
      </c>
      <c r="O87" s="10" t="s">
        <v>755</v>
      </c>
      <c r="P87" s="9" t="s">
        <v>756</v>
      </c>
      <c r="Q87" s="9" t="s">
        <v>264</v>
      </c>
      <c r="R87" s="9" t="s">
        <v>1344</v>
      </c>
      <c r="S87" s="9" t="s">
        <v>1425</v>
      </c>
    </row>
    <row r="88" spans="2:19" x14ac:dyDescent="0.35">
      <c r="B88" s="18" t="s">
        <v>800</v>
      </c>
      <c r="C88" s="9" t="s">
        <v>803</v>
      </c>
      <c r="D88" s="9" t="s">
        <v>799</v>
      </c>
      <c r="E88" s="9" t="s">
        <v>39</v>
      </c>
      <c r="F88" s="17">
        <v>9.1499999999999998E-2</v>
      </c>
      <c r="G88" s="17"/>
      <c r="H88" s="17"/>
      <c r="I88" s="17"/>
      <c r="J88" s="17">
        <v>9.1499999999999998E-2</v>
      </c>
      <c r="K88" s="9" t="s">
        <v>1343</v>
      </c>
      <c r="L88" s="9" t="s">
        <v>804</v>
      </c>
      <c r="M88" s="9">
        <v>2023</v>
      </c>
      <c r="N88" s="9" t="s">
        <v>754</v>
      </c>
      <c r="O88" s="10" t="s">
        <v>755</v>
      </c>
      <c r="P88" s="9" t="s">
        <v>756</v>
      </c>
      <c r="Q88" s="9" t="s">
        <v>264</v>
      </c>
      <c r="R88" s="9" t="s">
        <v>1344</v>
      </c>
      <c r="S88" s="9" t="s">
        <v>1426</v>
      </c>
    </row>
    <row r="89" spans="2:19" x14ac:dyDescent="0.35">
      <c r="B89" s="18" t="s">
        <v>800</v>
      </c>
      <c r="C89" s="9" t="s">
        <v>803</v>
      </c>
      <c r="D89" s="9" t="s">
        <v>799</v>
      </c>
      <c r="E89" s="9" t="s">
        <v>39</v>
      </c>
      <c r="F89" s="17">
        <v>9.1600000000000001E-2</v>
      </c>
      <c r="G89" s="17"/>
      <c r="H89" s="17"/>
      <c r="I89" s="17"/>
      <c r="J89" s="17">
        <v>9.1600000000000001E-2</v>
      </c>
      <c r="K89" s="9" t="s">
        <v>1343</v>
      </c>
      <c r="L89" s="9" t="s">
        <v>804</v>
      </c>
      <c r="M89" s="9">
        <v>2022</v>
      </c>
      <c r="N89" s="9" t="s">
        <v>754</v>
      </c>
      <c r="O89" s="10" t="s">
        <v>755</v>
      </c>
      <c r="P89" s="9" t="s">
        <v>756</v>
      </c>
      <c r="Q89" s="9" t="s">
        <v>264</v>
      </c>
      <c r="R89" s="9" t="s">
        <v>1344</v>
      </c>
      <c r="S89" s="9" t="s">
        <v>1427</v>
      </c>
    </row>
    <row r="90" spans="2:19" x14ac:dyDescent="0.35">
      <c r="B90" s="18" t="s">
        <v>258</v>
      </c>
      <c r="C90" s="9" t="s">
        <v>259</v>
      </c>
      <c r="D90" s="9" t="s">
        <v>799</v>
      </c>
      <c r="E90" s="9" t="s">
        <v>39</v>
      </c>
      <c r="F90" s="17">
        <v>0.58589999999999998</v>
      </c>
      <c r="G90" s="17">
        <v>0.58460000000000001</v>
      </c>
      <c r="H90" s="17">
        <v>4.0000000000000002E-4</v>
      </c>
      <c r="I90" s="17">
        <v>8.9999999999999998E-4</v>
      </c>
      <c r="J90" s="17">
        <v>0</v>
      </c>
      <c r="K90" s="9" t="s">
        <v>1343</v>
      </c>
      <c r="L90" s="9" t="s">
        <v>260</v>
      </c>
      <c r="M90" s="9">
        <v>2023</v>
      </c>
      <c r="N90" s="9" t="s">
        <v>652</v>
      </c>
      <c r="O90" s="10" t="s">
        <v>653</v>
      </c>
      <c r="P90" s="9" t="s">
        <v>654</v>
      </c>
      <c r="Q90" s="9" t="s">
        <v>264</v>
      </c>
      <c r="R90" s="9" t="s">
        <v>1344</v>
      </c>
      <c r="S90" s="9" t="s">
        <v>1428</v>
      </c>
    </row>
    <row r="91" spans="2:19" x14ac:dyDescent="0.35">
      <c r="B91" s="18" t="s">
        <v>258</v>
      </c>
      <c r="C91" s="9" t="s">
        <v>259</v>
      </c>
      <c r="D91" s="9" t="s">
        <v>799</v>
      </c>
      <c r="E91" s="9" t="s">
        <v>39</v>
      </c>
      <c r="F91" s="17">
        <v>0.58750000000000002</v>
      </c>
      <c r="G91" s="17">
        <v>0.58630000000000004</v>
      </c>
      <c r="H91" s="17">
        <v>4.0000000000000002E-4</v>
      </c>
      <c r="I91" s="17">
        <v>8.0000000000000004E-4</v>
      </c>
      <c r="J91" s="17">
        <v>0</v>
      </c>
      <c r="K91" s="9" t="s">
        <v>1343</v>
      </c>
      <c r="L91" s="9" t="s">
        <v>260</v>
      </c>
      <c r="M91" s="9">
        <v>2022</v>
      </c>
      <c r="N91" s="9" t="s">
        <v>652</v>
      </c>
      <c r="O91" s="10" t="s">
        <v>653</v>
      </c>
      <c r="P91" s="9" t="s">
        <v>654</v>
      </c>
      <c r="Q91" s="9" t="s">
        <v>264</v>
      </c>
      <c r="R91" s="9" t="s">
        <v>1344</v>
      </c>
      <c r="S91" s="9" t="s">
        <v>1429</v>
      </c>
    </row>
    <row r="92" spans="2:19" x14ac:dyDescent="0.35">
      <c r="B92" s="18" t="s">
        <v>258</v>
      </c>
      <c r="C92" s="9" t="s">
        <v>259</v>
      </c>
      <c r="D92" s="9" t="s">
        <v>799</v>
      </c>
      <c r="E92" s="9" t="s">
        <v>39</v>
      </c>
      <c r="F92" s="17">
        <v>0.58779999999999999</v>
      </c>
      <c r="G92" s="17">
        <v>0.58650000000000002</v>
      </c>
      <c r="H92" s="17">
        <v>4.0000000000000002E-4</v>
      </c>
      <c r="I92" s="17">
        <v>8.9999999999999998E-4</v>
      </c>
      <c r="J92" s="17">
        <v>0</v>
      </c>
      <c r="K92" s="9" t="s">
        <v>1343</v>
      </c>
      <c r="L92" s="9" t="s">
        <v>260</v>
      </c>
      <c r="M92" s="9">
        <v>2024</v>
      </c>
      <c r="N92" s="9" t="s">
        <v>652</v>
      </c>
      <c r="O92" s="10" t="s">
        <v>653</v>
      </c>
      <c r="P92" s="9" t="s">
        <v>654</v>
      </c>
      <c r="Q92" s="9" t="s">
        <v>264</v>
      </c>
      <c r="R92" s="9" t="s">
        <v>1344</v>
      </c>
      <c r="S92" s="9" t="s">
        <v>1430</v>
      </c>
    </row>
    <row r="93" spans="2:19" x14ac:dyDescent="0.35">
      <c r="B93" s="18" t="s">
        <v>800</v>
      </c>
      <c r="C93" s="9" t="s">
        <v>801</v>
      </c>
      <c r="D93" s="9" t="s">
        <v>799</v>
      </c>
      <c r="E93" s="9" t="s">
        <v>39</v>
      </c>
      <c r="F93" s="17">
        <v>5.1900000000000002E-2</v>
      </c>
      <c r="G93" s="17"/>
      <c r="H93" s="17"/>
      <c r="I93" s="17"/>
      <c r="J93" s="17">
        <v>5.1900000000000002E-2</v>
      </c>
      <c r="K93" s="9" t="s">
        <v>1343</v>
      </c>
      <c r="L93" s="9" t="s">
        <v>802</v>
      </c>
      <c r="M93" s="9">
        <v>2022</v>
      </c>
      <c r="N93" s="9" t="s">
        <v>652</v>
      </c>
      <c r="O93" s="10" t="s">
        <v>653</v>
      </c>
      <c r="P93" s="9" t="s">
        <v>654</v>
      </c>
      <c r="Q93" s="9" t="s">
        <v>264</v>
      </c>
      <c r="R93" s="9" t="s">
        <v>1344</v>
      </c>
      <c r="S93" s="9" t="s">
        <v>1431</v>
      </c>
    </row>
    <row r="94" spans="2:19" x14ac:dyDescent="0.35">
      <c r="B94" s="18" t="s">
        <v>800</v>
      </c>
      <c r="C94" s="9" t="s">
        <v>801</v>
      </c>
      <c r="D94" s="9" t="s">
        <v>799</v>
      </c>
      <c r="E94" s="9" t="s">
        <v>39</v>
      </c>
      <c r="F94" s="17">
        <v>5.4100000000000002E-2</v>
      </c>
      <c r="G94" s="17"/>
      <c r="H94" s="17"/>
      <c r="I94" s="17"/>
      <c r="J94" s="17">
        <v>5.4100000000000002E-2</v>
      </c>
      <c r="K94" s="9" t="s">
        <v>1343</v>
      </c>
      <c r="L94" s="9" t="s">
        <v>802</v>
      </c>
      <c r="M94" s="9">
        <v>2023</v>
      </c>
      <c r="N94" s="9" t="s">
        <v>652</v>
      </c>
      <c r="O94" s="10" t="s">
        <v>653</v>
      </c>
      <c r="P94" s="9" t="s">
        <v>654</v>
      </c>
      <c r="Q94" s="9" t="s">
        <v>264</v>
      </c>
      <c r="R94" s="9" t="s">
        <v>1344</v>
      </c>
      <c r="S94" s="9" t="s">
        <v>1432</v>
      </c>
    </row>
    <row r="95" spans="2:19" x14ac:dyDescent="0.35">
      <c r="B95" s="18" t="s">
        <v>800</v>
      </c>
      <c r="C95" s="9" t="s">
        <v>803</v>
      </c>
      <c r="D95" s="9" t="s">
        <v>799</v>
      </c>
      <c r="E95" s="9" t="s">
        <v>39</v>
      </c>
      <c r="F95" s="17">
        <v>0.1265</v>
      </c>
      <c r="G95" s="17"/>
      <c r="H95" s="17"/>
      <c r="I95" s="17"/>
      <c r="J95" s="17">
        <v>0.1265</v>
      </c>
      <c r="K95" s="9" t="s">
        <v>1343</v>
      </c>
      <c r="L95" s="9" t="s">
        <v>804</v>
      </c>
      <c r="M95" s="9">
        <v>2024</v>
      </c>
      <c r="N95" s="9" t="s">
        <v>652</v>
      </c>
      <c r="O95" s="10" t="s">
        <v>653</v>
      </c>
      <c r="P95" s="9" t="s">
        <v>654</v>
      </c>
      <c r="Q95" s="9" t="s">
        <v>264</v>
      </c>
      <c r="R95" s="9" t="s">
        <v>1344</v>
      </c>
      <c r="S95" s="9" t="s">
        <v>1433</v>
      </c>
    </row>
    <row r="96" spans="2:19" x14ac:dyDescent="0.35">
      <c r="B96" s="18" t="s">
        <v>800</v>
      </c>
      <c r="C96" s="9" t="s">
        <v>803</v>
      </c>
      <c r="D96" s="9" t="s">
        <v>799</v>
      </c>
      <c r="E96" s="9" t="s">
        <v>39</v>
      </c>
      <c r="F96" s="17">
        <v>0.1295</v>
      </c>
      <c r="G96" s="17"/>
      <c r="H96" s="17"/>
      <c r="I96" s="17"/>
      <c r="J96" s="17">
        <v>0.1295</v>
      </c>
      <c r="K96" s="9" t="s">
        <v>1343</v>
      </c>
      <c r="L96" s="9" t="s">
        <v>804</v>
      </c>
      <c r="M96" s="9">
        <v>2023</v>
      </c>
      <c r="N96" s="9" t="s">
        <v>652</v>
      </c>
      <c r="O96" s="10" t="s">
        <v>653</v>
      </c>
      <c r="P96" s="9" t="s">
        <v>654</v>
      </c>
      <c r="Q96" s="9" t="s">
        <v>264</v>
      </c>
      <c r="R96" s="9" t="s">
        <v>1344</v>
      </c>
      <c r="S96" s="9" t="s">
        <v>1434</v>
      </c>
    </row>
    <row r="97" spans="2:19" x14ac:dyDescent="0.35">
      <c r="B97" s="18" t="s">
        <v>800</v>
      </c>
      <c r="C97" s="9" t="s">
        <v>803</v>
      </c>
      <c r="D97" s="9" t="s">
        <v>799</v>
      </c>
      <c r="E97" s="9" t="s">
        <v>39</v>
      </c>
      <c r="F97" s="17">
        <v>0.1333</v>
      </c>
      <c r="G97" s="17"/>
      <c r="H97" s="17"/>
      <c r="I97" s="17"/>
      <c r="J97" s="17">
        <v>0.1333</v>
      </c>
      <c r="K97" s="9" t="s">
        <v>1343</v>
      </c>
      <c r="L97" s="9" t="s">
        <v>804</v>
      </c>
      <c r="M97" s="9">
        <v>2022</v>
      </c>
      <c r="N97" s="9" t="s">
        <v>652</v>
      </c>
      <c r="O97" s="10" t="s">
        <v>653</v>
      </c>
      <c r="P97" s="9" t="s">
        <v>654</v>
      </c>
      <c r="Q97" s="9" t="s">
        <v>264</v>
      </c>
      <c r="R97" s="9" t="s">
        <v>1344</v>
      </c>
      <c r="S97" s="9" t="s">
        <v>1435</v>
      </c>
    </row>
    <row r="98" spans="2:19" x14ac:dyDescent="0.35">
      <c r="B98" s="18" t="s">
        <v>258</v>
      </c>
      <c r="C98" s="9" t="s">
        <v>259</v>
      </c>
      <c r="D98" s="9" t="s">
        <v>799</v>
      </c>
      <c r="E98" s="9" t="s">
        <v>39</v>
      </c>
      <c r="F98" s="17">
        <v>0.26889999999999997</v>
      </c>
      <c r="G98" s="17">
        <v>0.26850000000000002</v>
      </c>
      <c r="H98" s="17">
        <v>2.0000000000000001E-4</v>
      </c>
      <c r="I98" s="17">
        <v>2.0000000000000001E-4</v>
      </c>
      <c r="J98" s="17">
        <v>0</v>
      </c>
      <c r="K98" s="9" t="s">
        <v>1343</v>
      </c>
      <c r="L98" s="9" t="s">
        <v>260</v>
      </c>
      <c r="M98" s="9">
        <v>2023</v>
      </c>
      <c r="N98" s="9" t="s">
        <v>487</v>
      </c>
      <c r="O98" s="10" t="s">
        <v>488</v>
      </c>
      <c r="P98" s="9" t="s">
        <v>489</v>
      </c>
      <c r="Q98" s="9" t="s">
        <v>264</v>
      </c>
      <c r="R98" s="9" t="s">
        <v>1344</v>
      </c>
      <c r="S98" s="9" t="s">
        <v>1436</v>
      </c>
    </row>
    <row r="99" spans="2:19" x14ac:dyDescent="0.35">
      <c r="B99" s="18" t="s">
        <v>258</v>
      </c>
      <c r="C99" s="9" t="s">
        <v>259</v>
      </c>
      <c r="D99" s="9" t="s">
        <v>799</v>
      </c>
      <c r="E99" s="9" t="s">
        <v>39</v>
      </c>
      <c r="F99" s="17">
        <v>0.30709999999999998</v>
      </c>
      <c r="G99" s="17">
        <v>0.30669999999999997</v>
      </c>
      <c r="H99" s="17">
        <v>2.0000000000000001E-4</v>
      </c>
      <c r="I99" s="17">
        <v>2.0000000000000001E-4</v>
      </c>
      <c r="J99" s="17">
        <v>0</v>
      </c>
      <c r="K99" s="9" t="s">
        <v>1343</v>
      </c>
      <c r="L99" s="9" t="s">
        <v>260</v>
      </c>
      <c r="M99" s="9">
        <v>2022</v>
      </c>
      <c r="N99" s="9" t="s">
        <v>487</v>
      </c>
      <c r="O99" s="10" t="s">
        <v>488</v>
      </c>
      <c r="P99" s="9" t="s">
        <v>489</v>
      </c>
      <c r="Q99" s="9" t="s">
        <v>264</v>
      </c>
      <c r="R99" s="9" t="s">
        <v>1344</v>
      </c>
      <c r="S99" s="9" t="s">
        <v>1437</v>
      </c>
    </row>
    <row r="100" spans="2:19" x14ac:dyDescent="0.35">
      <c r="B100" s="18" t="s">
        <v>800</v>
      </c>
      <c r="C100" s="9" t="s">
        <v>801</v>
      </c>
      <c r="D100" s="9" t="s">
        <v>799</v>
      </c>
      <c r="E100" s="9" t="s">
        <v>39</v>
      </c>
      <c r="F100" s="17">
        <v>2.41E-2</v>
      </c>
      <c r="G100" s="17"/>
      <c r="H100" s="17"/>
      <c r="I100" s="17"/>
      <c r="J100" s="17">
        <v>2.41E-2</v>
      </c>
      <c r="K100" s="9" t="s">
        <v>1343</v>
      </c>
      <c r="L100" s="9" t="s">
        <v>802</v>
      </c>
      <c r="M100" s="9">
        <v>2023</v>
      </c>
      <c r="N100" s="9" t="s">
        <v>487</v>
      </c>
      <c r="O100" s="10" t="s">
        <v>488</v>
      </c>
      <c r="P100" s="9" t="s">
        <v>489</v>
      </c>
      <c r="Q100" s="9" t="s">
        <v>264</v>
      </c>
      <c r="R100" s="9" t="s">
        <v>1344</v>
      </c>
      <c r="S100" s="9" t="s">
        <v>1438</v>
      </c>
    </row>
    <row r="101" spans="2:19" x14ac:dyDescent="0.35">
      <c r="B101" s="18" t="s">
        <v>800</v>
      </c>
      <c r="C101" s="9" t="s">
        <v>801</v>
      </c>
      <c r="D101" s="9" t="s">
        <v>799</v>
      </c>
      <c r="E101" s="9" t="s">
        <v>39</v>
      </c>
      <c r="F101" s="17">
        <v>2.69E-2</v>
      </c>
      <c r="G101" s="17"/>
      <c r="H101" s="17"/>
      <c r="I101" s="17"/>
      <c r="J101" s="17">
        <v>2.69E-2</v>
      </c>
      <c r="K101" s="9" t="s">
        <v>1343</v>
      </c>
      <c r="L101" s="9" t="s">
        <v>802</v>
      </c>
      <c r="M101" s="9">
        <v>2022</v>
      </c>
      <c r="N101" s="9" t="s">
        <v>487</v>
      </c>
      <c r="O101" s="10" t="s">
        <v>488</v>
      </c>
      <c r="P101" s="9" t="s">
        <v>489</v>
      </c>
      <c r="Q101" s="9" t="s">
        <v>264</v>
      </c>
      <c r="R101" s="9" t="s">
        <v>1344</v>
      </c>
      <c r="S101" s="9" t="s">
        <v>1439</v>
      </c>
    </row>
    <row r="102" spans="2:19" x14ac:dyDescent="0.35">
      <c r="B102" s="18" t="s">
        <v>800</v>
      </c>
      <c r="C102" s="9" t="s">
        <v>803</v>
      </c>
      <c r="D102" s="9" t="s">
        <v>799</v>
      </c>
      <c r="E102" s="9" t="s">
        <v>39</v>
      </c>
      <c r="F102" s="17">
        <v>9.2200000000000004E-2</v>
      </c>
      <c r="G102" s="17"/>
      <c r="H102" s="17"/>
      <c r="I102" s="17"/>
      <c r="J102" s="17">
        <v>9.2200000000000004E-2</v>
      </c>
      <c r="K102" s="9" t="s">
        <v>1343</v>
      </c>
      <c r="L102" s="9" t="s">
        <v>804</v>
      </c>
      <c r="M102" s="9">
        <v>2023</v>
      </c>
      <c r="N102" s="9" t="s">
        <v>487</v>
      </c>
      <c r="O102" s="10" t="s">
        <v>488</v>
      </c>
      <c r="P102" s="9" t="s">
        <v>489</v>
      </c>
      <c r="Q102" s="9" t="s">
        <v>264</v>
      </c>
      <c r="R102" s="9" t="s">
        <v>1344</v>
      </c>
      <c r="S102" s="9" t="s">
        <v>1440</v>
      </c>
    </row>
    <row r="103" spans="2:19" x14ac:dyDescent="0.35">
      <c r="B103" s="18" t="s">
        <v>800</v>
      </c>
      <c r="C103" s="9" t="s">
        <v>803</v>
      </c>
      <c r="D103" s="9" t="s">
        <v>799</v>
      </c>
      <c r="E103" s="9" t="s">
        <v>39</v>
      </c>
      <c r="F103" s="17">
        <v>0.10100000000000001</v>
      </c>
      <c r="G103" s="17"/>
      <c r="H103" s="17"/>
      <c r="I103" s="17"/>
      <c r="J103" s="17">
        <v>0.10100000000000001</v>
      </c>
      <c r="K103" s="9" t="s">
        <v>1343</v>
      </c>
      <c r="L103" s="9" t="s">
        <v>804</v>
      </c>
      <c r="M103" s="9">
        <v>2022</v>
      </c>
      <c r="N103" s="9" t="s">
        <v>487</v>
      </c>
      <c r="O103" s="10" t="s">
        <v>488</v>
      </c>
      <c r="P103" s="9" t="s">
        <v>489</v>
      </c>
      <c r="Q103" s="9" t="s">
        <v>264</v>
      </c>
      <c r="R103" s="9" t="s">
        <v>1344</v>
      </c>
      <c r="S103" s="9" t="s">
        <v>1441</v>
      </c>
    </row>
    <row r="104" spans="2:19" x14ac:dyDescent="0.35">
      <c r="B104" s="18" t="s">
        <v>258</v>
      </c>
      <c r="C104" s="9" t="s">
        <v>259</v>
      </c>
      <c r="D104" s="9" t="s">
        <v>799</v>
      </c>
      <c r="E104" s="9" t="s">
        <v>39</v>
      </c>
      <c r="F104" s="17">
        <v>0.1421</v>
      </c>
      <c r="G104" s="17">
        <v>0.1414</v>
      </c>
      <c r="H104" s="17">
        <v>2.9999999999999997E-4</v>
      </c>
      <c r="I104" s="17">
        <v>4.0000000000000002E-4</v>
      </c>
      <c r="J104" s="17">
        <v>0</v>
      </c>
      <c r="K104" s="9" t="s">
        <v>1343</v>
      </c>
      <c r="L104" s="9" t="s">
        <v>260</v>
      </c>
      <c r="M104" s="9">
        <v>2023</v>
      </c>
      <c r="N104" s="9" t="s">
        <v>402</v>
      </c>
      <c r="O104" s="10" t="s">
        <v>403</v>
      </c>
      <c r="P104" s="9" t="s">
        <v>404</v>
      </c>
      <c r="Q104" s="9" t="s">
        <v>264</v>
      </c>
      <c r="R104" s="9" t="s">
        <v>1344</v>
      </c>
      <c r="S104" s="9" t="s">
        <v>1442</v>
      </c>
    </row>
    <row r="105" spans="2:19" x14ac:dyDescent="0.35">
      <c r="B105" s="18" t="s">
        <v>258</v>
      </c>
      <c r="C105" s="9" t="s">
        <v>259</v>
      </c>
      <c r="D105" s="9" t="s">
        <v>799</v>
      </c>
      <c r="E105" s="9" t="s">
        <v>39</v>
      </c>
      <c r="F105" s="17">
        <v>0.14829999999999999</v>
      </c>
      <c r="G105" s="17">
        <v>0.14760000000000001</v>
      </c>
      <c r="H105" s="17">
        <v>2.9999999999999997E-4</v>
      </c>
      <c r="I105" s="17">
        <v>4.0000000000000002E-4</v>
      </c>
      <c r="J105" s="17">
        <v>0</v>
      </c>
      <c r="K105" s="9" t="s">
        <v>1343</v>
      </c>
      <c r="L105" s="9" t="s">
        <v>260</v>
      </c>
      <c r="M105" s="9">
        <v>2024</v>
      </c>
      <c r="N105" s="9" t="s">
        <v>402</v>
      </c>
      <c r="O105" s="10" t="s">
        <v>403</v>
      </c>
      <c r="P105" s="9" t="s">
        <v>404</v>
      </c>
      <c r="Q105" s="9" t="s">
        <v>264</v>
      </c>
      <c r="R105" s="9" t="s">
        <v>1344</v>
      </c>
      <c r="S105" s="9" t="s">
        <v>1443</v>
      </c>
    </row>
    <row r="106" spans="2:19" x14ac:dyDescent="0.35">
      <c r="B106" s="18" t="s">
        <v>258</v>
      </c>
      <c r="C106" s="9" t="s">
        <v>259</v>
      </c>
      <c r="D106" s="9" t="s">
        <v>799</v>
      </c>
      <c r="E106" s="9" t="s">
        <v>39</v>
      </c>
      <c r="F106" s="17">
        <v>0.14849999999999999</v>
      </c>
      <c r="G106" s="17">
        <v>0.14760000000000001</v>
      </c>
      <c r="H106" s="17">
        <v>4.0000000000000002E-4</v>
      </c>
      <c r="I106" s="17">
        <v>5.0000000000000001E-4</v>
      </c>
      <c r="J106" s="17">
        <v>0</v>
      </c>
      <c r="K106" s="9" t="s">
        <v>1343</v>
      </c>
      <c r="L106" s="9" t="s">
        <v>260</v>
      </c>
      <c r="M106" s="9">
        <v>2022</v>
      </c>
      <c r="N106" s="9" t="s">
        <v>402</v>
      </c>
      <c r="O106" s="10" t="s">
        <v>403</v>
      </c>
      <c r="P106" s="9" t="s">
        <v>404</v>
      </c>
      <c r="Q106" s="9" t="s">
        <v>264</v>
      </c>
      <c r="R106" s="9" t="s">
        <v>1344</v>
      </c>
      <c r="S106" s="9" t="s">
        <v>1444</v>
      </c>
    </row>
    <row r="107" spans="2:19" x14ac:dyDescent="0.35">
      <c r="B107" s="18" t="s">
        <v>800</v>
      </c>
      <c r="C107" s="9" t="s">
        <v>801</v>
      </c>
      <c r="D107" s="9" t="s">
        <v>799</v>
      </c>
      <c r="E107" s="9" t="s">
        <v>39</v>
      </c>
      <c r="F107" s="17">
        <v>5.5999999999999999E-3</v>
      </c>
      <c r="G107" s="17"/>
      <c r="H107" s="17"/>
      <c r="I107" s="17"/>
      <c r="J107" s="17">
        <v>5.5999999999999999E-3</v>
      </c>
      <c r="K107" s="9" t="s">
        <v>1343</v>
      </c>
      <c r="L107" s="9" t="s">
        <v>802</v>
      </c>
      <c r="M107" s="9">
        <v>2022</v>
      </c>
      <c r="N107" s="9" t="s">
        <v>402</v>
      </c>
      <c r="O107" s="10" t="s">
        <v>403</v>
      </c>
      <c r="P107" s="9" t="s">
        <v>404</v>
      </c>
      <c r="Q107" s="9" t="s">
        <v>264</v>
      </c>
      <c r="R107" s="9" t="s">
        <v>1344</v>
      </c>
      <c r="S107" s="9" t="s">
        <v>1445</v>
      </c>
    </row>
    <row r="108" spans="2:19" x14ac:dyDescent="0.35">
      <c r="B108" s="18" t="s">
        <v>800</v>
      </c>
      <c r="C108" s="9" t="s">
        <v>801</v>
      </c>
      <c r="D108" s="9" t="s">
        <v>799</v>
      </c>
      <c r="E108" s="9" t="s">
        <v>39</v>
      </c>
      <c r="F108" s="17">
        <v>6.3E-3</v>
      </c>
      <c r="G108" s="17"/>
      <c r="H108" s="17"/>
      <c r="I108" s="17"/>
      <c r="J108" s="17">
        <v>6.3E-3</v>
      </c>
      <c r="K108" s="9" t="s">
        <v>1343</v>
      </c>
      <c r="L108" s="9" t="s">
        <v>802</v>
      </c>
      <c r="M108" s="9">
        <v>2023</v>
      </c>
      <c r="N108" s="9" t="s">
        <v>402</v>
      </c>
      <c r="O108" s="10" t="s">
        <v>403</v>
      </c>
      <c r="P108" s="9" t="s">
        <v>404</v>
      </c>
      <c r="Q108" s="9" t="s">
        <v>264</v>
      </c>
      <c r="R108" s="9" t="s">
        <v>1344</v>
      </c>
      <c r="S108" s="9" t="s">
        <v>1446</v>
      </c>
    </row>
    <row r="109" spans="2:19" x14ac:dyDescent="0.35">
      <c r="B109" s="18" t="s">
        <v>800</v>
      </c>
      <c r="C109" s="9" t="s">
        <v>803</v>
      </c>
      <c r="D109" s="9" t="s">
        <v>799</v>
      </c>
      <c r="E109" s="9" t="s">
        <v>39</v>
      </c>
      <c r="F109" s="17">
        <v>0.03</v>
      </c>
      <c r="G109" s="17"/>
      <c r="H109" s="17"/>
      <c r="I109" s="17"/>
      <c r="J109" s="17">
        <v>0.03</v>
      </c>
      <c r="K109" s="9" t="s">
        <v>1343</v>
      </c>
      <c r="L109" s="9" t="s">
        <v>804</v>
      </c>
      <c r="M109" s="9">
        <v>2024</v>
      </c>
      <c r="N109" s="9" t="s">
        <v>402</v>
      </c>
      <c r="O109" s="10" t="s">
        <v>403</v>
      </c>
      <c r="P109" s="9" t="s">
        <v>404</v>
      </c>
      <c r="Q109" s="9" t="s">
        <v>264</v>
      </c>
      <c r="R109" s="9" t="s">
        <v>1344</v>
      </c>
      <c r="S109" s="9" t="s">
        <v>1447</v>
      </c>
    </row>
    <row r="110" spans="2:19" x14ac:dyDescent="0.35">
      <c r="B110" s="18" t="s">
        <v>800</v>
      </c>
      <c r="C110" s="9" t="s">
        <v>803</v>
      </c>
      <c r="D110" s="9" t="s">
        <v>799</v>
      </c>
      <c r="E110" s="9" t="s">
        <v>39</v>
      </c>
      <c r="F110" s="17">
        <v>3.0700000000000002E-2</v>
      </c>
      <c r="G110" s="17"/>
      <c r="H110" s="17"/>
      <c r="I110" s="17"/>
      <c r="J110" s="17">
        <v>3.0700000000000002E-2</v>
      </c>
      <c r="K110" s="9" t="s">
        <v>1343</v>
      </c>
      <c r="L110" s="9" t="s">
        <v>804</v>
      </c>
      <c r="M110" s="9">
        <v>2023</v>
      </c>
      <c r="N110" s="9" t="s">
        <v>402</v>
      </c>
      <c r="O110" s="10" t="s">
        <v>403</v>
      </c>
      <c r="P110" s="9" t="s">
        <v>404</v>
      </c>
      <c r="Q110" s="9" t="s">
        <v>264</v>
      </c>
      <c r="R110" s="9" t="s">
        <v>1344</v>
      </c>
      <c r="S110" s="9" t="s">
        <v>1448</v>
      </c>
    </row>
    <row r="111" spans="2:19" x14ac:dyDescent="0.35">
      <c r="B111" s="18" t="s">
        <v>800</v>
      </c>
      <c r="C111" s="9" t="s">
        <v>803</v>
      </c>
      <c r="D111" s="9" t="s">
        <v>799</v>
      </c>
      <c r="E111" s="9" t="s">
        <v>39</v>
      </c>
      <c r="F111" s="17">
        <v>3.1699999999999999E-2</v>
      </c>
      <c r="G111" s="17"/>
      <c r="H111" s="17"/>
      <c r="I111" s="17"/>
      <c r="J111" s="17">
        <v>3.1699999999999999E-2</v>
      </c>
      <c r="K111" s="9" t="s">
        <v>1343</v>
      </c>
      <c r="L111" s="9" t="s">
        <v>804</v>
      </c>
      <c r="M111" s="9">
        <v>2022</v>
      </c>
      <c r="N111" s="9" t="s">
        <v>402</v>
      </c>
      <c r="O111" s="10" t="s">
        <v>403</v>
      </c>
      <c r="P111" s="9" t="s">
        <v>404</v>
      </c>
      <c r="Q111" s="9" t="s">
        <v>264</v>
      </c>
      <c r="R111" s="9" t="s">
        <v>1344</v>
      </c>
      <c r="S111" s="9" t="s">
        <v>1449</v>
      </c>
    </row>
    <row r="112" spans="2:19" x14ac:dyDescent="0.35">
      <c r="B112" s="18" t="s">
        <v>258</v>
      </c>
      <c r="C112" s="9" t="s">
        <v>259</v>
      </c>
      <c r="D112" s="9" t="s">
        <v>799</v>
      </c>
      <c r="E112" s="9" t="s">
        <v>39</v>
      </c>
      <c r="F112" s="17">
        <v>0.51019999999999999</v>
      </c>
      <c r="G112" s="17">
        <v>0.50919999999999999</v>
      </c>
      <c r="H112" s="17">
        <v>4.0000000000000002E-4</v>
      </c>
      <c r="I112" s="17">
        <v>5.9999999999999995E-4</v>
      </c>
      <c r="J112" s="17">
        <v>0</v>
      </c>
      <c r="K112" s="9" t="s">
        <v>1343</v>
      </c>
      <c r="L112" s="9" t="s">
        <v>260</v>
      </c>
      <c r="M112" s="9">
        <v>2022</v>
      </c>
      <c r="N112" s="9" t="s">
        <v>703</v>
      </c>
      <c r="O112" s="10" t="s">
        <v>704</v>
      </c>
      <c r="P112" s="9" t="s">
        <v>705</v>
      </c>
      <c r="Q112" s="9" t="s">
        <v>264</v>
      </c>
      <c r="R112" s="9" t="s">
        <v>1344</v>
      </c>
      <c r="S112" s="9" t="s">
        <v>1450</v>
      </c>
    </row>
    <row r="113" spans="2:19" x14ac:dyDescent="0.35">
      <c r="B113" s="18" t="s">
        <v>258</v>
      </c>
      <c r="C113" s="9" t="s">
        <v>259</v>
      </c>
      <c r="D113" s="9" t="s">
        <v>799</v>
      </c>
      <c r="E113" s="9" t="s">
        <v>39</v>
      </c>
      <c r="F113" s="17">
        <v>0.59299999999999997</v>
      </c>
      <c r="G113" s="17">
        <v>0.59199999999999997</v>
      </c>
      <c r="H113" s="17">
        <v>4.0000000000000002E-4</v>
      </c>
      <c r="I113" s="17">
        <v>5.9999999999999995E-4</v>
      </c>
      <c r="J113" s="17">
        <v>0</v>
      </c>
      <c r="K113" s="9" t="s">
        <v>1343</v>
      </c>
      <c r="L113" s="9" t="s">
        <v>260</v>
      </c>
      <c r="M113" s="9">
        <v>2023</v>
      </c>
      <c r="N113" s="9" t="s">
        <v>703</v>
      </c>
      <c r="O113" s="10" t="s">
        <v>704</v>
      </c>
      <c r="P113" s="9" t="s">
        <v>705</v>
      </c>
      <c r="Q113" s="9" t="s">
        <v>264</v>
      </c>
      <c r="R113" s="9" t="s">
        <v>1344</v>
      </c>
      <c r="S113" s="9" t="s">
        <v>1451</v>
      </c>
    </row>
    <row r="114" spans="2:19" x14ac:dyDescent="0.35">
      <c r="B114" s="18" t="s">
        <v>800</v>
      </c>
      <c r="C114" s="9" t="s">
        <v>801</v>
      </c>
      <c r="D114" s="9" t="s">
        <v>799</v>
      </c>
      <c r="E114" s="9" t="s">
        <v>39</v>
      </c>
      <c r="F114" s="17">
        <v>0.13400000000000001</v>
      </c>
      <c r="G114" s="17"/>
      <c r="H114" s="17"/>
      <c r="I114" s="17"/>
      <c r="J114" s="17">
        <v>0.13400000000000001</v>
      </c>
      <c r="K114" s="9" t="s">
        <v>1343</v>
      </c>
      <c r="L114" s="9" t="s">
        <v>802</v>
      </c>
      <c r="M114" s="9">
        <v>2022</v>
      </c>
      <c r="N114" s="9" t="s">
        <v>703</v>
      </c>
      <c r="O114" s="10" t="s">
        <v>704</v>
      </c>
      <c r="P114" s="9" t="s">
        <v>705</v>
      </c>
      <c r="Q114" s="9" t="s">
        <v>264</v>
      </c>
      <c r="R114" s="9" t="s">
        <v>1344</v>
      </c>
      <c r="S114" s="9" t="s">
        <v>1452</v>
      </c>
    </row>
    <row r="115" spans="2:19" x14ac:dyDescent="0.35">
      <c r="B115" s="18" t="s">
        <v>800</v>
      </c>
      <c r="C115" s="9" t="s">
        <v>801</v>
      </c>
      <c r="D115" s="9" t="s">
        <v>799</v>
      </c>
      <c r="E115" s="9" t="s">
        <v>39</v>
      </c>
      <c r="F115" s="17">
        <v>0.1636</v>
      </c>
      <c r="G115" s="17"/>
      <c r="H115" s="17"/>
      <c r="I115" s="17"/>
      <c r="J115" s="17">
        <v>0.1636</v>
      </c>
      <c r="K115" s="9" t="s">
        <v>1343</v>
      </c>
      <c r="L115" s="9" t="s">
        <v>802</v>
      </c>
      <c r="M115" s="9">
        <v>2023</v>
      </c>
      <c r="N115" s="9" t="s">
        <v>703</v>
      </c>
      <c r="O115" s="10" t="s">
        <v>704</v>
      </c>
      <c r="P115" s="9" t="s">
        <v>705</v>
      </c>
      <c r="Q115" s="9" t="s">
        <v>264</v>
      </c>
      <c r="R115" s="9" t="s">
        <v>1344</v>
      </c>
      <c r="S115" s="9" t="s">
        <v>1453</v>
      </c>
    </row>
    <row r="116" spans="2:19" x14ac:dyDescent="0.35">
      <c r="B116" s="18" t="s">
        <v>800</v>
      </c>
      <c r="C116" s="9" t="s">
        <v>803</v>
      </c>
      <c r="D116" s="9" t="s">
        <v>799</v>
      </c>
      <c r="E116" s="9" t="s">
        <v>39</v>
      </c>
      <c r="F116" s="17">
        <v>0.1263</v>
      </c>
      <c r="G116" s="17"/>
      <c r="H116" s="17"/>
      <c r="I116" s="17"/>
      <c r="J116" s="17">
        <v>0.1263</v>
      </c>
      <c r="K116" s="9" t="s">
        <v>1343</v>
      </c>
      <c r="L116" s="9" t="s">
        <v>804</v>
      </c>
      <c r="M116" s="9">
        <v>2022</v>
      </c>
      <c r="N116" s="9" t="s">
        <v>703</v>
      </c>
      <c r="O116" s="10" t="s">
        <v>704</v>
      </c>
      <c r="P116" s="9" t="s">
        <v>705</v>
      </c>
      <c r="Q116" s="9" t="s">
        <v>264</v>
      </c>
      <c r="R116" s="9" t="s">
        <v>1344</v>
      </c>
      <c r="S116" s="9" t="s">
        <v>1454</v>
      </c>
    </row>
    <row r="117" spans="2:19" x14ac:dyDescent="0.35">
      <c r="B117" s="18" t="s">
        <v>800</v>
      </c>
      <c r="C117" s="9" t="s">
        <v>803</v>
      </c>
      <c r="D117" s="9" t="s">
        <v>799</v>
      </c>
      <c r="E117" s="9" t="s">
        <v>39</v>
      </c>
      <c r="F117" s="17">
        <v>0.14710000000000001</v>
      </c>
      <c r="G117" s="17"/>
      <c r="H117" s="17"/>
      <c r="I117" s="17"/>
      <c r="J117" s="17">
        <v>0.14710000000000001</v>
      </c>
      <c r="K117" s="9" t="s">
        <v>1343</v>
      </c>
      <c r="L117" s="9" t="s">
        <v>804</v>
      </c>
      <c r="M117" s="9">
        <v>2023</v>
      </c>
      <c r="N117" s="9" t="s">
        <v>703</v>
      </c>
      <c r="O117" s="10" t="s">
        <v>704</v>
      </c>
      <c r="P117" s="9" t="s">
        <v>705</v>
      </c>
      <c r="Q117" s="9" t="s">
        <v>264</v>
      </c>
      <c r="R117" s="9" t="s">
        <v>1344</v>
      </c>
      <c r="S117" s="9" t="s">
        <v>1455</v>
      </c>
    </row>
    <row r="118" spans="2:19" x14ac:dyDescent="0.35">
      <c r="B118" s="18" t="s">
        <v>258</v>
      </c>
      <c r="C118" s="9" t="s">
        <v>259</v>
      </c>
      <c r="D118" s="9" t="s">
        <v>799</v>
      </c>
      <c r="E118" s="9" t="s">
        <v>39</v>
      </c>
      <c r="F118" s="17">
        <v>0.29549999999999998</v>
      </c>
      <c r="G118" s="17">
        <v>0.29310000000000003</v>
      </c>
      <c r="H118" s="17">
        <v>1.1000000000000001E-3</v>
      </c>
      <c r="I118" s="17">
        <v>1.2999999999999999E-3</v>
      </c>
      <c r="J118" s="17">
        <v>0</v>
      </c>
      <c r="K118" s="9" t="s">
        <v>1343</v>
      </c>
      <c r="L118" s="9" t="s">
        <v>260</v>
      </c>
      <c r="M118" s="9">
        <v>2022</v>
      </c>
      <c r="N118" s="9" t="s">
        <v>592</v>
      </c>
      <c r="O118" s="10" t="s">
        <v>593</v>
      </c>
      <c r="P118" s="9" t="s">
        <v>594</v>
      </c>
      <c r="Q118" s="9" t="s">
        <v>264</v>
      </c>
      <c r="R118" s="9" t="s">
        <v>1344</v>
      </c>
      <c r="S118" s="9" t="s">
        <v>1456</v>
      </c>
    </row>
    <row r="119" spans="2:19" x14ac:dyDescent="0.35">
      <c r="B119" s="18" t="s">
        <v>258</v>
      </c>
      <c r="C119" s="9" t="s">
        <v>259</v>
      </c>
      <c r="D119" s="9" t="s">
        <v>799</v>
      </c>
      <c r="E119" s="9" t="s">
        <v>39</v>
      </c>
      <c r="F119" s="17">
        <v>0.33689999999999998</v>
      </c>
      <c r="G119" s="17">
        <v>0.33510000000000001</v>
      </c>
      <c r="H119" s="17">
        <v>8.0000000000000004E-4</v>
      </c>
      <c r="I119" s="17">
        <v>1E-3</v>
      </c>
      <c r="J119" s="17">
        <v>0</v>
      </c>
      <c r="K119" s="9" t="s">
        <v>1343</v>
      </c>
      <c r="L119" s="9" t="s">
        <v>260</v>
      </c>
      <c r="M119" s="9">
        <v>2023</v>
      </c>
      <c r="N119" s="9" t="s">
        <v>592</v>
      </c>
      <c r="O119" s="10" t="s">
        <v>593</v>
      </c>
      <c r="P119" s="9" t="s">
        <v>594</v>
      </c>
      <c r="Q119" s="9" t="s">
        <v>264</v>
      </c>
      <c r="R119" s="9" t="s">
        <v>1344</v>
      </c>
      <c r="S119" s="9" t="s">
        <v>1457</v>
      </c>
    </row>
    <row r="120" spans="2:19" x14ac:dyDescent="0.35">
      <c r="B120" s="18" t="s">
        <v>800</v>
      </c>
      <c r="C120" s="9" t="s">
        <v>801</v>
      </c>
      <c r="D120" s="9" t="s">
        <v>799</v>
      </c>
      <c r="E120" s="9" t="s">
        <v>39</v>
      </c>
      <c r="F120" s="17">
        <v>3.56E-2</v>
      </c>
      <c r="G120" s="17"/>
      <c r="H120" s="17"/>
      <c r="I120" s="17"/>
      <c r="J120" s="17">
        <v>3.56E-2</v>
      </c>
      <c r="K120" s="9" t="s">
        <v>1343</v>
      </c>
      <c r="L120" s="9" t="s">
        <v>802</v>
      </c>
      <c r="M120" s="9">
        <v>2022</v>
      </c>
      <c r="N120" s="9" t="s">
        <v>592</v>
      </c>
      <c r="O120" s="10" t="s">
        <v>593</v>
      </c>
      <c r="P120" s="9" t="s">
        <v>594</v>
      </c>
      <c r="Q120" s="9" t="s">
        <v>264</v>
      </c>
      <c r="R120" s="9" t="s">
        <v>1344</v>
      </c>
      <c r="S120" s="9" t="s">
        <v>1458</v>
      </c>
    </row>
    <row r="121" spans="2:19" x14ac:dyDescent="0.35">
      <c r="B121" s="18" t="s">
        <v>800</v>
      </c>
      <c r="C121" s="9" t="s">
        <v>801</v>
      </c>
      <c r="D121" s="9" t="s">
        <v>799</v>
      </c>
      <c r="E121" s="9" t="s">
        <v>39</v>
      </c>
      <c r="F121" s="17">
        <v>3.9399999999999998E-2</v>
      </c>
      <c r="G121" s="17"/>
      <c r="H121" s="17"/>
      <c r="I121" s="17"/>
      <c r="J121" s="17">
        <v>3.9399999999999998E-2</v>
      </c>
      <c r="K121" s="9" t="s">
        <v>1343</v>
      </c>
      <c r="L121" s="9" t="s">
        <v>802</v>
      </c>
      <c r="M121" s="9">
        <v>2023</v>
      </c>
      <c r="N121" s="9" t="s">
        <v>592</v>
      </c>
      <c r="O121" s="10" t="s">
        <v>593</v>
      </c>
      <c r="P121" s="9" t="s">
        <v>594</v>
      </c>
      <c r="Q121" s="9" t="s">
        <v>264</v>
      </c>
      <c r="R121" s="9" t="s">
        <v>1344</v>
      </c>
      <c r="S121" s="9" t="s">
        <v>1459</v>
      </c>
    </row>
    <row r="122" spans="2:19" x14ac:dyDescent="0.35">
      <c r="B122" s="18" t="s">
        <v>800</v>
      </c>
      <c r="C122" s="9" t="s">
        <v>803</v>
      </c>
      <c r="D122" s="9" t="s">
        <v>799</v>
      </c>
      <c r="E122" s="9" t="s">
        <v>39</v>
      </c>
      <c r="F122" s="17">
        <v>7.7399999999999997E-2</v>
      </c>
      <c r="G122" s="17"/>
      <c r="H122" s="17"/>
      <c r="I122" s="17"/>
      <c r="J122" s="17">
        <v>7.7399999999999997E-2</v>
      </c>
      <c r="K122" s="9" t="s">
        <v>1343</v>
      </c>
      <c r="L122" s="9" t="s">
        <v>804</v>
      </c>
      <c r="M122" s="9">
        <v>2022</v>
      </c>
      <c r="N122" s="9" t="s">
        <v>592</v>
      </c>
      <c r="O122" s="10" t="s">
        <v>593</v>
      </c>
      <c r="P122" s="9" t="s">
        <v>594</v>
      </c>
      <c r="Q122" s="9" t="s">
        <v>264</v>
      </c>
      <c r="R122" s="9" t="s">
        <v>1344</v>
      </c>
      <c r="S122" s="9" t="s">
        <v>1460</v>
      </c>
    </row>
    <row r="123" spans="2:19" x14ac:dyDescent="0.35">
      <c r="B123" s="18" t="s">
        <v>800</v>
      </c>
      <c r="C123" s="9" t="s">
        <v>803</v>
      </c>
      <c r="D123" s="9" t="s">
        <v>799</v>
      </c>
      <c r="E123" s="9" t="s">
        <v>39</v>
      </c>
      <c r="F123" s="17">
        <v>8.77E-2</v>
      </c>
      <c r="G123" s="17"/>
      <c r="H123" s="17"/>
      <c r="I123" s="17"/>
      <c r="J123" s="17">
        <v>8.77E-2</v>
      </c>
      <c r="K123" s="9" t="s">
        <v>1343</v>
      </c>
      <c r="L123" s="9" t="s">
        <v>804</v>
      </c>
      <c r="M123" s="9">
        <v>2023</v>
      </c>
      <c r="N123" s="9" t="s">
        <v>592</v>
      </c>
      <c r="O123" s="10" t="s">
        <v>593</v>
      </c>
      <c r="P123" s="9" t="s">
        <v>594</v>
      </c>
      <c r="Q123" s="9" t="s">
        <v>264</v>
      </c>
      <c r="R123" s="9" t="s">
        <v>1344</v>
      </c>
      <c r="S123" s="9" t="s">
        <v>1461</v>
      </c>
    </row>
    <row r="124" spans="2:19" x14ac:dyDescent="0.35">
      <c r="B124" s="18" t="s">
        <v>258</v>
      </c>
      <c r="C124" s="9" t="s">
        <v>259</v>
      </c>
      <c r="D124" s="9" t="s">
        <v>799</v>
      </c>
      <c r="E124" s="9" t="s">
        <v>39</v>
      </c>
      <c r="F124" s="17">
        <v>0.68</v>
      </c>
      <c r="G124" s="17">
        <v>0.67710000000000004</v>
      </c>
      <c r="H124" s="17">
        <v>2.0000000000000001E-4</v>
      </c>
      <c r="I124" s="17">
        <v>2.7000000000000001E-3</v>
      </c>
      <c r="J124" s="17">
        <v>0</v>
      </c>
      <c r="K124" s="9" t="s">
        <v>1343</v>
      </c>
      <c r="L124" s="9" t="s">
        <v>260</v>
      </c>
      <c r="M124" s="9">
        <v>2023</v>
      </c>
      <c r="N124" s="9" t="s">
        <v>508</v>
      </c>
      <c r="O124" s="10" t="s">
        <v>509</v>
      </c>
      <c r="P124" s="9" t="s">
        <v>510</v>
      </c>
      <c r="Q124" s="9" t="s">
        <v>264</v>
      </c>
      <c r="R124" s="9" t="s">
        <v>1344</v>
      </c>
      <c r="S124" s="9" t="s">
        <v>1462</v>
      </c>
    </row>
    <row r="125" spans="2:19" x14ac:dyDescent="0.35">
      <c r="B125" s="18" t="s">
        <v>258</v>
      </c>
      <c r="C125" s="9" t="s">
        <v>259</v>
      </c>
      <c r="D125" s="9" t="s">
        <v>799</v>
      </c>
      <c r="E125" s="9" t="s">
        <v>39</v>
      </c>
      <c r="F125" s="17">
        <v>0.74</v>
      </c>
      <c r="G125" s="17">
        <v>0.73709999999999998</v>
      </c>
      <c r="H125" s="17">
        <v>2.0000000000000001E-4</v>
      </c>
      <c r="I125" s="17">
        <v>2.7000000000000001E-3</v>
      </c>
      <c r="J125" s="17">
        <v>0</v>
      </c>
      <c r="K125" s="9" t="s">
        <v>1343</v>
      </c>
      <c r="L125" s="9" t="s">
        <v>260</v>
      </c>
      <c r="M125" s="9">
        <v>2024</v>
      </c>
      <c r="N125" s="9" t="s">
        <v>508</v>
      </c>
      <c r="O125" s="10" t="s">
        <v>509</v>
      </c>
      <c r="P125" s="9" t="s">
        <v>510</v>
      </c>
      <c r="Q125" s="9" t="s">
        <v>264</v>
      </c>
      <c r="R125" s="9" t="s">
        <v>1344</v>
      </c>
      <c r="S125" s="9" t="s">
        <v>1463</v>
      </c>
    </row>
    <row r="126" spans="2:19" x14ac:dyDescent="0.35">
      <c r="B126" s="18" t="s">
        <v>258</v>
      </c>
      <c r="C126" s="9" t="s">
        <v>259</v>
      </c>
      <c r="D126" s="9" t="s">
        <v>799</v>
      </c>
      <c r="E126" s="9" t="s">
        <v>39</v>
      </c>
      <c r="F126" s="17">
        <v>0.78410000000000002</v>
      </c>
      <c r="G126" s="17">
        <v>0.78080000000000005</v>
      </c>
      <c r="H126" s="17">
        <v>2.0000000000000001E-4</v>
      </c>
      <c r="I126" s="17">
        <v>3.0999999999999999E-3</v>
      </c>
      <c r="J126" s="17">
        <v>0</v>
      </c>
      <c r="K126" s="9" t="s">
        <v>1343</v>
      </c>
      <c r="L126" s="9" t="s">
        <v>260</v>
      </c>
      <c r="M126" s="9">
        <v>2022</v>
      </c>
      <c r="N126" s="9" t="s">
        <v>508</v>
      </c>
      <c r="O126" s="10" t="s">
        <v>509</v>
      </c>
      <c r="P126" s="9" t="s">
        <v>510</v>
      </c>
      <c r="Q126" s="9" t="s">
        <v>264</v>
      </c>
      <c r="R126" s="9" t="s">
        <v>1344</v>
      </c>
      <c r="S126" s="9" t="s">
        <v>1464</v>
      </c>
    </row>
    <row r="127" spans="2:19" x14ac:dyDescent="0.35">
      <c r="B127" s="18" t="s">
        <v>800</v>
      </c>
      <c r="C127" s="9" t="s">
        <v>801</v>
      </c>
      <c r="D127" s="9" t="s">
        <v>799</v>
      </c>
      <c r="E127" s="9" t="s">
        <v>39</v>
      </c>
      <c r="F127" s="17">
        <v>4.8899999999999999E-2</v>
      </c>
      <c r="G127" s="17"/>
      <c r="H127" s="17"/>
      <c r="I127" s="17"/>
      <c r="J127" s="17">
        <v>4.8899999999999999E-2</v>
      </c>
      <c r="K127" s="9" t="s">
        <v>1343</v>
      </c>
      <c r="L127" s="9" t="s">
        <v>802</v>
      </c>
      <c r="M127" s="9">
        <v>2023</v>
      </c>
      <c r="N127" s="9" t="s">
        <v>508</v>
      </c>
      <c r="O127" s="10" t="s">
        <v>509</v>
      </c>
      <c r="P127" s="9" t="s">
        <v>510</v>
      </c>
      <c r="Q127" s="9" t="s">
        <v>264</v>
      </c>
      <c r="R127" s="9" t="s">
        <v>1344</v>
      </c>
      <c r="S127" s="9" t="s">
        <v>1465</v>
      </c>
    </row>
    <row r="128" spans="2:19" x14ac:dyDescent="0.35">
      <c r="B128" s="18" t="s">
        <v>800</v>
      </c>
      <c r="C128" s="9" t="s">
        <v>801</v>
      </c>
      <c r="D128" s="9" t="s">
        <v>799</v>
      </c>
      <c r="E128" s="9" t="s">
        <v>39</v>
      </c>
      <c r="F128" s="17">
        <v>5.9700000000000003E-2</v>
      </c>
      <c r="G128" s="17"/>
      <c r="H128" s="17"/>
      <c r="I128" s="17"/>
      <c r="J128" s="17">
        <v>5.9700000000000003E-2</v>
      </c>
      <c r="K128" s="9" t="s">
        <v>1343</v>
      </c>
      <c r="L128" s="9" t="s">
        <v>802</v>
      </c>
      <c r="M128" s="9">
        <v>2022</v>
      </c>
      <c r="N128" s="9" t="s">
        <v>508</v>
      </c>
      <c r="O128" s="10" t="s">
        <v>509</v>
      </c>
      <c r="P128" s="9" t="s">
        <v>510</v>
      </c>
      <c r="Q128" s="9" t="s">
        <v>264</v>
      </c>
      <c r="R128" s="9" t="s">
        <v>1344</v>
      </c>
      <c r="S128" s="9" t="s">
        <v>1466</v>
      </c>
    </row>
    <row r="129" spans="2:19" x14ac:dyDescent="0.35">
      <c r="B129" s="18" t="s">
        <v>800</v>
      </c>
      <c r="C129" s="9" t="s">
        <v>803</v>
      </c>
      <c r="D129" s="9" t="s">
        <v>799</v>
      </c>
      <c r="E129" s="9" t="s">
        <v>39</v>
      </c>
      <c r="F129" s="17">
        <v>9.6199999999999994E-2</v>
      </c>
      <c r="G129" s="17"/>
      <c r="H129" s="17"/>
      <c r="I129" s="17"/>
      <c r="J129" s="17">
        <v>9.6199999999999994E-2</v>
      </c>
      <c r="K129" s="9" t="s">
        <v>1343</v>
      </c>
      <c r="L129" s="9" t="s">
        <v>804</v>
      </c>
      <c r="M129" s="9">
        <v>2023</v>
      </c>
      <c r="N129" s="9" t="s">
        <v>508</v>
      </c>
      <c r="O129" s="10" t="s">
        <v>509</v>
      </c>
      <c r="P129" s="9" t="s">
        <v>510</v>
      </c>
      <c r="Q129" s="9" t="s">
        <v>264</v>
      </c>
      <c r="R129" s="9" t="s">
        <v>1344</v>
      </c>
      <c r="S129" s="9" t="s">
        <v>1467</v>
      </c>
    </row>
    <row r="130" spans="2:19" x14ac:dyDescent="0.35">
      <c r="B130" s="18" t="s">
        <v>800</v>
      </c>
      <c r="C130" s="9" t="s">
        <v>803</v>
      </c>
      <c r="D130" s="9" t="s">
        <v>799</v>
      </c>
      <c r="E130" s="9" t="s">
        <v>39</v>
      </c>
      <c r="F130" s="17">
        <v>0.1036</v>
      </c>
      <c r="G130" s="17"/>
      <c r="H130" s="17"/>
      <c r="I130" s="17"/>
      <c r="J130" s="17">
        <v>0.1036</v>
      </c>
      <c r="K130" s="9" t="s">
        <v>1343</v>
      </c>
      <c r="L130" s="9" t="s">
        <v>804</v>
      </c>
      <c r="M130" s="9">
        <v>2024</v>
      </c>
      <c r="N130" s="9" t="s">
        <v>508</v>
      </c>
      <c r="O130" s="10" t="s">
        <v>509</v>
      </c>
      <c r="P130" s="9" t="s">
        <v>510</v>
      </c>
      <c r="Q130" s="9" t="s">
        <v>264</v>
      </c>
      <c r="R130" s="9" t="s">
        <v>1344</v>
      </c>
      <c r="S130" s="9" t="s">
        <v>1468</v>
      </c>
    </row>
    <row r="131" spans="2:19" x14ac:dyDescent="0.35">
      <c r="B131" s="18" t="s">
        <v>800</v>
      </c>
      <c r="C131" s="9" t="s">
        <v>803</v>
      </c>
      <c r="D131" s="9" t="s">
        <v>799</v>
      </c>
      <c r="E131" s="9" t="s">
        <v>39</v>
      </c>
      <c r="F131" s="17">
        <v>0.11360000000000001</v>
      </c>
      <c r="G131" s="17"/>
      <c r="H131" s="17"/>
      <c r="I131" s="17"/>
      <c r="J131" s="17">
        <v>0.11360000000000001</v>
      </c>
      <c r="K131" s="9" t="s">
        <v>1343</v>
      </c>
      <c r="L131" s="9" t="s">
        <v>804</v>
      </c>
      <c r="M131" s="9">
        <v>2022</v>
      </c>
      <c r="N131" s="9" t="s">
        <v>508</v>
      </c>
      <c r="O131" s="10" t="s">
        <v>509</v>
      </c>
      <c r="P131" s="9" t="s">
        <v>510</v>
      </c>
      <c r="Q131" s="9" t="s">
        <v>264</v>
      </c>
      <c r="R131" s="9" t="s">
        <v>1344</v>
      </c>
      <c r="S131" s="9" t="s">
        <v>1469</v>
      </c>
    </row>
    <row r="132" spans="2:19" x14ac:dyDescent="0.35">
      <c r="B132" s="18" t="s">
        <v>258</v>
      </c>
      <c r="C132" s="9" t="s">
        <v>259</v>
      </c>
      <c r="D132" s="9" t="s">
        <v>799</v>
      </c>
      <c r="E132" s="9" t="s">
        <v>39</v>
      </c>
      <c r="F132" s="17">
        <v>1.3306</v>
      </c>
      <c r="G132" s="17">
        <v>1.3246</v>
      </c>
      <c r="H132" s="17">
        <v>4.0000000000000002E-4</v>
      </c>
      <c r="I132" s="17">
        <v>5.5999999999999999E-3</v>
      </c>
      <c r="J132" s="17">
        <v>0</v>
      </c>
      <c r="K132" s="9" t="s">
        <v>1343</v>
      </c>
      <c r="L132" s="9" t="s">
        <v>260</v>
      </c>
      <c r="M132" s="9">
        <v>2024</v>
      </c>
      <c r="N132" s="9" t="s">
        <v>682</v>
      </c>
      <c r="O132" s="10" t="s">
        <v>683</v>
      </c>
      <c r="P132" s="9" t="s">
        <v>684</v>
      </c>
      <c r="Q132" s="9" t="s">
        <v>264</v>
      </c>
      <c r="R132" s="9" t="s">
        <v>1344</v>
      </c>
      <c r="S132" s="9" t="s">
        <v>1470</v>
      </c>
    </row>
    <row r="133" spans="2:19" x14ac:dyDescent="0.35">
      <c r="B133" s="18" t="s">
        <v>258</v>
      </c>
      <c r="C133" s="9" t="s">
        <v>259</v>
      </c>
      <c r="D133" s="9" t="s">
        <v>799</v>
      </c>
      <c r="E133" s="9" t="s">
        <v>39</v>
      </c>
      <c r="F133" s="17">
        <v>1.3325</v>
      </c>
      <c r="G133" s="17">
        <v>1.3265</v>
      </c>
      <c r="H133" s="17">
        <v>4.0000000000000002E-4</v>
      </c>
      <c r="I133" s="17">
        <v>5.5999999999999999E-3</v>
      </c>
      <c r="J133" s="17">
        <v>0</v>
      </c>
      <c r="K133" s="9" t="s">
        <v>1343</v>
      </c>
      <c r="L133" s="9" t="s">
        <v>260</v>
      </c>
      <c r="M133" s="9">
        <v>2023</v>
      </c>
      <c r="N133" s="9" t="s">
        <v>682</v>
      </c>
      <c r="O133" s="10" t="s">
        <v>683</v>
      </c>
      <c r="P133" s="9" t="s">
        <v>684</v>
      </c>
      <c r="Q133" s="9" t="s">
        <v>264</v>
      </c>
      <c r="R133" s="9" t="s">
        <v>1344</v>
      </c>
      <c r="S133" s="9" t="s">
        <v>1471</v>
      </c>
    </row>
    <row r="134" spans="2:19" x14ac:dyDescent="0.35">
      <c r="B134" s="18" t="s">
        <v>258</v>
      </c>
      <c r="C134" s="9" t="s">
        <v>259</v>
      </c>
      <c r="D134" s="9" t="s">
        <v>799</v>
      </c>
      <c r="E134" s="9" t="s">
        <v>39</v>
      </c>
      <c r="F134" s="17">
        <v>1.3333999999999999</v>
      </c>
      <c r="G134" s="17">
        <v>1.3273999999999999</v>
      </c>
      <c r="H134" s="17">
        <v>4.0000000000000002E-4</v>
      </c>
      <c r="I134" s="17">
        <v>5.5999999999999999E-3</v>
      </c>
      <c r="J134" s="17">
        <v>0</v>
      </c>
      <c r="K134" s="9" t="s">
        <v>1343</v>
      </c>
      <c r="L134" s="9" t="s">
        <v>260</v>
      </c>
      <c r="M134" s="9">
        <v>2022</v>
      </c>
      <c r="N134" s="9" t="s">
        <v>682</v>
      </c>
      <c r="O134" s="10" t="s">
        <v>683</v>
      </c>
      <c r="P134" s="9" t="s">
        <v>684</v>
      </c>
      <c r="Q134" s="9" t="s">
        <v>264</v>
      </c>
      <c r="R134" s="9" t="s">
        <v>1344</v>
      </c>
      <c r="S134" s="9" t="s">
        <v>1472</v>
      </c>
    </row>
    <row r="135" spans="2:19" x14ac:dyDescent="0.35">
      <c r="B135" s="18" t="s">
        <v>800</v>
      </c>
      <c r="C135" s="9" t="s">
        <v>801</v>
      </c>
      <c r="D135" s="9" t="s">
        <v>799</v>
      </c>
      <c r="E135" s="9" t="s">
        <v>39</v>
      </c>
      <c r="F135" s="17">
        <v>0.2261</v>
      </c>
      <c r="G135" s="17"/>
      <c r="H135" s="17"/>
      <c r="I135" s="17"/>
      <c r="J135" s="17">
        <v>0.2261</v>
      </c>
      <c r="K135" s="9" t="s">
        <v>1343</v>
      </c>
      <c r="L135" s="9" t="s">
        <v>802</v>
      </c>
      <c r="M135" s="9">
        <v>2022</v>
      </c>
      <c r="N135" s="9" t="s">
        <v>682</v>
      </c>
      <c r="O135" s="10" t="s">
        <v>683</v>
      </c>
      <c r="P135" s="9" t="s">
        <v>684</v>
      </c>
      <c r="Q135" s="9" t="s">
        <v>264</v>
      </c>
      <c r="R135" s="9" t="s">
        <v>1344</v>
      </c>
      <c r="S135" s="9" t="s">
        <v>1473</v>
      </c>
    </row>
    <row r="136" spans="2:19" x14ac:dyDescent="0.35">
      <c r="B136" s="18" t="s">
        <v>800</v>
      </c>
      <c r="C136" s="9" t="s">
        <v>801</v>
      </c>
      <c r="D136" s="9" t="s">
        <v>799</v>
      </c>
      <c r="E136" s="9" t="s">
        <v>39</v>
      </c>
      <c r="F136" s="17">
        <v>0.23</v>
      </c>
      <c r="G136" s="17"/>
      <c r="H136" s="17"/>
      <c r="I136" s="17"/>
      <c r="J136" s="17">
        <v>0.23</v>
      </c>
      <c r="K136" s="9" t="s">
        <v>1343</v>
      </c>
      <c r="L136" s="9" t="s">
        <v>802</v>
      </c>
      <c r="M136" s="9">
        <v>2023</v>
      </c>
      <c r="N136" s="9" t="s">
        <v>682</v>
      </c>
      <c r="O136" s="10" t="s">
        <v>683</v>
      </c>
      <c r="P136" s="9" t="s">
        <v>684</v>
      </c>
      <c r="Q136" s="9" t="s">
        <v>264</v>
      </c>
      <c r="R136" s="9" t="s">
        <v>1344</v>
      </c>
      <c r="S136" s="9" t="s">
        <v>1474</v>
      </c>
    </row>
    <row r="137" spans="2:19" x14ac:dyDescent="0.35">
      <c r="B137" s="18" t="s">
        <v>800</v>
      </c>
      <c r="C137" s="9" t="s">
        <v>803</v>
      </c>
      <c r="D137" s="9" t="s">
        <v>799</v>
      </c>
      <c r="E137" s="9" t="s">
        <v>39</v>
      </c>
      <c r="F137" s="17">
        <v>0.18529999999999999</v>
      </c>
      <c r="G137" s="17"/>
      <c r="H137" s="17"/>
      <c r="I137" s="17"/>
      <c r="J137" s="17">
        <v>0.18529999999999999</v>
      </c>
      <c r="K137" s="9" t="s">
        <v>1343</v>
      </c>
      <c r="L137" s="9" t="s">
        <v>804</v>
      </c>
      <c r="M137" s="9">
        <v>2023</v>
      </c>
      <c r="N137" s="9" t="s">
        <v>682</v>
      </c>
      <c r="O137" s="10" t="s">
        <v>683</v>
      </c>
      <c r="P137" s="9" t="s">
        <v>684</v>
      </c>
      <c r="Q137" s="9" t="s">
        <v>264</v>
      </c>
      <c r="R137" s="9" t="s">
        <v>1344</v>
      </c>
      <c r="S137" s="9" t="s">
        <v>1475</v>
      </c>
    </row>
    <row r="138" spans="2:19" x14ac:dyDescent="0.35">
      <c r="B138" s="18" t="s">
        <v>800</v>
      </c>
      <c r="C138" s="9" t="s">
        <v>803</v>
      </c>
      <c r="D138" s="9" t="s">
        <v>799</v>
      </c>
      <c r="E138" s="9" t="s">
        <v>39</v>
      </c>
      <c r="F138" s="17">
        <v>0.18579999999999999</v>
      </c>
      <c r="G138" s="17"/>
      <c r="H138" s="17"/>
      <c r="I138" s="17"/>
      <c r="J138" s="17">
        <v>0.18579999999999999</v>
      </c>
      <c r="K138" s="9" t="s">
        <v>1343</v>
      </c>
      <c r="L138" s="9" t="s">
        <v>804</v>
      </c>
      <c r="M138" s="9">
        <v>2022</v>
      </c>
      <c r="N138" s="9" t="s">
        <v>682</v>
      </c>
      <c r="O138" s="10" t="s">
        <v>683</v>
      </c>
      <c r="P138" s="9" t="s">
        <v>684</v>
      </c>
      <c r="Q138" s="9" t="s">
        <v>264</v>
      </c>
      <c r="R138" s="9" t="s">
        <v>1344</v>
      </c>
      <c r="S138" s="9" t="s">
        <v>1476</v>
      </c>
    </row>
    <row r="139" spans="2:19" x14ac:dyDescent="0.35">
      <c r="B139" s="18" t="s">
        <v>800</v>
      </c>
      <c r="C139" s="9" t="s">
        <v>803</v>
      </c>
      <c r="D139" s="9" t="s">
        <v>799</v>
      </c>
      <c r="E139" s="9" t="s">
        <v>39</v>
      </c>
      <c r="F139" s="17">
        <v>0.18579999999999999</v>
      </c>
      <c r="G139" s="17"/>
      <c r="H139" s="17"/>
      <c r="I139" s="17"/>
      <c r="J139" s="17">
        <v>0.18579999999999999</v>
      </c>
      <c r="K139" s="9" t="s">
        <v>1343</v>
      </c>
      <c r="L139" s="9" t="s">
        <v>804</v>
      </c>
      <c r="M139" s="9">
        <v>2024</v>
      </c>
      <c r="N139" s="9" t="s">
        <v>682</v>
      </c>
      <c r="O139" s="10" t="s">
        <v>683</v>
      </c>
      <c r="P139" s="9" t="s">
        <v>684</v>
      </c>
      <c r="Q139" s="9" t="s">
        <v>264</v>
      </c>
      <c r="R139" s="9" t="s">
        <v>1344</v>
      </c>
      <c r="S139" s="9" t="s">
        <v>1477</v>
      </c>
    </row>
    <row r="140" spans="2:19" x14ac:dyDescent="0.35">
      <c r="B140" s="18" t="s">
        <v>258</v>
      </c>
      <c r="C140" s="9" t="s">
        <v>259</v>
      </c>
      <c r="D140" s="9" t="s">
        <v>799</v>
      </c>
      <c r="E140" s="9" t="s">
        <v>39</v>
      </c>
      <c r="F140" s="17">
        <v>6.59E-2</v>
      </c>
      <c r="G140" s="17">
        <v>6.5799999999999997E-2</v>
      </c>
      <c r="H140" s="17"/>
      <c r="I140" s="17">
        <v>1E-4</v>
      </c>
      <c r="J140" s="17">
        <v>0</v>
      </c>
      <c r="K140" s="9" t="s">
        <v>1343</v>
      </c>
      <c r="L140" s="9" t="s">
        <v>260</v>
      </c>
      <c r="M140" s="9">
        <v>2023</v>
      </c>
      <c r="N140" s="9" t="s">
        <v>356</v>
      </c>
      <c r="O140" s="10" t="s">
        <v>357</v>
      </c>
      <c r="P140" s="9" t="s">
        <v>358</v>
      </c>
      <c r="Q140" s="9" t="s">
        <v>264</v>
      </c>
      <c r="R140" s="9" t="s">
        <v>1344</v>
      </c>
      <c r="S140" s="9" t="s">
        <v>1478</v>
      </c>
    </row>
    <row r="141" spans="2:19" x14ac:dyDescent="0.35">
      <c r="B141" s="18" t="s">
        <v>258</v>
      </c>
      <c r="C141" s="9" t="s">
        <v>259</v>
      </c>
      <c r="D141" s="9" t="s">
        <v>799</v>
      </c>
      <c r="E141" s="9" t="s">
        <v>39</v>
      </c>
      <c r="F141" s="17">
        <v>6.88E-2</v>
      </c>
      <c r="G141" s="17">
        <v>6.8699999999999997E-2</v>
      </c>
      <c r="H141" s="17"/>
      <c r="I141" s="17">
        <v>1E-4</v>
      </c>
      <c r="J141" s="17">
        <v>0</v>
      </c>
      <c r="K141" s="9" t="s">
        <v>1343</v>
      </c>
      <c r="L141" s="9" t="s">
        <v>260</v>
      </c>
      <c r="M141" s="9">
        <v>2024</v>
      </c>
      <c r="N141" s="9" t="s">
        <v>356</v>
      </c>
      <c r="O141" s="10" t="s">
        <v>357</v>
      </c>
      <c r="P141" s="9" t="s">
        <v>358</v>
      </c>
      <c r="Q141" s="9" t="s">
        <v>264</v>
      </c>
      <c r="R141" s="9" t="s">
        <v>1344</v>
      </c>
      <c r="S141" s="9" t="s">
        <v>1479</v>
      </c>
    </row>
    <row r="142" spans="2:19" x14ac:dyDescent="0.35">
      <c r="B142" s="18" t="s">
        <v>258</v>
      </c>
      <c r="C142" s="9" t="s">
        <v>259</v>
      </c>
      <c r="D142" s="9" t="s">
        <v>799</v>
      </c>
      <c r="E142" s="9" t="s">
        <v>39</v>
      </c>
      <c r="F142" s="17">
        <v>7.4700000000000003E-2</v>
      </c>
      <c r="G142" s="17">
        <v>7.4499999999999997E-2</v>
      </c>
      <c r="H142" s="17">
        <v>1E-4</v>
      </c>
      <c r="I142" s="17">
        <v>1E-4</v>
      </c>
      <c r="J142" s="17">
        <v>0</v>
      </c>
      <c r="K142" s="9" t="s">
        <v>1343</v>
      </c>
      <c r="L142" s="9" t="s">
        <v>260</v>
      </c>
      <c r="M142" s="9">
        <v>2022</v>
      </c>
      <c r="N142" s="9" t="s">
        <v>356</v>
      </c>
      <c r="O142" s="10" t="s">
        <v>357</v>
      </c>
      <c r="P142" s="9" t="s">
        <v>358</v>
      </c>
      <c r="Q142" s="9" t="s">
        <v>264</v>
      </c>
      <c r="R142" s="9" t="s">
        <v>1344</v>
      </c>
      <c r="S142" s="9" t="s">
        <v>1480</v>
      </c>
    </row>
    <row r="143" spans="2:19" x14ac:dyDescent="0.35">
      <c r="B143" s="18" t="s">
        <v>800</v>
      </c>
      <c r="C143" s="9" t="s">
        <v>801</v>
      </c>
      <c r="D143" s="9" t="s">
        <v>799</v>
      </c>
      <c r="E143" s="9" t="s">
        <v>39</v>
      </c>
      <c r="F143" s="17">
        <v>1.2800000000000001E-2</v>
      </c>
      <c r="G143" s="17"/>
      <c r="H143" s="17"/>
      <c r="I143" s="17"/>
      <c r="J143" s="17">
        <v>1.2800000000000001E-2</v>
      </c>
      <c r="K143" s="9" t="s">
        <v>1343</v>
      </c>
      <c r="L143" s="9" t="s">
        <v>802</v>
      </c>
      <c r="M143" s="9">
        <v>2023</v>
      </c>
      <c r="N143" s="9" t="s">
        <v>356</v>
      </c>
      <c r="O143" s="10" t="s">
        <v>357</v>
      </c>
      <c r="P143" s="9" t="s">
        <v>358</v>
      </c>
      <c r="Q143" s="9" t="s">
        <v>264</v>
      </c>
      <c r="R143" s="9" t="s">
        <v>1344</v>
      </c>
      <c r="S143" s="9" t="s">
        <v>1481</v>
      </c>
    </row>
    <row r="144" spans="2:19" x14ac:dyDescent="0.35">
      <c r="B144" s="18" t="s">
        <v>800</v>
      </c>
      <c r="C144" s="9" t="s">
        <v>801</v>
      </c>
      <c r="D144" s="9" t="s">
        <v>799</v>
      </c>
      <c r="E144" s="9" t="s">
        <v>39</v>
      </c>
      <c r="F144" s="17">
        <v>1.4500000000000001E-2</v>
      </c>
      <c r="G144" s="17"/>
      <c r="H144" s="17"/>
      <c r="I144" s="17"/>
      <c r="J144" s="17">
        <v>1.4500000000000001E-2</v>
      </c>
      <c r="K144" s="9" t="s">
        <v>1343</v>
      </c>
      <c r="L144" s="9" t="s">
        <v>802</v>
      </c>
      <c r="M144" s="9">
        <v>2022</v>
      </c>
      <c r="N144" s="9" t="s">
        <v>356</v>
      </c>
      <c r="O144" s="10" t="s">
        <v>357</v>
      </c>
      <c r="P144" s="9" t="s">
        <v>358</v>
      </c>
      <c r="Q144" s="9" t="s">
        <v>264</v>
      </c>
      <c r="R144" s="9" t="s">
        <v>1344</v>
      </c>
      <c r="S144" s="9" t="s">
        <v>1482</v>
      </c>
    </row>
    <row r="145" spans="2:19" x14ac:dyDescent="0.35">
      <c r="B145" s="18" t="s">
        <v>800</v>
      </c>
      <c r="C145" s="9" t="s">
        <v>803</v>
      </c>
      <c r="D145" s="9" t="s">
        <v>799</v>
      </c>
      <c r="E145" s="9" t="s">
        <v>39</v>
      </c>
      <c r="F145" s="17">
        <v>2.1000000000000001E-2</v>
      </c>
      <c r="G145" s="17"/>
      <c r="H145" s="17"/>
      <c r="I145" s="17"/>
      <c r="J145" s="17">
        <v>2.1000000000000001E-2</v>
      </c>
      <c r="K145" s="9" t="s">
        <v>1343</v>
      </c>
      <c r="L145" s="9" t="s">
        <v>804</v>
      </c>
      <c r="M145" s="9">
        <v>2023</v>
      </c>
      <c r="N145" s="9" t="s">
        <v>356</v>
      </c>
      <c r="O145" s="10" t="s">
        <v>357</v>
      </c>
      <c r="P145" s="9" t="s">
        <v>358</v>
      </c>
      <c r="Q145" s="9" t="s">
        <v>264</v>
      </c>
      <c r="R145" s="9" t="s">
        <v>1344</v>
      </c>
      <c r="S145" s="9" t="s">
        <v>1483</v>
      </c>
    </row>
    <row r="146" spans="2:19" x14ac:dyDescent="0.35">
      <c r="B146" s="18" t="s">
        <v>800</v>
      </c>
      <c r="C146" s="9" t="s">
        <v>803</v>
      </c>
      <c r="D146" s="9" t="s">
        <v>799</v>
      </c>
      <c r="E146" s="9" t="s">
        <v>39</v>
      </c>
      <c r="F146" s="17">
        <v>2.1499999999999998E-2</v>
      </c>
      <c r="G146" s="17"/>
      <c r="H146" s="17"/>
      <c r="I146" s="17"/>
      <c r="J146" s="17">
        <v>2.1499999999999998E-2</v>
      </c>
      <c r="K146" s="9" t="s">
        <v>1343</v>
      </c>
      <c r="L146" s="9" t="s">
        <v>804</v>
      </c>
      <c r="M146" s="9">
        <v>2022</v>
      </c>
      <c r="N146" s="9" t="s">
        <v>356</v>
      </c>
      <c r="O146" s="10" t="s">
        <v>357</v>
      </c>
      <c r="P146" s="9" t="s">
        <v>358</v>
      </c>
      <c r="Q146" s="9" t="s">
        <v>264</v>
      </c>
      <c r="R146" s="9" t="s">
        <v>1344</v>
      </c>
      <c r="S146" s="9" t="s">
        <v>1484</v>
      </c>
    </row>
    <row r="147" spans="2:19" x14ac:dyDescent="0.35">
      <c r="B147" s="18" t="s">
        <v>800</v>
      </c>
      <c r="C147" s="9" t="s">
        <v>803</v>
      </c>
      <c r="D147" s="9" t="s">
        <v>799</v>
      </c>
      <c r="E147" s="9" t="s">
        <v>39</v>
      </c>
      <c r="F147" s="17">
        <v>2.3E-2</v>
      </c>
      <c r="G147" s="17"/>
      <c r="H147" s="17"/>
      <c r="I147" s="17"/>
      <c r="J147" s="17">
        <v>2.3E-2</v>
      </c>
      <c r="K147" s="9" t="s">
        <v>1343</v>
      </c>
      <c r="L147" s="9" t="s">
        <v>804</v>
      </c>
      <c r="M147" s="9">
        <v>2024</v>
      </c>
      <c r="N147" s="9" t="s">
        <v>356</v>
      </c>
      <c r="O147" s="10" t="s">
        <v>357</v>
      </c>
      <c r="P147" s="9" t="s">
        <v>358</v>
      </c>
      <c r="Q147" s="9" t="s">
        <v>264</v>
      </c>
      <c r="R147" s="9" t="s">
        <v>1344</v>
      </c>
      <c r="S147" s="9" t="s">
        <v>1485</v>
      </c>
    </row>
    <row r="148" spans="2:19" x14ac:dyDescent="0.35">
      <c r="B148" s="18" t="s">
        <v>258</v>
      </c>
      <c r="C148" s="9" t="s">
        <v>259</v>
      </c>
      <c r="D148" s="9" t="s">
        <v>799</v>
      </c>
      <c r="E148" s="9" t="s">
        <v>39</v>
      </c>
      <c r="F148" s="17">
        <v>0.76139999999999997</v>
      </c>
      <c r="G148" s="17">
        <v>0.75980000000000003</v>
      </c>
      <c r="H148" s="17">
        <v>2.9999999999999997E-4</v>
      </c>
      <c r="I148" s="17">
        <v>1.2999999999999999E-3</v>
      </c>
      <c r="J148" s="17">
        <v>0</v>
      </c>
      <c r="K148" s="9" t="s">
        <v>1343</v>
      </c>
      <c r="L148" s="9" t="s">
        <v>260</v>
      </c>
      <c r="M148" s="9">
        <v>2023</v>
      </c>
      <c r="N148" s="9" t="s">
        <v>685</v>
      </c>
      <c r="O148" s="10" t="s">
        <v>686</v>
      </c>
      <c r="P148" s="9" t="s">
        <v>687</v>
      </c>
      <c r="Q148" s="9" t="s">
        <v>264</v>
      </c>
      <c r="R148" s="9" t="s">
        <v>1344</v>
      </c>
      <c r="S148" s="9" t="s">
        <v>1486</v>
      </c>
    </row>
    <row r="149" spans="2:19" x14ac:dyDescent="0.35">
      <c r="B149" s="18" t="s">
        <v>258</v>
      </c>
      <c r="C149" s="9" t="s">
        <v>259</v>
      </c>
      <c r="D149" s="9" t="s">
        <v>799</v>
      </c>
      <c r="E149" s="9" t="s">
        <v>39</v>
      </c>
      <c r="F149" s="17">
        <v>0.76680000000000004</v>
      </c>
      <c r="G149" s="17">
        <v>0.7651</v>
      </c>
      <c r="H149" s="17">
        <v>2.9999999999999997E-4</v>
      </c>
      <c r="I149" s="17">
        <v>1.4E-3</v>
      </c>
      <c r="J149" s="17">
        <v>0</v>
      </c>
      <c r="K149" s="9" t="s">
        <v>1343</v>
      </c>
      <c r="L149" s="9" t="s">
        <v>260</v>
      </c>
      <c r="M149" s="9">
        <v>2022</v>
      </c>
      <c r="N149" s="9" t="s">
        <v>685</v>
      </c>
      <c r="O149" s="10" t="s">
        <v>686</v>
      </c>
      <c r="P149" s="9" t="s">
        <v>687</v>
      </c>
      <c r="Q149" s="9" t="s">
        <v>264</v>
      </c>
      <c r="R149" s="9" t="s">
        <v>1344</v>
      </c>
      <c r="S149" s="9" t="s">
        <v>1487</v>
      </c>
    </row>
    <row r="150" spans="2:19" x14ac:dyDescent="0.35">
      <c r="B150" s="18" t="s">
        <v>800</v>
      </c>
      <c r="C150" s="9" t="s">
        <v>801</v>
      </c>
      <c r="D150" s="9" t="s">
        <v>799</v>
      </c>
      <c r="E150" s="9" t="s">
        <v>39</v>
      </c>
      <c r="F150" s="17">
        <v>8.48E-2</v>
      </c>
      <c r="G150" s="17"/>
      <c r="H150" s="17"/>
      <c r="I150" s="17"/>
      <c r="J150" s="17">
        <v>8.48E-2</v>
      </c>
      <c r="K150" s="9" t="s">
        <v>1343</v>
      </c>
      <c r="L150" s="9" t="s">
        <v>802</v>
      </c>
      <c r="M150" s="9">
        <v>2022</v>
      </c>
      <c r="N150" s="9" t="s">
        <v>685</v>
      </c>
      <c r="O150" s="10" t="s">
        <v>686</v>
      </c>
      <c r="P150" s="9" t="s">
        <v>687</v>
      </c>
      <c r="Q150" s="9" t="s">
        <v>264</v>
      </c>
      <c r="R150" s="9" t="s">
        <v>1344</v>
      </c>
      <c r="S150" s="9" t="s">
        <v>1488</v>
      </c>
    </row>
    <row r="151" spans="2:19" x14ac:dyDescent="0.35">
      <c r="B151" s="18" t="s">
        <v>800</v>
      </c>
      <c r="C151" s="9" t="s">
        <v>801</v>
      </c>
      <c r="D151" s="9" t="s">
        <v>799</v>
      </c>
      <c r="E151" s="9" t="s">
        <v>39</v>
      </c>
      <c r="F151" s="17">
        <v>0.11940000000000001</v>
      </c>
      <c r="G151" s="17"/>
      <c r="H151" s="17"/>
      <c r="I151" s="17"/>
      <c r="J151" s="17">
        <v>0.11940000000000001</v>
      </c>
      <c r="K151" s="9" t="s">
        <v>1343</v>
      </c>
      <c r="L151" s="9" t="s">
        <v>802</v>
      </c>
      <c r="M151" s="9">
        <v>2023</v>
      </c>
      <c r="N151" s="9" t="s">
        <v>685</v>
      </c>
      <c r="O151" s="10" t="s">
        <v>686</v>
      </c>
      <c r="P151" s="9" t="s">
        <v>687</v>
      </c>
      <c r="Q151" s="9" t="s">
        <v>264</v>
      </c>
      <c r="R151" s="9" t="s">
        <v>1344</v>
      </c>
      <c r="S151" s="9" t="s">
        <v>1489</v>
      </c>
    </row>
    <row r="152" spans="2:19" x14ac:dyDescent="0.35">
      <c r="B152" s="18" t="s">
        <v>800</v>
      </c>
      <c r="C152" s="9" t="s">
        <v>803</v>
      </c>
      <c r="D152" s="9" t="s">
        <v>799</v>
      </c>
      <c r="E152" s="9" t="s">
        <v>39</v>
      </c>
      <c r="F152" s="17">
        <v>0.15620000000000001</v>
      </c>
      <c r="G152" s="17"/>
      <c r="H152" s="17"/>
      <c r="I152" s="17"/>
      <c r="J152" s="17">
        <v>0.15620000000000001</v>
      </c>
      <c r="K152" s="9" t="s">
        <v>1343</v>
      </c>
      <c r="L152" s="9" t="s">
        <v>804</v>
      </c>
      <c r="M152" s="9">
        <v>2022</v>
      </c>
      <c r="N152" s="9" t="s">
        <v>685</v>
      </c>
      <c r="O152" s="10" t="s">
        <v>686</v>
      </c>
      <c r="P152" s="9" t="s">
        <v>687</v>
      </c>
      <c r="Q152" s="9" t="s">
        <v>264</v>
      </c>
      <c r="R152" s="9" t="s">
        <v>1344</v>
      </c>
      <c r="S152" s="9" t="s">
        <v>1490</v>
      </c>
    </row>
    <row r="153" spans="2:19" x14ac:dyDescent="0.35">
      <c r="B153" s="18" t="s">
        <v>800</v>
      </c>
      <c r="C153" s="9" t="s">
        <v>803</v>
      </c>
      <c r="D153" s="9" t="s">
        <v>799</v>
      </c>
      <c r="E153" s="9" t="s">
        <v>39</v>
      </c>
      <c r="F153" s="17">
        <v>0.15809999999999999</v>
      </c>
      <c r="G153" s="17"/>
      <c r="H153" s="17"/>
      <c r="I153" s="17"/>
      <c r="J153" s="17">
        <v>0.15809999999999999</v>
      </c>
      <c r="K153" s="9" t="s">
        <v>1343</v>
      </c>
      <c r="L153" s="9" t="s">
        <v>804</v>
      </c>
      <c r="M153" s="9">
        <v>2023</v>
      </c>
      <c r="N153" s="9" t="s">
        <v>685</v>
      </c>
      <c r="O153" s="10" t="s">
        <v>686</v>
      </c>
      <c r="P153" s="9" t="s">
        <v>687</v>
      </c>
      <c r="Q153" s="9" t="s">
        <v>264</v>
      </c>
      <c r="R153" s="9" t="s">
        <v>1344</v>
      </c>
      <c r="S153" s="9" t="s">
        <v>1491</v>
      </c>
    </row>
    <row r="154" spans="2:19" x14ac:dyDescent="0.35">
      <c r="B154" s="18" t="s">
        <v>258</v>
      </c>
      <c r="C154" s="9" t="s">
        <v>259</v>
      </c>
      <c r="D154" s="9" t="s">
        <v>799</v>
      </c>
      <c r="E154" s="9" t="s">
        <v>39</v>
      </c>
      <c r="F154" s="17">
        <v>0.26229999999999998</v>
      </c>
      <c r="G154" s="17">
        <v>0.26090000000000002</v>
      </c>
      <c r="H154" s="17">
        <v>1E-4</v>
      </c>
      <c r="I154" s="17">
        <v>1.2999999999999999E-3</v>
      </c>
      <c r="J154" s="17">
        <v>0</v>
      </c>
      <c r="K154" s="9" t="s">
        <v>1343</v>
      </c>
      <c r="L154" s="9" t="s">
        <v>260</v>
      </c>
      <c r="M154" s="9">
        <v>2024</v>
      </c>
      <c r="N154" s="9" t="s">
        <v>407</v>
      </c>
      <c r="O154" s="10" t="s">
        <v>408</v>
      </c>
      <c r="P154" s="9" t="s">
        <v>409</v>
      </c>
      <c r="Q154" s="9" t="s">
        <v>264</v>
      </c>
      <c r="R154" s="9" t="s">
        <v>1344</v>
      </c>
      <c r="S154" s="9" t="s">
        <v>1492</v>
      </c>
    </row>
    <row r="155" spans="2:19" x14ac:dyDescent="0.35">
      <c r="B155" s="18" t="s">
        <v>258</v>
      </c>
      <c r="C155" s="9" t="s">
        <v>259</v>
      </c>
      <c r="D155" s="9" t="s">
        <v>799</v>
      </c>
      <c r="E155" s="9" t="s">
        <v>39</v>
      </c>
      <c r="F155" s="17">
        <v>0.32500000000000001</v>
      </c>
      <c r="G155" s="17">
        <v>0.3236</v>
      </c>
      <c r="H155" s="17">
        <v>1E-4</v>
      </c>
      <c r="I155" s="17">
        <v>1.2999999999999999E-3</v>
      </c>
      <c r="J155" s="17">
        <v>0</v>
      </c>
      <c r="K155" s="9" t="s">
        <v>1343</v>
      </c>
      <c r="L155" s="9" t="s">
        <v>260</v>
      </c>
      <c r="M155" s="9">
        <v>2023</v>
      </c>
      <c r="N155" s="9" t="s">
        <v>407</v>
      </c>
      <c r="O155" s="10" t="s">
        <v>408</v>
      </c>
      <c r="P155" s="9" t="s">
        <v>409</v>
      </c>
      <c r="Q155" s="9" t="s">
        <v>264</v>
      </c>
      <c r="R155" s="9" t="s">
        <v>1344</v>
      </c>
      <c r="S155" s="9" t="s">
        <v>1493</v>
      </c>
    </row>
    <row r="156" spans="2:19" x14ac:dyDescent="0.35">
      <c r="B156" s="18" t="s">
        <v>258</v>
      </c>
      <c r="C156" s="9" t="s">
        <v>259</v>
      </c>
      <c r="D156" s="9" t="s">
        <v>799</v>
      </c>
      <c r="E156" s="9" t="s">
        <v>39</v>
      </c>
      <c r="F156" s="17">
        <v>0.4783</v>
      </c>
      <c r="G156" s="17">
        <v>0.47620000000000001</v>
      </c>
      <c r="H156" s="17">
        <v>2.0000000000000001E-4</v>
      </c>
      <c r="I156" s="17">
        <v>1.9E-3</v>
      </c>
      <c r="J156" s="17">
        <v>0</v>
      </c>
      <c r="K156" s="9" t="s">
        <v>1343</v>
      </c>
      <c r="L156" s="9" t="s">
        <v>260</v>
      </c>
      <c r="M156" s="9">
        <v>2022</v>
      </c>
      <c r="N156" s="9" t="s">
        <v>407</v>
      </c>
      <c r="O156" s="10" t="s">
        <v>408</v>
      </c>
      <c r="P156" s="9" t="s">
        <v>409</v>
      </c>
      <c r="Q156" s="9" t="s">
        <v>264</v>
      </c>
      <c r="R156" s="9" t="s">
        <v>1344</v>
      </c>
      <c r="S156" s="9" t="s">
        <v>1494</v>
      </c>
    </row>
    <row r="157" spans="2:19" x14ac:dyDescent="0.35">
      <c r="B157" s="18" t="s">
        <v>800</v>
      </c>
      <c r="C157" s="9" t="s">
        <v>801</v>
      </c>
      <c r="D157" s="9" t="s">
        <v>799</v>
      </c>
      <c r="E157" s="9" t="s">
        <v>39</v>
      </c>
      <c r="F157" s="17">
        <v>2.2499999999999999E-2</v>
      </c>
      <c r="G157" s="17"/>
      <c r="H157" s="17"/>
      <c r="I157" s="17"/>
      <c r="J157" s="17">
        <v>2.2499999999999999E-2</v>
      </c>
      <c r="K157" s="9" t="s">
        <v>1343</v>
      </c>
      <c r="L157" s="9" t="s">
        <v>802</v>
      </c>
      <c r="M157" s="9">
        <v>2023</v>
      </c>
      <c r="N157" s="9" t="s">
        <v>407</v>
      </c>
      <c r="O157" s="10" t="s">
        <v>408</v>
      </c>
      <c r="P157" s="9" t="s">
        <v>409</v>
      </c>
      <c r="Q157" s="9" t="s">
        <v>264</v>
      </c>
      <c r="R157" s="9" t="s">
        <v>1344</v>
      </c>
      <c r="S157" s="9" t="s">
        <v>1495</v>
      </c>
    </row>
    <row r="158" spans="2:19" x14ac:dyDescent="0.35">
      <c r="B158" s="18" t="s">
        <v>800</v>
      </c>
      <c r="C158" s="9" t="s">
        <v>801</v>
      </c>
      <c r="D158" s="9" t="s">
        <v>799</v>
      </c>
      <c r="E158" s="9" t="s">
        <v>39</v>
      </c>
      <c r="F158" s="17">
        <v>3.0200000000000001E-2</v>
      </c>
      <c r="G158" s="17"/>
      <c r="H158" s="17"/>
      <c r="I158" s="17"/>
      <c r="J158" s="17">
        <v>3.0200000000000001E-2</v>
      </c>
      <c r="K158" s="9" t="s">
        <v>1343</v>
      </c>
      <c r="L158" s="9" t="s">
        <v>802</v>
      </c>
      <c r="M158" s="9">
        <v>2022</v>
      </c>
      <c r="N158" s="9" t="s">
        <v>407</v>
      </c>
      <c r="O158" s="10" t="s">
        <v>408</v>
      </c>
      <c r="P158" s="9" t="s">
        <v>409</v>
      </c>
      <c r="Q158" s="9" t="s">
        <v>264</v>
      </c>
      <c r="R158" s="9" t="s">
        <v>1344</v>
      </c>
      <c r="S158" s="9" t="s">
        <v>1496</v>
      </c>
    </row>
    <row r="159" spans="2:19" x14ac:dyDescent="0.35">
      <c r="B159" s="18" t="s">
        <v>800</v>
      </c>
      <c r="C159" s="9" t="s">
        <v>803</v>
      </c>
      <c r="D159" s="9" t="s">
        <v>799</v>
      </c>
      <c r="E159" s="9" t="s">
        <v>39</v>
      </c>
      <c r="F159" s="17">
        <v>5.8999999999999997E-2</v>
      </c>
      <c r="G159" s="17"/>
      <c r="H159" s="17"/>
      <c r="I159" s="17"/>
      <c r="J159" s="17">
        <v>5.8999999999999997E-2</v>
      </c>
      <c r="K159" s="9" t="s">
        <v>1343</v>
      </c>
      <c r="L159" s="9" t="s">
        <v>804</v>
      </c>
      <c r="M159" s="9">
        <v>2024</v>
      </c>
      <c r="N159" s="9" t="s">
        <v>407</v>
      </c>
      <c r="O159" s="10" t="s">
        <v>408</v>
      </c>
      <c r="P159" s="9" t="s">
        <v>409</v>
      </c>
      <c r="Q159" s="9" t="s">
        <v>264</v>
      </c>
      <c r="R159" s="9" t="s">
        <v>1344</v>
      </c>
      <c r="S159" s="9" t="s">
        <v>1497</v>
      </c>
    </row>
    <row r="160" spans="2:19" x14ac:dyDescent="0.35">
      <c r="B160" s="18" t="s">
        <v>800</v>
      </c>
      <c r="C160" s="9" t="s">
        <v>803</v>
      </c>
      <c r="D160" s="9" t="s">
        <v>799</v>
      </c>
      <c r="E160" s="9" t="s">
        <v>39</v>
      </c>
      <c r="F160" s="17">
        <v>6.8000000000000005E-2</v>
      </c>
      <c r="G160" s="17"/>
      <c r="H160" s="17"/>
      <c r="I160" s="17"/>
      <c r="J160" s="17">
        <v>6.8000000000000005E-2</v>
      </c>
      <c r="K160" s="9" t="s">
        <v>1343</v>
      </c>
      <c r="L160" s="9" t="s">
        <v>804</v>
      </c>
      <c r="M160" s="9">
        <v>2023</v>
      </c>
      <c r="N160" s="9" t="s">
        <v>407</v>
      </c>
      <c r="O160" s="10" t="s">
        <v>408</v>
      </c>
      <c r="P160" s="9" t="s">
        <v>409</v>
      </c>
      <c r="Q160" s="9" t="s">
        <v>264</v>
      </c>
      <c r="R160" s="9" t="s">
        <v>1344</v>
      </c>
      <c r="S160" s="9" t="s">
        <v>1498</v>
      </c>
    </row>
    <row r="161" spans="2:19" x14ac:dyDescent="0.35">
      <c r="B161" s="18" t="s">
        <v>800</v>
      </c>
      <c r="C161" s="9" t="s">
        <v>803</v>
      </c>
      <c r="D161" s="9" t="s">
        <v>799</v>
      </c>
      <c r="E161" s="9" t="s">
        <v>39</v>
      </c>
      <c r="F161" s="17">
        <v>9.11E-2</v>
      </c>
      <c r="G161" s="17"/>
      <c r="H161" s="17"/>
      <c r="I161" s="17"/>
      <c r="J161" s="17">
        <v>9.11E-2</v>
      </c>
      <c r="K161" s="9" t="s">
        <v>1343</v>
      </c>
      <c r="L161" s="9" t="s">
        <v>804</v>
      </c>
      <c r="M161" s="9">
        <v>2022</v>
      </c>
      <c r="N161" s="9" t="s">
        <v>407</v>
      </c>
      <c r="O161" s="10" t="s">
        <v>408</v>
      </c>
      <c r="P161" s="9" t="s">
        <v>409</v>
      </c>
      <c r="Q161" s="9" t="s">
        <v>264</v>
      </c>
      <c r="R161" s="9" t="s">
        <v>1344</v>
      </c>
      <c r="S161" s="9" t="s">
        <v>1499</v>
      </c>
    </row>
    <row r="162" spans="2:19" x14ac:dyDescent="0.35">
      <c r="B162" s="18" t="s">
        <v>258</v>
      </c>
      <c r="C162" s="9" t="s">
        <v>259</v>
      </c>
      <c r="D162" s="9" t="s">
        <v>799</v>
      </c>
      <c r="E162" s="9" t="s">
        <v>39</v>
      </c>
      <c r="F162" s="17">
        <v>0.57879999999999998</v>
      </c>
      <c r="G162" s="17">
        <v>0.57589999999999997</v>
      </c>
      <c r="H162" s="17">
        <v>1.1000000000000001E-3</v>
      </c>
      <c r="I162" s="17">
        <v>1.8E-3</v>
      </c>
      <c r="J162" s="17">
        <v>0</v>
      </c>
      <c r="K162" s="9" t="s">
        <v>1343</v>
      </c>
      <c r="L162" s="9" t="s">
        <v>260</v>
      </c>
      <c r="M162" s="9">
        <v>2023</v>
      </c>
      <c r="N162" s="9" t="s">
        <v>471</v>
      </c>
      <c r="O162" s="10" t="s">
        <v>472</v>
      </c>
      <c r="P162" s="9" t="s">
        <v>473</v>
      </c>
      <c r="Q162" s="9" t="s">
        <v>264</v>
      </c>
      <c r="R162" s="9" t="s">
        <v>1344</v>
      </c>
      <c r="S162" s="9" t="s">
        <v>1500</v>
      </c>
    </row>
    <row r="163" spans="2:19" x14ac:dyDescent="0.35">
      <c r="B163" s="18" t="s">
        <v>258</v>
      </c>
      <c r="C163" s="9" t="s">
        <v>259</v>
      </c>
      <c r="D163" s="9" t="s">
        <v>799</v>
      </c>
      <c r="E163" s="9" t="s">
        <v>39</v>
      </c>
      <c r="F163" s="17">
        <v>0.61080000000000001</v>
      </c>
      <c r="G163" s="17">
        <v>0.60770000000000002</v>
      </c>
      <c r="H163" s="17">
        <v>1.1999999999999999E-3</v>
      </c>
      <c r="I163" s="17">
        <v>1.9E-3</v>
      </c>
      <c r="J163" s="17">
        <v>0</v>
      </c>
      <c r="K163" s="9" t="s">
        <v>1343</v>
      </c>
      <c r="L163" s="9" t="s">
        <v>260</v>
      </c>
      <c r="M163" s="9">
        <v>2022</v>
      </c>
      <c r="N163" s="9" t="s">
        <v>471</v>
      </c>
      <c r="O163" s="10" t="s">
        <v>472</v>
      </c>
      <c r="P163" s="9" t="s">
        <v>473</v>
      </c>
      <c r="Q163" s="9" t="s">
        <v>264</v>
      </c>
      <c r="R163" s="9" t="s">
        <v>1344</v>
      </c>
      <c r="S163" s="9" t="s">
        <v>1501</v>
      </c>
    </row>
    <row r="164" spans="2:19" x14ac:dyDescent="0.35">
      <c r="B164" s="18" t="s">
        <v>258</v>
      </c>
      <c r="C164" s="9" t="s">
        <v>259</v>
      </c>
      <c r="D164" s="9" t="s">
        <v>799</v>
      </c>
      <c r="E164" s="9" t="s">
        <v>39</v>
      </c>
      <c r="F164" s="17">
        <v>0.33400000000000002</v>
      </c>
      <c r="G164" s="17">
        <v>0.33260000000000001</v>
      </c>
      <c r="H164" s="17">
        <v>1E-4</v>
      </c>
      <c r="I164" s="17">
        <v>1.2999999999999999E-3</v>
      </c>
      <c r="J164" s="17">
        <v>0</v>
      </c>
      <c r="K164" s="9" t="s">
        <v>1343</v>
      </c>
      <c r="L164" s="9" t="s">
        <v>260</v>
      </c>
      <c r="M164" s="9">
        <v>2022</v>
      </c>
      <c r="N164" s="9" t="s">
        <v>574</v>
      </c>
      <c r="O164" s="10" t="s">
        <v>575</v>
      </c>
      <c r="P164" s="9" t="s">
        <v>576</v>
      </c>
      <c r="Q164" s="9" t="s">
        <v>264</v>
      </c>
      <c r="R164" s="9" t="s">
        <v>1344</v>
      </c>
      <c r="S164" s="9" t="s">
        <v>1502</v>
      </c>
    </row>
    <row r="165" spans="2:19" x14ac:dyDescent="0.35">
      <c r="B165" s="18" t="s">
        <v>258</v>
      </c>
      <c r="C165" s="9" t="s">
        <v>259</v>
      </c>
      <c r="D165" s="9" t="s">
        <v>799</v>
      </c>
      <c r="E165" s="9" t="s">
        <v>39</v>
      </c>
      <c r="F165" s="17">
        <v>0.56410000000000005</v>
      </c>
      <c r="G165" s="17">
        <v>0.5615</v>
      </c>
      <c r="H165" s="17">
        <v>2.0000000000000001E-4</v>
      </c>
      <c r="I165" s="17">
        <v>2.3999999999999998E-3</v>
      </c>
      <c r="J165" s="17">
        <v>0</v>
      </c>
      <c r="K165" s="9" t="s">
        <v>1343</v>
      </c>
      <c r="L165" s="9" t="s">
        <v>260</v>
      </c>
      <c r="M165" s="9">
        <v>2023</v>
      </c>
      <c r="N165" s="9" t="s">
        <v>574</v>
      </c>
      <c r="O165" s="10" t="s">
        <v>575</v>
      </c>
      <c r="P165" s="9" t="s">
        <v>576</v>
      </c>
      <c r="Q165" s="9" t="s">
        <v>264</v>
      </c>
      <c r="R165" s="9" t="s">
        <v>1344</v>
      </c>
      <c r="S165" s="9" t="s">
        <v>1503</v>
      </c>
    </row>
    <row r="166" spans="2:19" x14ac:dyDescent="0.35">
      <c r="B166" s="18" t="s">
        <v>258</v>
      </c>
      <c r="C166" s="9" t="s">
        <v>259</v>
      </c>
      <c r="D166" s="9" t="s">
        <v>799</v>
      </c>
      <c r="E166" s="9" t="s">
        <v>39</v>
      </c>
      <c r="F166" s="17">
        <v>0.57040000000000002</v>
      </c>
      <c r="G166" s="17">
        <v>0.56779999999999997</v>
      </c>
      <c r="H166" s="17">
        <v>2.0000000000000001E-4</v>
      </c>
      <c r="I166" s="17">
        <v>2.3999999999999998E-3</v>
      </c>
      <c r="J166" s="17">
        <v>0</v>
      </c>
      <c r="K166" s="9" t="s">
        <v>1343</v>
      </c>
      <c r="L166" s="9" t="s">
        <v>260</v>
      </c>
      <c r="M166" s="9">
        <v>2024</v>
      </c>
      <c r="N166" s="9" t="s">
        <v>574</v>
      </c>
      <c r="O166" s="10" t="s">
        <v>575</v>
      </c>
      <c r="P166" s="9" t="s">
        <v>576</v>
      </c>
      <c r="Q166" s="9" t="s">
        <v>264</v>
      </c>
      <c r="R166" s="9" t="s">
        <v>1344</v>
      </c>
      <c r="S166" s="9" t="s">
        <v>1504</v>
      </c>
    </row>
    <row r="167" spans="2:19" x14ac:dyDescent="0.35">
      <c r="B167" s="18" t="s">
        <v>800</v>
      </c>
      <c r="C167" s="9" t="s">
        <v>801</v>
      </c>
      <c r="D167" s="9" t="s">
        <v>799</v>
      </c>
      <c r="E167" s="9" t="s">
        <v>39</v>
      </c>
      <c r="F167" s="17">
        <v>3.7999999999999999E-2</v>
      </c>
      <c r="G167" s="17"/>
      <c r="H167" s="17"/>
      <c r="I167" s="17"/>
      <c r="J167" s="17">
        <v>3.7999999999999999E-2</v>
      </c>
      <c r="K167" s="9" t="s">
        <v>1343</v>
      </c>
      <c r="L167" s="9" t="s">
        <v>802</v>
      </c>
      <c r="M167" s="9">
        <v>2022</v>
      </c>
      <c r="N167" s="9" t="s">
        <v>574</v>
      </c>
      <c r="O167" s="10" t="s">
        <v>575</v>
      </c>
      <c r="P167" s="9" t="s">
        <v>576</v>
      </c>
      <c r="Q167" s="9" t="s">
        <v>264</v>
      </c>
      <c r="R167" s="9" t="s">
        <v>1344</v>
      </c>
      <c r="S167" s="9" t="s">
        <v>1505</v>
      </c>
    </row>
    <row r="168" spans="2:19" x14ac:dyDescent="0.35">
      <c r="B168" s="18" t="s">
        <v>800</v>
      </c>
      <c r="C168" s="9" t="s">
        <v>801</v>
      </c>
      <c r="D168" s="9" t="s">
        <v>799</v>
      </c>
      <c r="E168" s="9" t="s">
        <v>39</v>
      </c>
      <c r="F168" s="17">
        <v>6.3600000000000004E-2</v>
      </c>
      <c r="G168" s="17"/>
      <c r="H168" s="17"/>
      <c r="I168" s="17"/>
      <c r="J168" s="17">
        <v>6.3600000000000004E-2</v>
      </c>
      <c r="K168" s="9" t="s">
        <v>1343</v>
      </c>
      <c r="L168" s="9" t="s">
        <v>802</v>
      </c>
      <c r="M168" s="9">
        <v>2023</v>
      </c>
      <c r="N168" s="9" t="s">
        <v>574</v>
      </c>
      <c r="O168" s="10" t="s">
        <v>575</v>
      </c>
      <c r="P168" s="9" t="s">
        <v>576</v>
      </c>
      <c r="Q168" s="9" t="s">
        <v>264</v>
      </c>
      <c r="R168" s="9" t="s">
        <v>1344</v>
      </c>
      <c r="S168" s="9" t="s">
        <v>1506</v>
      </c>
    </row>
    <row r="169" spans="2:19" x14ac:dyDescent="0.35">
      <c r="B169" s="18" t="s">
        <v>800</v>
      </c>
      <c r="C169" s="9" t="s">
        <v>803</v>
      </c>
      <c r="D169" s="9" t="s">
        <v>799</v>
      </c>
      <c r="E169" s="9" t="s">
        <v>39</v>
      </c>
      <c r="F169" s="17">
        <v>5.8099999999999999E-2</v>
      </c>
      <c r="G169" s="17"/>
      <c r="H169" s="17"/>
      <c r="I169" s="17"/>
      <c r="J169" s="17">
        <v>5.8099999999999999E-2</v>
      </c>
      <c r="K169" s="9" t="s">
        <v>1343</v>
      </c>
      <c r="L169" s="9" t="s">
        <v>804</v>
      </c>
      <c r="M169" s="9">
        <v>2022</v>
      </c>
      <c r="N169" s="9" t="s">
        <v>574</v>
      </c>
      <c r="O169" s="10" t="s">
        <v>575</v>
      </c>
      <c r="P169" s="9" t="s">
        <v>576</v>
      </c>
      <c r="Q169" s="9" t="s">
        <v>264</v>
      </c>
      <c r="R169" s="9" t="s">
        <v>1344</v>
      </c>
      <c r="S169" s="9" t="s">
        <v>1507</v>
      </c>
    </row>
    <row r="170" spans="2:19" x14ac:dyDescent="0.35">
      <c r="B170" s="18" t="s">
        <v>800</v>
      </c>
      <c r="C170" s="9" t="s">
        <v>803</v>
      </c>
      <c r="D170" s="9" t="s">
        <v>799</v>
      </c>
      <c r="E170" s="9" t="s">
        <v>39</v>
      </c>
      <c r="F170" s="17">
        <v>9.2299999999999993E-2</v>
      </c>
      <c r="G170" s="17"/>
      <c r="H170" s="17"/>
      <c r="I170" s="17"/>
      <c r="J170" s="17">
        <v>9.2299999999999993E-2</v>
      </c>
      <c r="K170" s="9" t="s">
        <v>1343</v>
      </c>
      <c r="L170" s="9" t="s">
        <v>804</v>
      </c>
      <c r="M170" s="9">
        <v>2023</v>
      </c>
      <c r="N170" s="9" t="s">
        <v>574</v>
      </c>
      <c r="O170" s="10" t="s">
        <v>575</v>
      </c>
      <c r="P170" s="9" t="s">
        <v>576</v>
      </c>
      <c r="Q170" s="9" t="s">
        <v>264</v>
      </c>
      <c r="R170" s="9" t="s">
        <v>1344</v>
      </c>
      <c r="S170" s="9" t="s">
        <v>1508</v>
      </c>
    </row>
    <row r="171" spans="2:19" x14ac:dyDescent="0.35">
      <c r="B171" s="18" t="s">
        <v>800</v>
      </c>
      <c r="C171" s="9" t="s">
        <v>803</v>
      </c>
      <c r="D171" s="9" t="s">
        <v>799</v>
      </c>
      <c r="E171" s="9" t="s">
        <v>39</v>
      </c>
      <c r="F171" s="17">
        <v>9.3799999999999994E-2</v>
      </c>
      <c r="G171" s="17"/>
      <c r="H171" s="17"/>
      <c r="I171" s="17"/>
      <c r="J171" s="17">
        <v>9.3799999999999994E-2</v>
      </c>
      <c r="K171" s="9" t="s">
        <v>1343</v>
      </c>
      <c r="L171" s="9" t="s">
        <v>804</v>
      </c>
      <c r="M171" s="9">
        <v>2024</v>
      </c>
      <c r="N171" s="9" t="s">
        <v>574</v>
      </c>
      <c r="O171" s="10" t="s">
        <v>575</v>
      </c>
      <c r="P171" s="9" t="s">
        <v>576</v>
      </c>
      <c r="Q171" s="9" t="s">
        <v>264</v>
      </c>
      <c r="R171" s="9" t="s">
        <v>1344</v>
      </c>
      <c r="S171" s="9" t="s">
        <v>1509</v>
      </c>
    </row>
    <row r="172" spans="2:19" x14ac:dyDescent="0.35">
      <c r="B172" s="18" t="s">
        <v>258</v>
      </c>
      <c r="C172" s="9" t="s">
        <v>259</v>
      </c>
      <c r="D172" s="9" t="s">
        <v>799</v>
      </c>
      <c r="E172" s="9" t="s">
        <v>39</v>
      </c>
      <c r="F172" s="17">
        <v>0.1636</v>
      </c>
      <c r="G172" s="17">
        <v>0.1633</v>
      </c>
      <c r="H172" s="17">
        <v>1E-4</v>
      </c>
      <c r="I172" s="17">
        <v>2.0000000000000001E-4</v>
      </c>
      <c r="J172" s="17">
        <v>0</v>
      </c>
      <c r="K172" s="9" t="s">
        <v>1343</v>
      </c>
      <c r="L172" s="9" t="s">
        <v>260</v>
      </c>
      <c r="M172" s="9">
        <v>2023</v>
      </c>
      <c r="N172" s="9" t="s">
        <v>449</v>
      </c>
      <c r="O172" s="10" t="s">
        <v>450</v>
      </c>
      <c r="P172" s="9" t="s">
        <v>451</v>
      </c>
      <c r="Q172" s="9" t="s">
        <v>264</v>
      </c>
      <c r="R172" s="9" t="s">
        <v>1344</v>
      </c>
      <c r="S172" s="9" t="s">
        <v>1510</v>
      </c>
    </row>
    <row r="173" spans="2:19" x14ac:dyDescent="0.35">
      <c r="B173" s="18" t="s">
        <v>258</v>
      </c>
      <c r="C173" s="9" t="s">
        <v>259</v>
      </c>
      <c r="D173" s="9" t="s">
        <v>799</v>
      </c>
      <c r="E173" s="9" t="s">
        <v>39</v>
      </c>
      <c r="F173" s="17">
        <v>0.21579999999999999</v>
      </c>
      <c r="G173" s="17">
        <v>0.21540000000000001</v>
      </c>
      <c r="H173" s="17">
        <v>2.0000000000000001E-4</v>
      </c>
      <c r="I173" s="17">
        <v>2.0000000000000001E-4</v>
      </c>
      <c r="J173" s="17">
        <v>0</v>
      </c>
      <c r="K173" s="9" t="s">
        <v>1343</v>
      </c>
      <c r="L173" s="9" t="s">
        <v>260</v>
      </c>
      <c r="M173" s="9">
        <v>2022</v>
      </c>
      <c r="N173" s="9" t="s">
        <v>449</v>
      </c>
      <c r="O173" s="10" t="s">
        <v>450</v>
      </c>
      <c r="P173" s="9" t="s">
        <v>451</v>
      </c>
      <c r="Q173" s="9" t="s">
        <v>264</v>
      </c>
      <c r="R173" s="9" t="s">
        <v>1344</v>
      </c>
      <c r="S173" s="9" t="s">
        <v>1511</v>
      </c>
    </row>
    <row r="174" spans="2:19" x14ac:dyDescent="0.35">
      <c r="B174" s="18" t="s">
        <v>800</v>
      </c>
      <c r="C174" s="9" t="s">
        <v>801</v>
      </c>
      <c r="D174" s="9" t="s">
        <v>799</v>
      </c>
      <c r="E174" s="9" t="s">
        <v>39</v>
      </c>
      <c r="F174" s="17">
        <v>4.5400000000000003E-2</v>
      </c>
      <c r="G174" s="17"/>
      <c r="H174" s="17"/>
      <c r="I174" s="17"/>
      <c r="J174" s="17">
        <v>4.5400000000000003E-2</v>
      </c>
      <c r="K174" s="9" t="s">
        <v>1343</v>
      </c>
      <c r="L174" s="9" t="s">
        <v>802</v>
      </c>
      <c r="M174" s="9">
        <v>2023</v>
      </c>
      <c r="N174" s="9" t="s">
        <v>449</v>
      </c>
      <c r="O174" s="10" t="s">
        <v>450</v>
      </c>
      <c r="P174" s="9" t="s">
        <v>451</v>
      </c>
      <c r="Q174" s="9" t="s">
        <v>264</v>
      </c>
      <c r="R174" s="9" t="s">
        <v>1344</v>
      </c>
      <c r="S174" s="9" t="s">
        <v>1512</v>
      </c>
    </row>
    <row r="175" spans="2:19" x14ac:dyDescent="0.35">
      <c r="B175" s="18" t="s">
        <v>800</v>
      </c>
      <c r="C175" s="9" t="s">
        <v>801</v>
      </c>
      <c r="D175" s="9" t="s">
        <v>799</v>
      </c>
      <c r="E175" s="9" t="s">
        <v>39</v>
      </c>
      <c r="F175" s="17">
        <v>5.96E-2</v>
      </c>
      <c r="G175" s="17"/>
      <c r="H175" s="17"/>
      <c r="I175" s="17"/>
      <c r="J175" s="17">
        <v>5.96E-2</v>
      </c>
      <c r="K175" s="9" t="s">
        <v>1343</v>
      </c>
      <c r="L175" s="9" t="s">
        <v>802</v>
      </c>
      <c r="M175" s="9">
        <v>2022</v>
      </c>
      <c r="N175" s="9" t="s">
        <v>449</v>
      </c>
      <c r="O175" s="10" t="s">
        <v>450</v>
      </c>
      <c r="P175" s="9" t="s">
        <v>451</v>
      </c>
      <c r="Q175" s="9" t="s">
        <v>264</v>
      </c>
      <c r="R175" s="9" t="s">
        <v>1344</v>
      </c>
      <c r="S175" s="9" t="s">
        <v>1513</v>
      </c>
    </row>
    <row r="176" spans="2:19" x14ac:dyDescent="0.35">
      <c r="B176" s="18" t="s">
        <v>800</v>
      </c>
      <c r="C176" s="9" t="s">
        <v>803</v>
      </c>
      <c r="D176" s="9" t="s">
        <v>799</v>
      </c>
      <c r="E176" s="9" t="s">
        <v>39</v>
      </c>
      <c r="F176" s="17">
        <v>3.8199999999999998E-2</v>
      </c>
      <c r="G176" s="17"/>
      <c r="H176" s="17"/>
      <c r="I176" s="17"/>
      <c r="J176" s="17">
        <v>3.8199999999999998E-2</v>
      </c>
      <c r="K176" s="9" t="s">
        <v>1343</v>
      </c>
      <c r="L176" s="9" t="s">
        <v>804</v>
      </c>
      <c r="M176" s="9">
        <v>2023</v>
      </c>
      <c r="N176" s="9" t="s">
        <v>449</v>
      </c>
      <c r="O176" s="10" t="s">
        <v>450</v>
      </c>
      <c r="P176" s="9" t="s">
        <v>451</v>
      </c>
      <c r="Q176" s="9" t="s">
        <v>264</v>
      </c>
      <c r="R176" s="9" t="s">
        <v>1344</v>
      </c>
      <c r="S176" s="9" t="s">
        <v>1514</v>
      </c>
    </row>
    <row r="177" spans="2:19" x14ac:dyDescent="0.35">
      <c r="B177" s="18" t="s">
        <v>800</v>
      </c>
      <c r="C177" s="9" t="s">
        <v>803</v>
      </c>
      <c r="D177" s="9" t="s">
        <v>799</v>
      </c>
      <c r="E177" s="9" t="s">
        <v>39</v>
      </c>
      <c r="F177" s="17">
        <v>4.9000000000000002E-2</v>
      </c>
      <c r="G177" s="17"/>
      <c r="H177" s="17"/>
      <c r="I177" s="17"/>
      <c r="J177" s="17">
        <v>4.9000000000000002E-2</v>
      </c>
      <c r="K177" s="9" t="s">
        <v>1343</v>
      </c>
      <c r="L177" s="9" t="s">
        <v>804</v>
      </c>
      <c r="M177" s="9">
        <v>2022</v>
      </c>
      <c r="N177" s="9" t="s">
        <v>449</v>
      </c>
      <c r="O177" s="10" t="s">
        <v>450</v>
      </c>
      <c r="P177" s="9" t="s">
        <v>451</v>
      </c>
      <c r="Q177" s="9" t="s">
        <v>264</v>
      </c>
      <c r="R177" s="9" t="s">
        <v>1344</v>
      </c>
      <c r="S177" s="9" t="s">
        <v>1515</v>
      </c>
    </row>
    <row r="178" spans="2:19" x14ac:dyDescent="0.35">
      <c r="B178" s="18" t="s">
        <v>258</v>
      </c>
      <c r="C178" s="9" t="s">
        <v>259</v>
      </c>
      <c r="D178" s="9" t="s">
        <v>799</v>
      </c>
      <c r="E178" s="9" t="s">
        <v>39</v>
      </c>
      <c r="F178" s="17">
        <v>0.1116</v>
      </c>
      <c r="G178" s="17">
        <v>0.1111</v>
      </c>
      <c r="H178" s="17">
        <v>2.0000000000000001E-4</v>
      </c>
      <c r="I178" s="17">
        <v>2.9999999999999997E-4</v>
      </c>
      <c r="J178" s="17">
        <v>0</v>
      </c>
      <c r="K178" s="9" t="s">
        <v>1343</v>
      </c>
      <c r="L178" s="9" t="s">
        <v>260</v>
      </c>
      <c r="M178" s="9">
        <v>2022</v>
      </c>
      <c r="N178" s="9" t="s">
        <v>421</v>
      </c>
      <c r="O178" s="10" t="s">
        <v>422</v>
      </c>
      <c r="P178" s="9" t="s">
        <v>423</v>
      </c>
      <c r="Q178" s="9" t="s">
        <v>264</v>
      </c>
      <c r="R178" s="9" t="s">
        <v>1344</v>
      </c>
      <c r="S178" s="9" t="s">
        <v>1516</v>
      </c>
    </row>
    <row r="179" spans="2:19" x14ac:dyDescent="0.35">
      <c r="B179" s="18" t="s">
        <v>258</v>
      </c>
      <c r="C179" s="9" t="s">
        <v>259</v>
      </c>
      <c r="D179" s="9" t="s">
        <v>799</v>
      </c>
      <c r="E179" s="9" t="s">
        <v>39</v>
      </c>
      <c r="F179" s="17">
        <v>0.1195</v>
      </c>
      <c r="G179" s="17">
        <v>0.11899999999999999</v>
      </c>
      <c r="H179" s="17">
        <v>2.0000000000000001E-4</v>
      </c>
      <c r="I179" s="17">
        <v>2.9999999999999997E-4</v>
      </c>
      <c r="J179" s="17">
        <v>0</v>
      </c>
      <c r="K179" s="9" t="s">
        <v>1343</v>
      </c>
      <c r="L179" s="9" t="s">
        <v>260</v>
      </c>
      <c r="M179" s="9">
        <v>2023</v>
      </c>
      <c r="N179" s="9" t="s">
        <v>421</v>
      </c>
      <c r="O179" s="10" t="s">
        <v>422</v>
      </c>
      <c r="P179" s="9" t="s">
        <v>423</v>
      </c>
      <c r="Q179" s="9" t="s">
        <v>264</v>
      </c>
      <c r="R179" s="9" t="s">
        <v>1344</v>
      </c>
      <c r="S179" s="9" t="s">
        <v>1517</v>
      </c>
    </row>
    <row r="180" spans="2:19" x14ac:dyDescent="0.35">
      <c r="B180" s="18" t="s">
        <v>258</v>
      </c>
      <c r="C180" s="9" t="s">
        <v>259</v>
      </c>
      <c r="D180" s="9" t="s">
        <v>799</v>
      </c>
      <c r="E180" s="9" t="s">
        <v>39</v>
      </c>
      <c r="F180" s="17">
        <v>0.121</v>
      </c>
      <c r="G180" s="17">
        <v>0.1205</v>
      </c>
      <c r="H180" s="17">
        <v>2.0000000000000001E-4</v>
      </c>
      <c r="I180" s="17">
        <v>2.9999999999999997E-4</v>
      </c>
      <c r="J180" s="17">
        <v>0</v>
      </c>
      <c r="K180" s="9" t="s">
        <v>1343</v>
      </c>
      <c r="L180" s="9" t="s">
        <v>260</v>
      </c>
      <c r="M180" s="9">
        <v>2024</v>
      </c>
      <c r="N180" s="9" t="s">
        <v>421</v>
      </c>
      <c r="O180" s="10" t="s">
        <v>422</v>
      </c>
      <c r="P180" s="9" t="s">
        <v>423</v>
      </c>
      <c r="Q180" s="9" t="s">
        <v>264</v>
      </c>
      <c r="R180" s="9" t="s">
        <v>1344</v>
      </c>
      <c r="S180" s="9" t="s">
        <v>1518</v>
      </c>
    </row>
    <row r="181" spans="2:19" x14ac:dyDescent="0.35">
      <c r="B181" s="18" t="s">
        <v>800</v>
      </c>
      <c r="C181" s="9" t="s">
        <v>801</v>
      </c>
      <c r="D181" s="9" t="s">
        <v>799</v>
      </c>
      <c r="E181" s="9" t="s">
        <v>39</v>
      </c>
      <c r="F181" s="17">
        <v>5.4999999999999997E-3</v>
      </c>
      <c r="G181" s="17"/>
      <c r="H181" s="17"/>
      <c r="I181" s="17"/>
      <c r="J181" s="17">
        <v>5.4999999999999997E-3</v>
      </c>
      <c r="K181" s="9" t="s">
        <v>1343</v>
      </c>
      <c r="L181" s="9" t="s">
        <v>802</v>
      </c>
      <c r="M181" s="9">
        <v>2022</v>
      </c>
      <c r="N181" s="9" t="s">
        <v>421</v>
      </c>
      <c r="O181" s="10" t="s">
        <v>422</v>
      </c>
      <c r="P181" s="9" t="s">
        <v>423</v>
      </c>
      <c r="Q181" s="9" t="s">
        <v>264</v>
      </c>
      <c r="R181" s="9" t="s">
        <v>1344</v>
      </c>
      <c r="S181" s="9" t="s">
        <v>1519</v>
      </c>
    </row>
    <row r="182" spans="2:19" x14ac:dyDescent="0.35">
      <c r="B182" s="18" t="s">
        <v>800</v>
      </c>
      <c r="C182" s="9" t="s">
        <v>801</v>
      </c>
      <c r="D182" s="9" t="s">
        <v>799</v>
      </c>
      <c r="E182" s="9" t="s">
        <v>39</v>
      </c>
      <c r="F182" s="17">
        <v>5.7999999999999996E-3</v>
      </c>
      <c r="G182" s="17"/>
      <c r="H182" s="17"/>
      <c r="I182" s="17"/>
      <c r="J182" s="17">
        <v>5.7999999999999996E-3</v>
      </c>
      <c r="K182" s="9" t="s">
        <v>1343</v>
      </c>
      <c r="L182" s="9" t="s">
        <v>802</v>
      </c>
      <c r="M182" s="9">
        <v>2023</v>
      </c>
      <c r="N182" s="9" t="s">
        <v>421</v>
      </c>
      <c r="O182" s="10" t="s">
        <v>422</v>
      </c>
      <c r="P182" s="9" t="s">
        <v>423</v>
      </c>
      <c r="Q182" s="9" t="s">
        <v>264</v>
      </c>
      <c r="R182" s="9" t="s">
        <v>1344</v>
      </c>
      <c r="S182" s="9" t="s">
        <v>1520</v>
      </c>
    </row>
    <row r="183" spans="2:19" x14ac:dyDescent="0.35">
      <c r="B183" s="18" t="s">
        <v>800</v>
      </c>
      <c r="C183" s="9" t="s">
        <v>803</v>
      </c>
      <c r="D183" s="9" t="s">
        <v>799</v>
      </c>
      <c r="E183" s="9" t="s">
        <v>39</v>
      </c>
      <c r="F183" s="17">
        <v>2.4500000000000001E-2</v>
      </c>
      <c r="G183" s="17"/>
      <c r="H183" s="17"/>
      <c r="I183" s="17"/>
      <c r="J183" s="17">
        <v>2.4500000000000001E-2</v>
      </c>
      <c r="K183" s="9" t="s">
        <v>1343</v>
      </c>
      <c r="L183" s="9" t="s">
        <v>804</v>
      </c>
      <c r="M183" s="9">
        <v>2022</v>
      </c>
      <c r="N183" s="9" t="s">
        <v>421</v>
      </c>
      <c r="O183" s="10" t="s">
        <v>422</v>
      </c>
      <c r="P183" s="9" t="s">
        <v>423</v>
      </c>
      <c r="Q183" s="9" t="s">
        <v>264</v>
      </c>
      <c r="R183" s="9" t="s">
        <v>1344</v>
      </c>
      <c r="S183" s="9" t="s">
        <v>1521</v>
      </c>
    </row>
    <row r="184" spans="2:19" x14ac:dyDescent="0.35">
      <c r="B184" s="18" t="s">
        <v>800</v>
      </c>
      <c r="C184" s="9" t="s">
        <v>803</v>
      </c>
      <c r="D184" s="9" t="s">
        <v>799</v>
      </c>
      <c r="E184" s="9" t="s">
        <v>39</v>
      </c>
      <c r="F184" s="17">
        <v>2.5100000000000001E-2</v>
      </c>
      <c r="G184" s="17"/>
      <c r="H184" s="17"/>
      <c r="I184" s="17"/>
      <c r="J184" s="17">
        <v>2.5100000000000001E-2</v>
      </c>
      <c r="K184" s="9" t="s">
        <v>1343</v>
      </c>
      <c r="L184" s="9" t="s">
        <v>804</v>
      </c>
      <c r="M184" s="9">
        <v>2024</v>
      </c>
      <c r="N184" s="9" t="s">
        <v>421</v>
      </c>
      <c r="O184" s="10" t="s">
        <v>422</v>
      </c>
      <c r="P184" s="9" t="s">
        <v>423</v>
      </c>
      <c r="Q184" s="9" t="s">
        <v>264</v>
      </c>
      <c r="R184" s="9" t="s">
        <v>1344</v>
      </c>
      <c r="S184" s="9" t="s">
        <v>1522</v>
      </c>
    </row>
    <row r="185" spans="2:19" x14ac:dyDescent="0.35">
      <c r="B185" s="18" t="s">
        <v>800</v>
      </c>
      <c r="C185" s="9" t="s">
        <v>803</v>
      </c>
      <c r="D185" s="9" t="s">
        <v>799</v>
      </c>
      <c r="E185" s="9" t="s">
        <v>39</v>
      </c>
      <c r="F185" s="17">
        <v>2.5700000000000001E-2</v>
      </c>
      <c r="G185" s="17"/>
      <c r="H185" s="17"/>
      <c r="I185" s="17"/>
      <c r="J185" s="17">
        <v>2.5700000000000001E-2</v>
      </c>
      <c r="K185" s="9" t="s">
        <v>1343</v>
      </c>
      <c r="L185" s="9" t="s">
        <v>804</v>
      </c>
      <c r="M185" s="9">
        <v>2023</v>
      </c>
      <c r="N185" s="9" t="s">
        <v>421</v>
      </c>
      <c r="O185" s="10" t="s">
        <v>422</v>
      </c>
      <c r="P185" s="9" t="s">
        <v>423</v>
      </c>
      <c r="Q185" s="9" t="s">
        <v>264</v>
      </c>
      <c r="R185" s="9" t="s">
        <v>1344</v>
      </c>
      <c r="S185" s="9" t="s">
        <v>1523</v>
      </c>
    </row>
    <row r="186" spans="2:19" x14ac:dyDescent="0.35">
      <c r="B186" s="18" t="s">
        <v>258</v>
      </c>
      <c r="C186" s="9" t="s">
        <v>259</v>
      </c>
      <c r="D186" s="9" t="s">
        <v>799</v>
      </c>
      <c r="E186" s="9" t="s">
        <v>39</v>
      </c>
      <c r="F186" s="17">
        <v>1.5374000000000001</v>
      </c>
      <c r="G186" s="17">
        <v>1.5324</v>
      </c>
      <c r="H186" s="17">
        <v>1.6999999999999999E-3</v>
      </c>
      <c r="I186" s="17">
        <v>3.3E-3</v>
      </c>
      <c r="J186" s="17">
        <v>0</v>
      </c>
      <c r="K186" s="9" t="s">
        <v>1343</v>
      </c>
      <c r="L186" s="9" t="s">
        <v>260</v>
      </c>
      <c r="M186" s="9">
        <v>2023</v>
      </c>
      <c r="N186" s="9" t="s">
        <v>796</v>
      </c>
      <c r="O186" s="10" t="s">
        <v>797</v>
      </c>
      <c r="P186" s="9" t="s">
        <v>798</v>
      </c>
      <c r="Q186" s="9" t="s">
        <v>264</v>
      </c>
      <c r="R186" s="9" t="s">
        <v>1344</v>
      </c>
      <c r="S186" s="9" t="s">
        <v>1524</v>
      </c>
    </row>
    <row r="187" spans="2:19" x14ac:dyDescent="0.35">
      <c r="B187" s="18" t="s">
        <v>258</v>
      </c>
      <c r="C187" s="9" t="s">
        <v>259</v>
      </c>
      <c r="D187" s="9" t="s">
        <v>799</v>
      </c>
      <c r="E187" s="9" t="s">
        <v>39</v>
      </c>
      <c r="F187" s="17">
        <v>1.5419</v>
      </c>
      <c r="G187" s="17">
        <v>1.5368999999999999</v>
      </c>
      <c r="H187" s="17">
        <v>1.6999999999999999E-3</v>
      </c>
      <c r="I187" s="17">
        <v>3.3E-3</v>
      </c>
      <c r="J187" s="17">
        <v>0</v>
      </c>
      <c r="K187" s="9" t="s">
        <v>1343</v>
      </c>
      <c r="L187" s="9" t="s">
        <v>260</v>
      </c>
      <c r="M187" s="9">
        <v>2022</v>
      </c>
      <c r="N187" s="9" t="s">
        <v>796</v>
      </c>
      <c r="O187" s="10" t="s">
        <v>797</v>
      </c>
      <c r="P187" s="9" t="s">
        <v>798</v>
      </c>
      <c r="Q187" s="9" t="s">
        <v>264</v>
      </c>
      <c r="R187" s="9" t="s">
        <v>1344</v>
      </c>
      <c r="S187" s="9" t="s">
        <v>1525</v>
      </c>
    </row>
    <row r="188" spans="2:19" x14ac:dyDescent="0.35">
      <c r="B188" s="18" t="s">
        <v>258</v>
      </c>
      <c r="C188" s="9" t="s">
        <v>259</v>
      </c>
      <c r="D188" s="9" t="s">
        <v>799</v>
      </c>
      <c r="E188" s="9" t="s">
        <v>39</v>
      </c>
      <c r="F188" s="17">
        <v>0.1903</v>
      </c>
      <c r="G188" s="17">
        <v>0.18959999999999999</v>
      </c>
      <c r="H188" s="17">
        <v>1E-4</v>
      </c>
      <c r="I188" s="17">
        <v>5.9999999999999995E-4</v>
      </c>
      <c r="J188" s="17">
        <v>0</v>
      </c>
      <c r="K188" s="9" t="s">
        <v>1343</v>
      </c>
      <c r="L188" s="9" t="s">
        <v>260</v>
      </c>
      <c r="M188" s="9">
        <v>2024</v>
      </c>
      <c r="N188" s="9" t="s">
        <v>625</v>
      </c>
      <c r="O188" s="10" t="s">
        <v>626</v>
      </c>
      <c r="P188" s="9" t="s">
        <v>627</v>
      </c>
      <c r="Q188" s="9" t="s">
        <v>264</v>
      </c>
      <c r="R188" s="9" t="s">
        <v>1344</v>
      </c>
      <c r="S188" s="9" t="s">
        <v>1526</v>
      </c>
    </row>
    <row r="189" spans="2:19" x14ac:dyDescent="0.35">
      <c r="B189" s="18" t="s">
        <v>258</v>
      </c>
      <c r="C189" s="9" t="s">
        <v>259</v>
      </c>
      <c r="D189" s="9" t="s">
        <v>799</v>
      </c>
      <c r="E189" s="9" t="s">
        <v>39</v>
      </c>
      <c r="F189" s="17">
        <v>0.22170000000000001</v>
      </c>
      <c r="G189" s="17">
        <v>0.221</v>
      </c>
      <c r="H189" s="17">
        <v>1E-4</v>
      </c>
      <c r="I189" s="17">
        <v>5.9999999999999995E-4</v>
      </c>
      <c r="J189" s="17">
        <v>0</v>
      </c>
      <c r="K189" s="9" t="s">
        <v>1343</v>
      </c>
      <c r="L189" s="9" t="s">
        <v>260</v>
      </c>
      <c r="M189" s="9">
        <v>2023</v>
      </c>
      <c r="N189" s="9" t="s">
        <v>625</v>
      </c>
      <c r="O189" s="10" t="s">
        <v>626</v>
      </c>
      <c r="P189" s="9" t="s">
        <v>627</v>
      </c>
      <c r="Q189" s="9" t="s">
        <v>264</v>
      </c>
      <c r="R189" s="9" t="s">
        <v>1344</v>
      </c>
      <c r="S189" s="9" t="s">
        <v>1527</v>
      </c>
    </row>
    <row r="190" spans="2:19" x14ac:dyDescent="0.35">
      <c r="B190" s="18" t="s">
        <v>258</v>
      </c>
      <c r="C190" s="9" t="s">
        <v>259</v>
      </c>
      <c r="D190" s="9" t="s">
        <v>799</v>
      </c>
      <c r="E190" s="9" t="s">
        <v>39</v>
      </c>
      <c r="F190" s="17">
        <v>0.32100000000000001</v>
      </c>
      <c r="G190" s="17">
        <v>0.31990000000000002</v>
      </c>
      <c r="H190" s="17">
        <v>1E-4</v>
      </c>
      <c r="I190" s="17">
        <v>1E-3</v>
      </c>
      <c r="J190" s="17">
        <v>0</v>
      </c>
      <c r="K190" s="9" t="s">
        <v>1343</v>
      </c>
      <c r="L190" s="9" t="s">
        <v>260</v>
      </c>
      <c r="M190" s="9">
        <v>2022</v>
      </c>
      <c r="N190" s="9" t="s">
        <v>625</v>
      </c>
      <c r="O190" s="10" t="s">
        <v>626</v>
      </c>
      <c r="P190" s="9" t="s">
        <v>627</v>
      </c>
      <c r="Q190" s="9" t="s">
        <v>264</v>
      </c>
      <c r="R190" s="9" t="s">
        <v>1344</v>
      </c>
      <c r="S190" s="9" t="s">
        <v>1528</v>
      </c>
    </row>
    <row r="191" spans="2:19" x14ac:dyDescent="0.35">
      <c r="B191" s="18" t="s">
        <v>800</v>
      </c>
      <c r="C191" s="9" t="s">
        <v>801</v>
      </c>
      <c r="D191" s="9" t="s">
        <v>799</v>
      </c>
      <c r="E191" s="9" t="s">
        <v>39</v>
      </c>
      <c r="F191" s="17">
        <v>1.7399999999999999E-2</v>
      </c>
      <c r="G191" s="17"/>
      <c r="H191" s="17"/>
      <c r="I191" s="17"/>
      <c r="J191" s="17">
        <v>1.7399999999999999E-2</v>
      </c>
      <c r="K191" s="9" t="s">
        <v>1343</v>
      </c>
      <c r="L191" s="9" t="s">
        <v>802</v>
      </c>
      <c r="M191" s="9">
        <v>2023</v>
      </c>
      <c r="N191" s="9" t="s">
        <v>625</v>
      </c>
      <c r="O191" s="10" t="s">
        <v>626</v>
      </c>
      <c r="P191" s="9" t="s">
        <v>627</v>
      </c>
      <c r="Q191" s="9" t="s">
        <v>264</v>
      </c>
      <c r="R191" s="9" t="s">
        <v>1344</v>
      </c>
      <c r="S191" s="9" t="s">
        <v>1529</v>
      </c>
    </row>
    <row r="192" spans="2:19" x14ac:dyDescent="0.35">
      <c r="B192" s="18" t="s">
        <v>800</v>
      </c>
      <c r="C192" s="9" t="s">
        <v>801</v>
      </c>
      <c r="D192" s="9" t="s">
        <v>799</v>
      </c>
      <c r="E192" s="9" t="s">
        <v>39</v>
      </c>
      <c r="F192" s="17">
        <v>2.0500000000000001E-2</v>
      </c>
      <c r="G192" s="17"/>
      <c r="H192" s="17"/>
      <c r="I192" s="17"/>
      <c r="J192" s="17">
        <v>2.0500000000000001E-2</v>
      </c>
      <c r="K192" s="9" t="s">
        <v>1343</v>
      </c>
      <c r="L192" s="9" t="s">
        <v>802</v>
      </c>
      <c r="M192" s="9">
        <v>2022</v>
      </c>
      <c r="N192" s="9" t="s">
        <v>625</v>
      </c>
      <c r="O192" s="10" t="s">
        <v>626</v>
      </c>
      <c r="P192" s="9" t="s">
        <v>627</v>
      </c>
      <c r="Q192" s="9" t="s">
        <v>264</v>
      </c>
      <c r="R192" s="9" t="s">
        <v>1344</v>
      </c>
      <c r="S192" s="9" t="s">
        <v>1530</v>
      </c>
    </row>
    <row r="193" spans="2:19" x14ac:dyDescent="0.35">
      <c r="B193" s="18" t="s">
        <v>800</v>
      </c>
      <c r="C193" s="9" t="s">
        <v>803</v>
      </c>
      <c r="D193" s="9" t="s">
        <v>799</v>
      </c>
      <c r="E193" s="9" t="s">
        <v>39</v>
      </c>
      <c r="F193" s="17">
        <v>5.6800000000000003E-2</v>
      </c>
      <c r="G193" s="17"/>
      <c r="H193" s="17"/>
      <c r="I193" s="17"/>
      <c r="J193" s="17">
        <v>5.6800000000000003E-2</v>
      </c>
      <c r="K193" s="9" t="s">
        <v>1343</v>
      </c>
      <c r="L193" s="9" t="s">
        <v>804</v>
      </c>
      <c r="M193" s="9">
        <v>2024</v>
      </c>
      <c r="N193" s="9" t="s">
        <v>625</v>
      </c>
      <c r="O193" s="10" t="s">
        <v>626</v>
      </c>
      <c r="P193" s="9" t="s">
        <v>627</v>
      </c>
      <c r="Q193" s="9" t="s">
        <v>264</v>
      </c>
      <c r="R193" s="9" t="s">
        <v>1344</v>
      </c>
      <c r="S193" s="9" t="s">
        <v>1531</v>
      </c>
    </row>
    <row r="194" spans="2:19" x14ac:dyDescent="0.35">
      <c r="B194" s="18" t="s">
        <v>800</v>
      </c>
      <c r="C194" s="9" t="s">
        <v>803</v>
      </c>
      <c r="D194" s="9" t="s">
        <v>799</v>
      </c>
      <c r="E194" s="9" t="s">
        <v>39</v>
      </c>
      <c r="F194" s="17">
        <v>6.4799999999999996E-2</v>
      </c>
      <c r="G194" s="17"/>
      <c r="H194" s="17"/>
      <c r="I194" s="17"/>
      <c r="J194" s="17">
        <v>6.4799999999999996E-2</v>
      </c>
      <c r="K194" s="9" t="s">
        <v>1343</v>
      </c>
      <c r="L194" s="9" t="s">
        <v>804</v>
      </c>
      <c r="M194" s="9">
        <v>2023</v>
      </c>
      <c r="N194" s="9" t="s">
        <v>625</v>
      </c>
      <c r="O194" s="10" t="s">
        <v>626</v>
      </c>
      <c r="P194" s="9" t="s">
        <v>627</v>
      </c>
      <c r="Q194" s="9" t="s">
        <v>264</v>
      </c>
      <c r="R194" s="9" t="s">
        <v>1344</v>
      </c>
      <c r="S194" s="9" t="s">
        <v>1532</v>
      </c>
    </row>
    <row r="195" spans="2:19" x14ac:dyDescent="0.35">
      <c r="B195" s="18" t="s">
        <v>800</v>
      </c>
      <c r="C195" s="9" t="s">
        <v>803</v>
      </c>
      <c r="D195" s="9" t="s">
        <v>799</v>
      </c>
      <c r="E195" s="9" t="s">
        <v>39</v>
      </c>
      <c r="F195" s="17">
        <v>7.7799999999999994E-2</v>
      </c>
      <c r="G195" s="17"/>
      <c r="H195" s="17"/>
      <c r="I195" s="17"/>
      <c r="J195" s="17">
        <v>7.7799999999999994E-2</v>
      </c>
      <c r="K195" s="9" t="s">
        <v>1343</v>
      </c>
      <c r="L195" s="9" t="s">
        <v>804</v>
      </c>
      <c r="M195" s="9">
        <v>2022</v>
      </c>
      <c r="N195" s="9" t="s">
        <v>625</v>
      </c>
      <c r="O195" s="10" t="s">
        <v>626</v>
      </c>
      <c r="P195" s="9" t="s">
        <v>627</v>
      </c>
      <c r="Q195" s="9" t="s">
        <v>264</v>
      </c>
      <c r="R195" s="9" t="s">
        <v>1344</v>
      </c>
      <c r="S195" s="9" t="s">
        <v>1533</v>
      </c>
    </row>
    <row r="196" spans="2:19" x14ac:dyDescent="0.35">
      <c r="B196" s="18" t="s">
        <v>258</v>
      </c>
      <c r="C196" s="9" t="s">
        <v>259</v>
      </c>
      <c r="D196" s="9" t="s">
        <v>799</v>
      </c>
      <c r="E196" s="9" t="s">
        <v>39</v>
      </c>
      <c r="F196" s="17">
        <v>0.56359999999999999</v>
      </c>
      <c r="G196" s="17">
        <v>0.56059999999999999</v>
      </c>
      <c r="H196" s="17">
        <v>4.0000000000000002E-4</v>
      </c>
      <c r="I196" s="17">
        <v>2.5999999999999999E-3</v>
      </c>
      <c r="J196" s="17">
        <v>0</v>
      </c>
      <c r="K196" s="9" t="s">
        <v>1343</v>
      </c>
      <c r="L196" s="9" t="s">
        <v>260</v>
      </c>
      <c r="M196" s="9">
        <v>2024</v>
      </c>
      <c r="N196" s="9" t="s">
        <v>514</v>
      </c>
      <c r="O196" s="10" t="s">
        <v>515</v>
      </c>
      <c r="P196" s="9" t="s">
        <v>516</v>
      </c>
      <c r="Q196" s="9" t="s">
        <v>264</v>
      </c>
      <c r="R196" s="9" t="s">
        <v>1344</v>
      </c>
      <c r="S196" s="9" t="s">
        <v>1534</v>
      </c>
    </row>
    <row r="197" spans="2:19" x14ac:dyDescent="0.35">
      <c r="B197" s="18" t="s">
        <v>258</v>
      </c>
      <c r="C197" s="9" t="s">
        <v>259</v>
      </c>
      <c r="D197" s="9" t="s">
        <v>799</v>
      </c>
      <c r="E197" s="9" t="s">
        <v>39</v>
      </c>
      <c r="F197" s="17">
        <v>0.59219999999999995</v>
      </c>
      <c r="G197" s="17">
        <v>0.58919999999999995</v>
      </c>
      <c r="H197" s="17">
        <v>4.0000000000000002E-4</v>
      </c>
      <c r="I197" s="17">
        <v>2.5999999999999999E-3</v>
      </c>
      <c r="J197" s="17">
        <v>0</v>
      </c>
      <c r="K197" s="9" t="s">
        <v>1343</v>
      </c>
      <c r="L197" s="9" t="s">
        <v>260</v>
      </c>
      <c r="M197" s="9">
        <v>2023</v>
      </c>
      <c r="N197" s="9" t="s">
        <v>514</v>
      </c>
      <c r="O197" s="10" t="s">
        <v>515</v>
      </c>
      <c r="P197" s="9" t="s">
        <v>516</v>
      </c>
      <c r="Q197" s="9" t="s">
        <v>264</v>
      </c>
      <c r="R197" s="9" t="s">
        <v>1344</v>
      </c>
      <c r="S197" s="9" t="s">
        <v>1535</v>
      </c>
    </row>
    <row r="198" spans="2:19" x14ac:dyDescent="0.35">
      <c r="B198" s="18" t="s">
        <v>258</v>
      </c>
      <c r="C198" s="9" t="s">
        <v>259</v>
      </c>
      <c r="D198" s="9" t="s">
        <v>799</v>
      </c>
      <c r="E198" s="9" t="s">
        <v>39</v>
      </c>
      <c r="F198" s="17">
        <v>0.59219999999999995</v>
      </c>
      <c r="G198" s="17">
        <v>0.58919999999999995</v>
      </c>
      <c r="H198" s="17">
        <v>4.0000000000000002E-4</v>
      </c>
      <c r="I198" s="17">
        <v>2.5999999999999999E-3</v>
      </c>
      <c r="J198" s="17">
        <v>0</v>
      </c>
      <c r="K198" s="9" t="s">
        <v>1343</v>
      </c>
      <c r="L198" s="9" t="s">
        <v>260</v>
      </c>
      <c r="M198" s="9">
        <v>2023</v>
      </c>
      <c r="N198" s="9" t="s">
        <v>514</v>
      </c>
      <c r="O198" s="10" t="s">
        <v>515</v>
      </c>
      <c r="P198" s="9" t="s">
        <v>516</v>
      </c>
      <c r="Q198" s="9" t="s">
        <v>264</v>
      </c>
      <c r="R198" s="9" t="s">
        <v>1344</v>
      </c>
      <c r="S198" s="9" t="s">
        <v>1535</v>
      </c>
    </row>
    <row r="199" spans="2:19" x14ac:dyDescent="0.35">
      <c r="B199" s="18" t="s">
        <v>258</v>
      </c>
      <c r="C199" s="9" t="s">
        <v>259</v>
      </c>
      <c r="D199" s="9" t="s">
        <v>799</v>
      </c>
      <c r="E199" s="9" t="s">
        <v>39</v>
      </c>
      <c r="F199" s="17">
        <v>0.59240000000000004</v>
      </c>
      <c r="G199" s="17">
        <v>0.58940000000000003</v>
      </c>
      <c r="H199" s="17">
        <v>4.0000000000000002E-4</v>
      </c>
      <c r="I199" s="17">
        <v>2.5999999999999999E-3</v>
      </c>
      <c r="J199" s="17">
        <v>0</v>
      </c>
      <c r="K199" s="9" t="s">
        <v>1343</v>
      </c>
      <c r="L199" s="9" t="s">
        <v>260</v>
      </c>
      <c r="M199" s="9">
        <v>2022</v>
      </c>
      <c r="N199" s="9" t="s">
        <v>514</v>
      </c>
      <c r="O199" s="10" t="s">
        <v>515</v>
      </c>
      <c r="P199" s="9" t="s">
        <v>516</v>
      </c>
      <c r="Q199" s="9" t="s">
        <v>264</v>
      </c>
      <c r="R199" s="9" t="s">
        <v>1344</v>
      </c>
      <c r="S199" s="9" t="s">
        <v>1536</v>
      </c>
    </row>
    <row r="200" spans="2:19" x14ac:dyDescent="0.35">
      <c r="B200" s="18" t="s">
        <v>258</v>
      </c>
      <c r="C200" s="9" t="s">
        <v>259</v>
      </c>
      <c r="D200" s="9" t="s">
        <v>799</v>
      </c>
      <c r="E200" s="9" t="s">
        <v>39</v>
      </c>
      <c r="F200" s="17">
        <v>0.59260000000000002</v>
      </c>
      <c r="G200" s="17">
        <v>0.58960000000000001</v>
      </c>
      <c r="H200" s="17">
        <v>4.0000000000000002E-4</v>
      </c>
      <c r="I200" s="17">
        <v>2.5999999999999999E-3</v>
      </c>
      <c r="J200" s="17">
        <v>0</v>
      </c>
      <c r="K200" s="9" t="s">
        <v>1343</v>
      </c>
      <c r="L200" s="9" t="s">
        <v>260</v>
      </c>
      <c r="M200" s="9">
        <v>2022</v>
      </c>
      <c r="N200" s="9" t="s">
        <v>514</v>
      </c>
      <c r="O200" s="10" t="s">
        <v>515</v>
      </c>
      <c r="P200" s="9" t="s">
        <v>516</v>
      </c>
      <c r="Q200" s="9" t="s">
        <v>264</v>
      </c>
      <c r="R200" s="9" t="s">
        <v>1344</v>
      </c>
      <c r="S200" s="9" t="s">
        <v>1537</v>
      </c>
    </row>
    <row r="201" spans="2:19" x14ac:dyDescent="0.35">
      <c r="B201" s="18" t="s">
        <v>800</v>
      </c>
      <c r="C201" s="9" t="s">
        <v>801</v>
      </c>
      <c r="D201" s="9" t="s">
        <v>799</v>
      </c>
      <c r="E201" s="9" t="s">
        <v>39</v>
      </c>
      <c r="F201" s="17">
        <v>2.5399999999999999E-2</v>
      </c>
      <c r="G201" s="17"/>
      <c r="H201" s="17"/>
      <c r="I201" s="17"/>
      <c r="J201" s="17">
        <v>2.5399999999999999E-2</v>
      </c>
      <c r="K201" s="9" t="s">
        <v>1343</v>
      </c>
      <c r="L201" s="9" t="s">
        <v>802</v>
      </c>
      <c r="M201" s="9">
        <v>2022</v>
      </c>
      <c r="N201" s="9" t="s">
        <v>514</v>
      </c>
      <c r="O201" s="10" t="s">
        <v>515</v>
      </c>
      <c r="P201" s="9" t="s">
        <v>516</v>
      </c>
      <c r="Q201" s="9" t="s">
        <v>264</v>
      </c>
      <c r="R201" s="9" t="s">
        <v>1344</v>
      </c>
      <c r="S201" s="9" t="s">
        <v>1538</v>
      </c>
    </row>
    <row r="202" spans="2:19" x14ac:dyDescent="0.35">
      <c r="B202" s="18" t="s">
        <v>800</v>
      </c>
      <c r="C202" s="9" t="s">
        <v>801</v>
      </c>
      <c r="D202" s="9" t="s">
        <v>799</v>
      </c>
      <c r="E202" s="9" t="s">
        <v>39</v>
      </c>
      <c r="F202" s="17">
        <v>2.5499999999999998E-2</v>
      </c>
      <c r="G202" s="17"/>
      <c r="H202" s="17"/>
      <c r="I202" s="17"/>
      <c r="J202" s="17">
        <v>2.5499999999999998E-2</v>
      </c>
      <c r="K202" s="9" t="s">
        <v>1343</v>
      </c>
      <c r="L202" s="9" t="s">
        <v>802</v>
      </c>
      <c r="M202" s="9">
        <v>2023</v>
      </c>
      <c r="N202" s="9" t="s">
        <v>514</v>
      </c>
      <c r="O202" s="10" t="s">
        <v>515</v>
      </c>
      <c r="P202" s="9" t="s">
        <v>516</v>
      </c>
      <c r="Q202" s="9" t="s">
        <v>264</v>
      </c>
      <c r="R202" s="9" t="s">
        <v>1344</v>
      </c>
      <c r="S202" s="9" t="s">
        <v>1539</v>
      </c>
    </row>
    <row r="203" spans="2:19" x14ac:dyDescent="0.35">
      <c r="B203" s="18" t="s">
        <v>800</v>
      </c>
      <c r="C203" s="9" t="s">
        <v>803</v>
      </c>
      <c r="D203" s="9" t="s">
        <v>799</v>
      </c>
      <c r="E203" s="9" t="s">
        <v>39</v>
      </c>
      <c r="F203" s="17">
        <v>9.5000000000000001E-2</v>
      </c>
      <c r="G203" s="17"/>
      <c r="H203" s="17"/>
      <c r="I203" s="17"/>
      <c r="J203" s="17">
        <v>9.5000000000000001E-2</v>
      </c>
      <c r="K203" s="9" t="s">
        <v>1343</v>
      </c>
      <c r="L203" s="9" t="s">
        <v>804</v>
      </c>
      <c r="M203" s="9">
        <v>2024</v>
      </c>
      <c r="N203" s="9" t="s">
        <v>514</v>
      </c>
      <c r="O203" s="10" t="s">
        <v>515</v>
      </c>
      <c r="P203" s="9" t="s">
        <v>516</v>
      </c>
      <c r="Q203" s="9" t="s">
        <v>264</v>
      </c>
      <c r="R203" s="9" t="s">
        <v>1344</v>
      </c>
      <c r="S203" s="9" t="s">
        <v>1540</v>
      </c>
    </row>
    <row r="204" spans="2:19" x14ac:dyDescent="0.35">
      <c r="B204" s="18" t="s">
        <v>800</v>
      </c>
      <c r="C204" s="9" t="s">
        <v>803</v>
      </c>
      <c r="D204" s="9" t="s">
        <v>799</v>
      </c>
      <c r="E204" s="9" t="s">
        <v>39</v>
      </c>
      <c r="F204" s="17">
        <v>9.8500000000000004E-2</v>
      </c>
      <c r="G204" s="17"/>
      <c r="H204" s="17"/>
      <c r="I204" s="17"/>
      <c r="J204" s="17">
        <v>9.8500000000000004E-2</v>
      </c>
      <c r="K204" s="9" t="s">
        <v>1343</v>
      </c>
      <c r="L204" s="9" t="s">
        <v>804</v>
      </c>
      <c r="M204" s="9">
        <v>2023</v>
      </c>
      <c r="N204" s="9" t="s">
        <v>514</v>
      </c>
      <c r="O204" s="10" t="s">
        <v>515</v>
      </c>
      <c r="P204" s="9" t="s">
        <v>516</v>
      </c>
      <c r="Q204" s="9" t="s">
        <v>264</v>
      </c>
      <c r="R204" s="9" t="s">
        <v>1344</v>
      </c>
      <c r="S204" s="9" t="s">
        <v>1541</v>
      </c>
    </row>
    <row r="205" spans="2:19" x14ac:dyDescent="0.35">
      <c r="B205" s="18" t="s">
        <v>800</v>
      </c>
      <c r="C205" s="9" t="s">
        <v>803</v>
      </c>
      <c r="D205" s="9" t="s">
        <v>799</v>
      </c>
      <c r="E205" s="9" t="s">
        <v>39</v>
      </c>
      <c r="F205" s="17">
        <v>9.9400000000000002E-2</v>
      </c>
      <c r="G205" s="17"/>
      <c r="H205" s="17"/>
      <c r="I205" s="17"/>
      <c r="J205" s="17">
        <v>9.9400000000000002E-2</v>
      </c>
      <c r="K205" s="9" t="s">
        <v>1343</v>
      </c>
      <c r="L205" s="9" t="s">
        <v>804</v>
      </c>
      <c r="M205" s="9">
        <v>2022</v>
      </c>
      <c r="N205" s="9" t="s">
        <v>514</v>
      </c>
      <c r="O205" s="10" t="s">
        <v>515</v>
      </c>
      <c r="P205" s="9" t="s">
        <v>516</v>
      </c>
      <c r="Q205" s="9" t="s">
        <v>264</v>
      </c>
      <c r="R205" s="9" t="s">
        <v>1344</v>
      </c>
      <c r="S205" s="9" t="s">
        <v>1542</v>
      </c>
    </row>
    <row r="206" spans="2:19" x14ac:dyDescent="0.35">
      <c r="B206" s="18" t="s">
        <v>258</v>
      </c>
      <c r="C206" s="9" t="s">
        <v>259</v>
      </c>
      <c r="D206" s="9" t="s">
        <v>799</v>
      </c>
      <c r="E206" s="9" t="s">
        <v>39</v>
      </c>
      <c r="F206" s="17">
        <v>0.14580000000000001</v>
      </c>
      <c r="G206" s="17">
        <v>0.1449</v>
      </c>
      <c r="H206" s="17">
        <v>2.9999999999999997E-4</v>
      </c>
      <c r="I206" s="17">
        <v>5.9999999999999995E-4</v>
      </c>
      <c r="J206" s="17">
        <v>0</v>
      </c>
      <c r="K206" s="9" t="s">
        <v>1343</v>
      </c>
      <c r="L206" s="9" t="s">
        <v>260</v>
      </c>
      <c r="M206" s="9">
        <v>2022</v>
      </c>
      <c r="N206" s="9" t="s">
        <v>458</v>
      </c>
      <c r="O206" s="10" t="s">
        <v>459</v>
      </c>
      <c r="P206" s="9" t="s">
        <v>460</v>
      </c>
      <c r="Q206" s="9" t="s">
        <v>264</v>
      </c>
      <c r="R206" s="9" t="s">
        <v>1344</v>
      </c>
      <c r="S206" s="9" t="s">
        <v>1543</v>
      </c>
    </row>
    <row r="207" spans="2:19" x14ac:dyDescent="0.35">
      <c r="B207" s="18" t="s">
        <v>258</v>
      </c>
      <c r="C207" s="9" t="s">
        <v>259</v>
      </c>
      <c r="D207" s="9" t="s">
        <v>799</v>
      </c>
      <c r="E207" s="9" t="s">
        <v>39</v>
      </c>
      <c r="F207" s="17">
        <v>0.2117</v>
      </c>
      <c r="G207" s="17">
        <v>0.2104</v>
      </c>
      <c r="H207" s="17">
        <v>4.0000000000000002E-4</v>
      </c>
      <c r="I207" s="17">
        <v>8.9999999999999998E-4</v>
      </c>
      <c r="J207" s="17">
        <v>0</v>
      </c>
      <c r="K207" s="9" t="s">
        <v>1343</v>
      </c>
      <c r="L207" s="9" t="s">
        <v>260</v>
      </c>
      <c r="M207" s="9">
        <v>2023</v>
      </c>
      <c r="N207" s="9" t="s">
        <v>458</v>
      </c>
      <c r="O207" s="10" t="s">
        <v>459</v>
      </c>
      <c r="P207" s="9" t="s">
        <v>460</v>
      </c>
      <c r="Q207" s="9" t="s">
        <v>264</v>
      </c>
      <c r="R207" s="9" t="s">
        <v>1344</v>
      </c>
      <c r="S207" s="9" t="s">
        <v>1544</v>
      </c>
    </row>
    <row r="208" spans="2:19" x14ac:dyDescent="0.35">
      <c r="B208" s="18" t="s">
        <v>258</v>
      </c>
      <c r="C208" s="9" t="s">
        <v>259</v>
      </c>
      <c r="D208" s="9" t="s">
        <v>799</v>
      </c>
      <c r="E208" s="9" t="s">
        <v>39</v>
      </c>
      <c r="F208" s="17">
        <v>0.24970000000000001</v>
      </c>
      <c r="G208" s="17">
        <v>0.24840000000000001</v>
      </c>
      <c r="H208" s="17">
        <v>4.0000000000000002E-4</v>
      </c>
      <c r="I208" s="17">
        <v>8.9999999999999998E-4</v>
      </c>
      <c r="J208" s="17">
        <v>0</v>
      </c>
      <c r="K208" s="9" t="s">
        <v>1343</v>
      </c>
      <c r="L208" s="9" t="s">
        <v>260</v>
      </c>
      <c r="M208" s="9">
        <v>2024</v>
      </c>
      <c r="N208" s="9" t="s">
        <v>458</v>
      </c>
      <c r="O208" s="10" t="s">
        <v>459</v>
      </c>
      <c r="P208" s="9" t="s">
        <v>460</v>
      </c>
      <c r="Q208" s="9" t="s">
        <v>264</v>
      </c>
      <c r="R208" s="9" t="s">
        <v>1344</v>
      </c>
      <c r="S208" s="9" t="s">
        <v>1545</v>
      </c>
    </row>
    <row r="209" spans="2:19" x14ac:dyDescent="0.35">
      <c r="B209" s="18" t="s">
        <v>800</v>
      </c>
      <c r="C209" s="9" t="s">
        <v>801</v>
      </c>
      <c r="D209" s="9" t="s">
        <v>799</v>
      </c>
      <c r="E209" s="9" t="s">
        <v>39</v>
      </c>
      <c r="F209" s="17">
        <v>1.4200000000000001E-2</v>
      </c>
      <c r="G209" s="17"/>
      <c r="H209" s="17"/>
      <c r="I209" s="17"/>
      <c r="J209" s="17">
        <v>1.4200000000000001E-2</v>
      </c>
      <c r="K209" s="9" t="s">
        <v>1343</v>
      </c>
      <c r="L209" s="9" t="s">
        <v>802</v>
      </c>
      <c r="M209" s="9">
        <v>2022</v>
      </c>
      <c r="N209" s="9" t="s">
        <v>458</v>
      </c>
      <c r="O209" s="10" t="s">
        <v>459</v>
      </c>
      <c r="P209" s="9" t="s">
        <v>460</v>
      </c>
      <c r="Q209" s="9" t="s">
        <v>264</v>
      </c>
      <c r="R209" s="9" t="s">
        <v>1344</v>
      </c>
      <c r="S209" s="9" t="s">
        <v>1546</v>
      </c>
    </row>
    <row r="210" spans="2:19" x14ac:dyDescent="0.35">
      <c r="B210" s="18" t="s">
        <v>800</v>
      </c>
      <c r="C210" s="9" t="s">
        <v>801</v>
      </c>
      <c r="D210" s="9" t="s">
        <v>799</v>
      </c>
      <c r="E210" s="9" t="s">
        <v>39</v>
      </c>
      <c r="F210" s="17">
        <v>2.07E-2</v>
      </c>
      <c r="G210" s="17"/>
      <c r="H210" s="17"/>
      <c r="I210" s="17"/>
      <c r="J210" s="17">
        <v>2.07E-2</v>
      </c>
      <c r="K210" s="9" t="s">
        <v>1343</v>
      </c>
      <c r="L210" s="9" t="s">
        <v>802</v>
      </c>
      <c r="M210" s="9">
        <v>2023</v>
      </c>
      <c r="N210" s="9" t="s">
        <v>458</v>
      </c>
      <c r="O210" s="10" t="s">
        <v>459</v>
      </c>
      <c r="P210" s="9" t="s">
        <v>460</v>
      </c>
      <c r="Q210" s="9" t="s">
        <v>264</v>
      </c>
      <c r="R210" s="9" t="s">
        <v>1344</v>
      </c>
      <c r="S210" s="9" t="s">
        <v>1547</v>
      </c>
    </row>
    <row r="211" spans="2:19" x14ac:dyDescent="0.35">
      <c r="B211" s="18" t="s">
        <v>800</v>
      </c>
      <c r="C211" s="9" t="s">
        <v>803</v>
      </c>
      <c r="D211" s="9" t="s">
        <v>799</v>
      </c>
      <c r="E211" s="9" t="s">
        <v>39</v>
      </c>
      <c r="F211" s="17">
        <v>3.2899999999999999E-2</v>
      </c>
      <c r="G211" s="17"/>
      <c r="H211" s="17"/>
      <c r="I211" s="17"/>
      <c r="J211" s="17">
        <v>3.2899999999999999E-2</v>
      </c>
      <c r="K211" s="9" t="s">
        <v>1343</v>
      </c>
      <c r="L211" s="9" t="s">
        <v>804</v>
      </c>
      <c r="M211" s="9">
        <v>2022</v>
      </c>
      <c r="N211" s="9" t="s">
        <v>458</v>
      </c>
      <c r="O211" s="10" t="s">
        <v>459</v>
      </c>
      <c r="P211" s="9" t="s">
        <v>460</v>
      </c>
      <c r="Q211" s="9" t="s">
        <v>264</v>
      </c>
      <c r="R211" s="9" t="s">
        <v>1344</v>
      </c>
      <c r="S211" s="9" t="s">
        <v>1548</v>
      </c>
    </row>
    <row r="212" spans="2:19" x14ac:dyDescent="0.35">
      <c r="B212" s="18" t="s">
        <v>800</v>
      </c>
      <c r="C212" s="9" t="s">
        <v>803</v>
      </c>
      <c r="D212" s="9" t="s">
        <v>799</v>
      </c>
      <c r="E212" s="9" t="s">
        <v>39</v>
      </c>
      <c r="F212" s="17">
        <v>4.6899999999999997E-2</v>
      </c>
      <c r="G212" s="17"/>
      <c r="H212" s="17"/>
      <c r="I212" s="17"/>
      <c r="J212" s="17">
        <v>4.6899999999999997E-2</v>
      </c>
      <c r="K212" s="9" t="s">
        <v>1343</v>
      </c>
      <c r="L212" s="9" t="s">
        <v>804</v>
      </c>
      <c r="M212" s="9">
        <v>2023</v>
      </c>
      <c r="N212" s="9" t="s">
        <v>458</v>
      </c>
      <c r="O212" s="10" t="s">
        <v>459</v>
      </c>
      <c r="P212" s="9" t="s">
        <v>460</v>
      </c>
      <c r="Q212" s="9" t="s">
        <v>264</v>
      </c>
      <c r="R212" s="9" t="s">
        <v>1344</v>
      </c>
      <c r="S212" s="9" t="s">
        <v>1549</v>
      </c>
    </row>
    <row r="213" spans="2:19" x14ac:dyDescent="0.35">
      <c r="B213" s="18" t="s">
        <v>800</v>
      </c>
      <c r="C213" s="9" t="s">
        <v>803</v>
      </c>
      <c r="D213" s="9" t="s">
        <v>799</v>
      </c>
      <c r="E213" s="9" t="s">
        <v>39</v>
      </c>
      <c r="F213" s="17">
        <v>5.5E-2</v>
      </c>
      <c r="G213" s="17"/>
      <c r="H213" s="17"/>
      <c r="I213" s="17"/>
      <c r="J213" s="17">
        <v>5.5E-2</v>
      </c>
      <c r="K213" s="9" t="s">
        <v>1343</v>
      </c>
      <c r="L213" s="9" t="s">
        <v>804</v>
      </c>
      <c r="M213" s="9">
        <v>2024</v>
      </c>
      <c r="N213" s="9" t="s">
        <v>458</v>
      </c>
      <c r="O213" s="10" t="s">
        <v>459</v>
      </c>
      <c r="P213" s="9" t="s">
        <v>460</v>
      </c>
      <c r="Q213" s="9" t="s">
        <v>264</v>
      </c>
      <c r="R213" s="9" t="s">
        <v>1344</v>
      </c>
      <c r="S213" s="9" t="s">
        <v>1550</v>
      </c>
    </row>
    <row r="214" spans="2:19" x14ac:dyDescent="0.35">
      <c r="B214" s="18" t="s">
        <v>258</v>
      </c>
      <c r="C214" s="9" t="s">
        <v>259</v>
      </c>
      <c r="D214" s="9" t="s">
        <v>799</v>
      </c>
      <c r="E214" s="9" t="s">
        <v>39</v>
      </c>
      <c r="F214" s="17">
        <v>0.59770000000000001</v>
      </c>
      <c r="G214" s="17">
        <v>0.59709999999999996</v>
      </c>
      <c r="H214" s="17">
        <v>2.9999999999999997E-4</v>
      </c>
      <c r="I214" s="17">
        <v>2.9999999999999997E-4</v>
      </c>
      <c r="J214" s="17">
        <v>0</v>
      </c>
      <c r="K214" s="9" t="s">
        <v>1343</v>
      </c>
      <c r="L214" s="9" t="s">
        <v>260</v>
      </c>
      <c r="M214" s="9">
        <v>2023</v>
      </c>
      <c r="N214" s="9" t="s">
        <v>757</v>
      </c>
      <c r="O214" s="10" t="s">
        <v>758</v>
      </c>
      <c r="P214" s="9" t="s">
        <v>759</v>
      </c>
      <c r="Q214" s="9" t="s">
        <v>264</v>
      </c>
      <c r="R214" s="9" t="s">
        <v>1344</v>
      </c>
      <c r="S214" s="9" t="s">
        <v>1551</v>
      </c>
    </row>
    <row r="215" spans="2:19" x14ac:dyDescent="0.35">
      <c r="B215" s="18" t="s">
        <v>258</v>
      </c>
      <c r="C215" s="9" t="s">
        <v>259</v>
      </c>
      <c r="D215" s="9" t="s">
        <v>799</v>
      </c>
      <c r="E215" s="9" t="s">
        <v>39</v>
      </c>
      <c r="F215" s="17">
        <v>0.63019999999999998</v>
      </c>
      <c r="G215" s="17">
        <v>0.62960000000000005</v>
      </c>
      <c r="H215" s="17">
        <v>2.9999999999999997E-4</v>
      </c>
      <c r="I215" s="17">
        <v>2.9999999999999997E-4</v>
      </c>
      <c r="J215" s="17">
        <v>0</v>
      </c>
      <c r="K215" s="9" t="s">
        <v>1343</v>
      </c>
      <c r="L215" s="9" t="s">
        <v>260</v>
      </c>
      <c r="M215" s="9">
        <v>2022</v>
      </c>
      <c r="N215" s="9" t="s">
        <v>757</v>
      </c>
      <c r="O215" s="10" t="s">
        <v>758</v>
      </c>
      <c r="P215" s="9" t="s">
        <v>759</v>
      </c>
      <c r="Q215" s="9" t="s">
        <v>264</v>
      </c>
      <c r="R215" s="9" t="s">
        <v>1344</v>
      </c>
      <c r="S215" s="9" t="s">
        <v>1552</v>
      </c>
    </row>
    <row r="216" spans="2:19" x14ac:dyDescent="0.35">
      <c r="B216" s="18" t="s">
        <v>800</v>
      </c>
      <c r="C216" s="9" t="s">
        <v>801</v>
      </c>
      <c r="D216" s="9" t="s">
        <v>799</v>
      </c>
      <c r="E216" s="9" t="s">
        <v>39</v>
      </c>
      <c r="F216" s="17">
        <v>0.3095</v>
      </c>
      <c r="G216" s="17"/>
      <c r="H216" s="17"/>
      <c r="I216" s="17"/>
      <c r="J216" s="17">
        <v>0.3095</v>
      </c>
      <c r="K216" s="9" t="s">
        <v>1343</v>
      </c>
      <c r="L216" s="9" t="s">
        <v>802</v>
      </c>
      <c r="M216" s="9">
        <v>2023</v>
      </c>
      <c r="N216" s="9" t="s">
        <v>757</v>
      </c>
      <c r="O216" s="10" t="s">
        <v>758</v>
      </c>
      <c r="P216" s="9" t="s">
        <v>759</v>
      </c>
      <c r="Q216" s="9" t="s">
        <v>264</v>
      </c>
      <c r="R216" s="9" t="s">
        <v>1344</v>
      </c>
      <c r="S216" s="9" t="s">
        <v>1553</v>
      </c>
    </row>
    <row r="217" spans="2:19" x14ac:dyDescent="0.35">
      <c r="B217" s="18" t="s">
        <v>800</v>
      </c>
      <c r="C217" s="9" t="s">
        <v>801</v>
      </c>
      <c r="D217" s="9" t="s">
        <v>799</v>
      </c>
      <c r="E217" s="9" t="s">
        <v>39</v>
      </c>
      <c r="F217" s="17">
        <v>0.35980000000000001</v>
      </c>
      <c r="G217" s="17"/>
      <c r="H217" s="17"/>
      <c r="I217" s="17"/>
      <c r="J217" s="17">
        <v>0.35980000000000001</v>
      </c>
      <c r="K217" s="9" t="s">
        <v>1343</v>
      </c>
      <c r="L217" s="9" t="s">
        <v>802</v>
      </c>
      <c r="M217" s="9">
        <v>2022</v>
      </c>
      <c r="N217" s="9" t="s">
        <v>757</v>
      </c>
      <c r="O217" s="10" t="s">
        <v>758</v>
      </c>
      <c r="P217" s="9" t="s">
        <v>759</v>
      </c>
      <c r="Q217" s="9" t="s">
        <v>264</v>
      </c>
      <c r="R217" s="9" t="s">
        <v>1344</v>
      </c>
      <c r="S217" s="9" t="s">
        <v>1554</v>
      </c>
    </row>
    <row r="218" spans="2:19" x14ac:dyDescent="0.35">
      <c r="B218" s="18" t="s">
        <v>800</v>
      </c>
      <c r="C218" s="9" t="s">
        <v>803</v>
      </c>
      <c r="D218" s="9" t="s">
        <v>799</v>
      </c>
      <c r="E218" s="9" t="s">
        <v>39</v>
      </c>
      <c r="F218" s="17">
        <v>0.122</v>
      </c>
      <c r="G218" s="17"/>
      <c r="H218" s="17"/>
      <c r="I218" s="17"/>
      <c r="J218" s="17">
        <v>0.122</v>
      </c>
      <c r="K218" s="9" t="s">
        <v>1343</v>
      </c>
      <c r="L218" s="9" t="s">
        <v>804</v>
      </c>
      <c r="M218" s="9">
        <v>2023</v>
      </c>
      <c r="N218" s="9" t="s">
        <v>757</v>
      </c>
      <c r="O218" s="10" t="s">
        <v>758</v>
      </c>
      <c r="P218" s="9" t="s">
        <v>759</v>
      </c>
      <c r="Q218" s="9" t="s">
        <v>264</v>
      </c>
      <c r="R218" s="9" t="s">
        <v>1344</v>
      </c>
      <c r="S218" s="9" t="s">
        <v>1555</v>
      </c>
    </row>
    <row r="219" spans="2:19" x14ac:dyDescent="0.35">
      <c r="B219" s="18" t="s">
        <v>800</v>
      </c>
      <c r="C219" s="9" t="s">
        <v>803</v>
      </c>
      <c r="D219" s="9" t="s">
        <v>799</v>
      </c>
      <c r="E219" s="9" t="s">
        <v>39</v>
      </c>
      <c r="F219" s="17">
        <v>0.12809999999999999</v>
      </c>
      <c r="G219" s="17"/>
      <c r="H219" s="17"/>
      <c r="I219" s="17"/>
      <c r="J219" s="17">
        <v>0.12809999999999999</v>
      </c>
      <c r="K219" s="9" t="s">
        <v>1343</v>
      </c>
      <c r="L219" s="9" t="s">
        <v>804</v>
      </c>
      <c r="M219" s="9">
        <v>2022</v>
      </c>
      <c r="N219" s="9" t="s">
        <v>757</v>
      </c>
      <c r="O219" s="10" t="s">
        <v>758</v>
      </c>
      <c r="P219" s="9" t="s">
        <v>759</v>
      </c>
      <c r="Q219" s="9" t="s">
        <v>264</v>
      </c>
      <c r="R219" s="9" t="s">
        <v>1344</v>
      </c>
      <c r="S219" s="9" t="s">
        <v>1556</v>
      </c>
    </row>
    <row r="220" spans="2:19" x14ac:dyDescent="0.35">
      <c r="B220" s="18" t="s">
        <v>258</v>
      </c>
      <c r="C220" s="9" t="s">
        <v>259</v>
      </c>
      <c r="D220" s="9" t="s">
        <v>799</v>
      </c>
      <c r="E220" s="9" t="s">
        <v>39</v>
      </c>
      <c r="F220" s="17">
        <v>6.7000000000000002E-3</v>
      </c>
      <c r="G220" s="17">
        <v>6.7000000000000002E-3</v>
      </c>
      <c r="H220" s="17"/>
      <c r="I220" s="17"/>
      <c r="J220" s="17">
        <v>0</v>
      </c>
      <c r="K220" s="9" t="s">
        <v>1343</v>
      </c>
      <c r="L220" s="9" t="s">
        <v>260</v>
      </c>
      <c r="M220" s="9">
        <v>2022</v>
      </c>
      <c r="N220" s="9" t="s">
        <v>493</v>
      </c>
      <c r="O220" s="10" t="s">
        <v>494</v>
      </c>
      <c r="P220" s="9" t="s">
        <v>495</v>
      </c>
      <c r="Q220" s="9" t="s">
        <v>264</v>
      </c>
      <c r="R220" s="9" t="s">
        <v>1344</v>
      </c>
      <c r="S220" s="9" t="s">
        <v>1557</v>
      </c>
    </row>
    <row r="221" spans="2:19" x14ac:dyDescent="0.35">
      <c r="B221" s="18" t="s">
        <v>258</v>
      </c>
      <c r="C221" s="9" t="s">
        <v>259</v>
      </c>
      <c r="D221" s="9" t="s">
        <v>799</v>
      </c>
      <c r="E221" s="9" t="s">
        <v>39</v>
      </c>
      <c r="F221" s="17">
        <v>3.8399999999999997E-2</v>
      </c>
      <c r="G221" s="17">
        <v>3.8300000000000001E-2</v>
      </c>
      <c r="H221" s="17"/>
      <c r="I221" s="17">
        <v>1E-4</v>
      </c>
      <c r="J221" s="17">
        <v>0</v>
      </c>
      <c r="K221" s="9" t="s">
        <v>1343</v>
      </c>
      <c r="L221" s="9" t="s">
        <v>260</v>
      </c>
      <c r="M221" s="9">
        <v>2023</v>
      </c>
      <c r="N221" s="9" t="s">
        <v>493</v>
      </c>
      <c r="O221" s="10" t="s">
        <v>494</v>
      </c>
      <c r="P221" s="9" t="s">
        <v>495</v>
      </c>
      <c r="Q221" s="9" t="s">
        <v>264</v>
      </c>
      <c r="R221" s="9" t="s">
        <v>1344</v>
      </c>
      <c r="S221" s="9" t="s">
        <v>1558</v>
      </c>
    </row>
    <row r="222" spans="2:19" x14ac:dyDescent="0.35">
      <c r="B222" s="18" t="s">
        <v>258</v>
      </c>
      <c r="C222" s="9" t="s">
        <v>259</v>
      </c>
      <c r="D222" s="9" t="s">
        <v>799</v>
      </c>
      <c r="E222" s="9" t="s">
        <v>39</v>
      </c>
      <c r="F222" s="17">
        <v>7.9799999999999996E-2</v>
      </c>
      <c r="G222" s="17">
        <v>7.9699999999999993E-2</v>
      </c>
      <c r="H222" s="17"/>
      <c r="I222" s="17">
        <v>1E-4</v>
      </c>
      <c r="J222" s="17">
        <v>0</v>
      </c>
      <c r="K222" s="9" t="s">
        <v>1343</v>
      </c>
      <c r="L222" s="9" t="s">
        <v>260</v>
      </c>
      <c r="M222" s="9">
        <v>2024</v>
      </c>
      <c r="N222" s="9" t="s">
        <v>493</v>
      </c>
      <c r="O222" s="10" t="s">
        <v>494</v>
      </c>
      <c r="P222" s="9" t="s">
        <v>495</v>
      </c>
      <c r="Q222" s="9" t="s">
        <v>264</v>
      </c>
      <c r="R222" s="9" t="s">
        <v>1344</v>
      </c>
      <c r="S222" s="9" t="s">
        <v>1559</v>
      </c>
    </row>
    <row r="223" spans="2:19" x14ac:dyDescent="0.35">
      <c r="B223" s="18" t="s">
        <v>800</v>
      </c>
      <c r="C223" s="9" t="s">
        <v>801</v>
      </c>
      <c r="D223" s="9" t="s">
        <v>799</v>
      </c>
      <c r="E223" s="9" t="s">
        <v>39</v>
      </c>
      <c r="F223" s="17">
        <v>1.4E-3</v>
      </c>
      <c r="G223" s="17"/>
      <c r="H223" s="17"/>
      <c r="I223" s="17"/>
      <c r="J223" s="17">
        <v>1.4E-3</v>
      </c>
      <c r="K223" s="9" t="s">
        <v>1343</v>
      </c>
      <c r="L223" s="9" t="s">
        <v>802</v>
      </c>
      <c r="M223" s="9">
        <v>2022</v>
      </c>
      <c r="N223" s="9" t="s">
        <v>493</v>
      </c>
      <c r="O223" s="10" t="s">
        <v>494</v>
      </c>
      <c r="P223" s="9" t="s">
        <v>495</v>
      </c>
      <c r="Q223" s="9" t="s">
        <v>264</v>
      </c>
      <c r="R223" s="9" t="s">
        <v>1344</v>
      </c>
      <c r="S223" s="9" t="s">
        <v>1560</v>
      </c>
    </row>
    <row r="224" spans="2:19" x14ac:dyDescent="0.35">
      <c r="B224" s="18" t="s">
        <v>800</v>
      </c>
      <c r="C224" s="9" t="s">
        <v>801</v>
      </c>
      <c r="D224" s="9" t="s">
        <v>799</v>
      </c>
      <c r="E224" s="9" t="s">
        <v>39</v>
      </c>
      <c r="F224" s="17">
        <v>4.7999999999999996E-3</v>
      </c>
      <c r="G224" s="17"/>
      <c r="H224" s="17"/>
      <c r="I224" s="17"/>
      <c r="J224" s="17">
        <v>4.7999999999999996E-3</v>
      </c>
      <c r="K224" s="9" t="s">
        <v>1343</v>
      </c>
      <c r="L224" s="9" t="s">
        <v>802</v>
      </c>
      <c r="M224" s="9">
        <v>2023</v>
      </c>
      <c r="N224" s="9" t="s">
        <v>493</v>
      </c>
      <c r="O224" s="10" t="s">
        <v>494</v>
      </c>
      <c r="P224" s="9" t="s">
        <v>495</v>
      </c>
      <c r="Q224" s="9" t="s">
        <v>264</v>
      </c>
      <c r="R224" s="9" t="s">
        <v>1344</v>
      </c>
      <c r="S224" s="9" t="s">
        <v>1561</v>
      </c>
    </row>
    <row r="225" spans="2:19" x14ac:dyDescent="0.35">
      <c r="B225" s="18" t="s">
        <v>800</v>
      </c>
      <c r="C225" s="9" t="s">
        <v>803</v>
      </c>
      <c r="D225" s="9" t="s">
        <v>799</v>
      </c>
      <c r="E225" s="9" t="s">
        <v>39</v>
      </c>
      <c r="F225" s="17">
        <v>1.0200000000000001E-2</v>
      </c>
      <c r="G225" s="17"/>
      <c r="H225" s="17"/>
      <c r="I225" s="17"/>
      <c r="J225" s="17">
        <v>1.0200000000000001E-2</v>
      </c>
      <c r="K225" s="9" t="s">
        <v>1343</v>
      </c>
      <c r="L225" s="9" t="s">
        <v>804</v>
      </c>
      <c r="M225" s="9">
        <v>2022</v>
      </c>
      <c r="N225" s="9" t="s">
        <v>493</v>
      </c>
      <c r="O225" s="10" t="s">
        <v>494</v>
      </c>
      <c r="P225" s="9" t="s">
        <v>495</v>
      </c>
      <c r="Q225" s="9" t="s">
        <v>264</v>
      </c>
      <c r="R225" s="9" t="s">
        <v>1344</v>
      </c>
      <c r="S225" s="9" t="s">
        <v>1562</v>
      </c>
    </row>
    <row r="226" spans="2:19" x14ac:dyDescent="0.35">
      <c r="B226" s="18" t="s">
        <v>800</v>
      </c>
      <c r="C226" s="9" t="s">
        <v>803</v>
      </c>
      <c r="D226" s="9" t="s">
        <v>799</v>
      </c>
      <c r="E226" s="9" t="s">
        <v>39</v>
      </c>
      <c r="F226" s="17">
        <v>1.5100000000000001E-2</v>
      </c>
      <c r="G226" s="17"/>
      <c r="H226" s="17"/>
      <c r="I226" s="17"/>
      <c r="J226" s="17">
        <v>1.5100000000000001E-2</v>
      </c>
      <c r="K226" s="9" t="s">
        <v>1343</v>
      </c>
      <c r="L226" s="9" t="s">
        <v>804</v>
      </c>
      <c r="M226" s="9">
        <v>2023</v>
      </c>
      <c r="N226" s="9" t="s">
        <v>493</v>
      </c>
      <c r="O226" s="10" t="s">
        <v>494</v>
      </c>
      <c r="P226" s="9" t="s">
        <v>495</v>
      </c>
      <c r="Q226" s="9" t="s">
        <v>264</v>
      </c>
      <c r="R226" s="9" t="s">
        <v>1344</v>
      </c>
      <c r="S226" s="9" t="s">
        <v>1563</v>
      </c>
    </row>
    <row r="227" spans="2:19" x14ac:dyDescent="0.35">
      <c r="B227" s="18" t="s">
        <v>800</v>
      </c>
      <c r="C227" s="9" t="s">
        <v>803</v>
      </c>
      <c r="D227" s="9" t="s">
        <v>799</v>
      </c>
      <c r="E227" s="9" t="s">
        <v>39</v>
      </c>
      <c r="F227" s="17">
        <v>2.01E-2</v>
      </c>
      <c r="G227" s="17"/>
      <c r="H227" s="17"/>
      <c r="I227" s="17"/>
      <c r="J227" s="17">
        <v>2.01E-2</v>
      </c>
      <c r="K227" s="9" t="s">
        <v>1343</v>
      </c>
      <c r="L227" s="9" t="s">
        <v>804</v>
      </c>
      <c r="M227" s="9">
        <v>2024</v>
      </c>
      <c r="N227" s="9" t="s">
        <v>493</v>
      </c>
      <c r="O227" s="10" t="s">
        <v>494</v>
      </c>
      <c r="P227" s="9" t="s">
        <v>495</v>
      </c>
      <c r="Q227" s="9" t="s">
        <v>264</v>
      </c>
      <c r="R227" s="9" t="s">
        <v>1344</v>
      </c>
      <c r="S227" s="9" t="s">
        <v>1564</v>
      </c>
    </row>
    <row r="228" spans="2:19" x14ac:dyDescent="0.35">
      <c r="B228" s="18" t="s">
        <v>258</v>
      </c>
      <c r="C228" s="9" t="s">
        <v>259</v>
      </c>
      <c r="D228" s="9" t="s">
        <v>799</v>
      </c>
      <c r="E228" s="9" t="s">
        <v>39</v>
      </c>
      <c r="F228" s="17">
        <v>0.36180000000000001</v>
      </c>
      <c r="G228" s="17">
        <v>0.36020000000000002</v>
      </c>
      <c r="H228" s="17">
        <v>6.9999999999999999E-4</v>
      </c>
      <c r="I228" s="17">
        <v>8.9999999999999998E-4</v>
      </c>
      <c r="J228" s="17">
        <v>0</v>
      </c>
      <c r="K228" s="9" t="s">
        <v>1343</v>
      </c>
      <c r="L228" s="9" t="s">
        <v>260</v>
      </c>
      <c r="M228" s="9">
        <v>2023</v>
      </c>
      <c r="N228" s="9" t="s">
        <v>628</v>
      </c>
      <c r="O228" s="10" t="s">
        <v>629</v>
      </c>
      <c r="P228" s="9" t="s">
        <v>630</v>
      </c>
      <c r="Q228" s="9" t="s">
        <v>264</v>
      </c>
      <c r="R228" s="9" t="s">
        <v>1344</v>
      </c>
      <c r="S228" s="9" t="s">
        <v>1565</v>
      </c>
    </row>
    <row r="229" spans="2:19" x14ac:dyDescent="0.35">
      <c r="B229" s="18" t="s">
        <v>258</v>
      </c>
      <c r="C229" s="9" t="s">
        <v>259</v>
      </c>
      <c r="D229" s="9" t="s">
        <v>799</v>
      </c>
      <c r="E229" s="9" t="s">
        <v>39</v>
      </c>
      <c r="F229" s="17">
        <v>0.36530000000000001</v>
      </c>
      <c r="G229" s="17">
        <v>0.3634</v>
      </c>
      <c r="H229" s="17">
        <v>8.9999999999999998E-4</v>
      </c>
      <c r="I229" s="17">
        <v>1E-3</v>
      </c>
      <c r="J229" s="17">
        <v>0</v>
      </c>
      <c r="K229" s="9" t="s">
        <v>1343</v>
      </c>
      <c r="L229" s="9" t="s">
        <v>260</v>
      </c>
      <c r="M229" s="9">
        <v>2022</v>
      </c>
      <c r="N229" s="9" t="s">
        <v>628</v>
      </c>
      <c r="O229" s="10" t="s">
        <v>629</v>
      </c>
      <c r="P229" s="9" t="s">
        <v>630</v>
      </c>
      <c r="Q229" s="9" t="s">
        <v>264</v>
      </c>
      <c r="R229" s="9" t="s">
        <v>1344</v>
      </c>
      <c r="S229" s="9" t="s">
        <v>1566</v>
      </c>
    </row>
    <row r="230" spans="2:19" x14ac:dyDescent="0.35">
      <c r="B230" s="18" t="s">
        <v>800</v>
      </c>
      <c r="C230" s="9" t="s">
        <v>801</v>
      </c>
      <c r="D230" s="9" t="s">
        <v>799</v>
      </c>
      <c r="E230" s="9" t="s">
        <v>39</v>
      </c>
      <c r="F230" s="17">
        <v>5.7099999999999998E-2</v>
      </c>
      <c r="G230" s="17"/>
      <c r="H230" s="17"/>
      <c r="I230" s="17"/>
      <c r="J230" s="17">
        <v>5.7099999999999998E-2</v>
      </c>
      <c r="K230" s="9" t="s">
        <v>1343</v>
      </c>
      <c r="L230" s="9" t="s">
        <v>802</v>
      </c>
      <c r="M230" s="9">
        <v>2022</v>
      </c>
      <c r="N230" s="9" t="s">
        <v>628</v>
      </c>
      <c r="O230" s="10" t="s">
        <v>629</v>
      </c>
      <c r="P230" s="9" t="s">
        <v>630</v>
      </c>
      <c r="Q230" s="9" t="s">
        <v>264</v>
      </c>
      <c r="R230" s="9" t="s">
        <v>1344</v>
      </c>
      <c r="S230" s="9" t="s">
        <v>1567</v>
      </c>
    </row>
    <row r="231" spans="2:19" x14ac:dyDescent="0.35">
      <c r="B231" s="18" t="s">
        <v>800</v>
      </c>
      <c r="C231" s="9" t="s">
        <v>801</v>
      </c>
      <c r="D231" s="9" t="s">
        <v>799</v>
      </c>
      <c r="E231" s="9" t="s">
        <v>39</v>
      </c>
      <c r="F231" s="17">
        <v>5.96E-2</v>
      </c>
      <c r="G231" s="17"/>
      <c r="H231" s="17"/>
      <c r="I231" s="17"/>
      <c r="J231" s="17">
        <v>5.96E-2</v>
      </c>
      <c r="K231" s="9" t="s">
        <v>1343</v>
      </c>
      <c r="L231" s="9" t="s">
        <v>802</v>
      </c>
      <c r="M231" s="9">
        <v>2023</v>
      </c>
      <c r="N231" s="9" t="s">
        <v>628</v>
      </c>
      <c r="O231" s="10" t="s">
        <v>629</v>
      </c>
      <c r="P231" s="9" t="s">
        <v>630</v>
      </c>
      <c r="Q231" s="9" t="s">
        <v>264</v>
      </c>
      <c r="R231" s="9" t="s">
        <v>1344</v>
      </c>
      <c r="S231" s="9" t="s">
        <v>1568</v>
      </c>
    </row>
    <row r="232" spans="2:19" x14ac:dyDescent="0.35">
      <c r="B232" s="18" t="s">
        <v>800</v>
      </c>
      <c r="C232" s="9" t="s">
        <v>803</v>
      </c>
      <c r="D232" s="9" t="s">
        <v>799</v>
      </c>
      <c r="E232" s="9" t="s">
        <v>39</v>
      </c>
      <c r="F232" s="17">
        <v>7.5800000000000006E-2</v>
      </c>
      <c r="G232" s="17"/>
      <c r="H232" s="17"/>
      <c r="I232" s="17"/>
      <c r="J232" s="17">
        <v>7.5800000000000006E-2</v>
      </c>
      <c r="K232" s="9" t="s">
        <v>1343</v>
      </c>
      <c r="L232" s="9" t="s">
        <v>804</v>
      </c>
      <c r="M232" s="9">
        <v>2023</v>
      </c>
      <c r="N232" s="9" t="s">
        <v>628</v>
      </c>
      <c r="O232" s="10" t="s">
        <v>629</v>
      </c>
      <c r="P232" s="9" t="s">
        <v>630</v>
      </c>
      <c r="Q232" s="9" t="s">
        <v>264</v>
      </c>
      <c r="R232" s="9" t="s">
        <v>1344</v>
      </c>
      <c r="S232" s="9" t="s">
        <v>1569</v>
      </c>
    </row>
    <row r="233" spans="2:19" x14ac:dyDescent="0.35">
      <c r="B233" s="18" t="s">
        <v>800</v>
      </c>
      <c r="C233" s="9" t="s">
        <v>803</v>
      </c>
      <c r="D233" s="9" t="s">
        <v>799</v>
      </c>
      <c r="E233" s="9" t="s">
        <v>39</v>
      </c>
      <c r="F233" s="17">
        <v>7.6399999999999996E-2</v>
      </c>
      <c r="G233" s="17"/>
      <c r="H233" s="17"/>
      <c r="I233" s="17"/>
      <c r="J233" s="17">
        <v>7.6399999999999996E-2</v>
      </c>
      <c r="K233" s="9" t="s">
        <v>1343</v>
      </c>
      <c r="L233" s="9" t="s">
        <v>804</v>
      </c>
      <c r="M233" s="9">
        <v>2022</v>
      </c>
      <c r="N233" s="9" t="s">
        <v>628</v>
      </c>
      <c r="O233" s="10" t="s">
        <v>629</v>
      </c>
      <c r="P233" s="9" t="s">
        <v>630</v>
      </c>
      <c r="Q233" s="9" t="s">
        <v>264</v>
      </c>
      <c r="R233" s="9" t="s">
        <v>1344</v>
      </c>
      <c r="S233" s="9" t="s">
        <v>1570</v>
      </c>
    </row>
    <row r="234" spans="2:19" x14ac:dyDescent="0.35">
      <c r="B234" s="18" t="s">
        <v>258</v>
      </c>
      <c r="C234" s="9" t="s">
        <v>259</v>
      </c>
      <c r="D234" s="9" t="s">
        <v>799</v>
      </c>
      <c r="E234" s="9" t="s">
        <v>39</v>
      </c>
      <c r="F234" s="17">
        <v>0.12759999999999999</v>
      </c>
      <c r="G234" s="17">
        <v>0.12720000000000001</v>
      </c>
      <c r="H234" s="17">
        <v>1E-4</v>
      </c>
      <c r="I234" s="17">
        <v>2.9999999999999997E-4</v>
      </c>
      <c r="J234" s="17">
        <v>0</v>
      </c>
      <c r="K234" s="9" t="s">
        <v>1343</v>
      </c>
      <c r="L234" s="9" t="s">
        <v>260</v>
      </c>
      <c r="M234" s="9">
        <v>2024</v>
      </c>
      <c r="N234" s="9" t="s">
        <v>452</v>
      </c>
      <c r="O234" s="10" t="s">
        <v>453</v>
      </c>
      <c r="P234" s="9" t="s">
        <v>454</v>
      </c>
      <c r="Q234" s="9" t="s">
        <v>264</v>
      </c>
      <c r="R234" s="9" t="s">
        <v>1344</v>
      </c>
      <c r="S234" s="9" t="s">
        <v>1571</v>
      </c>
    </row>
    <row r="235" spans="2:19" x14ac:dyDescent="0.35">
      <c r="B235" s="18" t="s">
        <v>258</v>
      </c>
      <c r="C235" s="9" t="s">
        <v>259</v>
      </c>
      <c r="D235" s="9" t="s">
        <v>799</v>
      </c>
      <c r="E235" s="9" t="s">
        <v>39</v>
      </c>
      <c r="F235" s="17">
        <v>0.1487</v>
      </c>
      <c r="G235" s="17">
        <v>0.14829999999999999</v>
      </c>
      <c r="H235" s="17">
        <v>1E-4</v>
      </c>
      <c r="I235" s="17">
        <v>2.9999999999999997E-4</v>
      </c>
      <c r="J235" s="17">
        <v>0</v>
      </c>
      <c r="K235" s="9" t="s">
        <v>1343</v>
      </c>
      <c r="L235" s="9" t="s">
        <v>260</v>
      </c>
      <c r="M235" s="9">
        <v>2023</v>
      </c>
      <c r="N235" s="9" t="s">
        <v>452</v>
      </c>
      <c r="O235" s="10" t="s">
        <v>453</v>
      </c>
      <c r="P235" s="9" t="s">
        <v>454</v>
      </c>
      <c r="Q235" s="9" t="s">
        <v>264</v>
      </c>
      <c r="R235" s="9" t="s">
        <v>1344</v>
      </c>
      <c r="S235" s="9" t="s">
        <v>1572</v>
      </c>
    </row>
    <row r="236" spans="2:19" x14ac:dyDescent="0.35">
      <c r="B236" s="18" t="s">
        <v>258</v>
      </c>
      <c r="C236" s="9" t="s">
        <v>259</v>
      </c>
      <c r="D236" s="9" t="s">
        <v>799</v>
      </c>
      <c r="E236" s="9" t="s">
        <v>39</v>
      </c>
      <c r="F236" s="17">
        <v>0.18540000000000001</v>
      </c>
      <c r="G236" s="17">
        <v>0.18490000000000001</v>
      </c>
      <c r="H236" s="17">
        <v>1E-4</v>
      </c>
      <c r="I236" s="17">
        <v>4.0000000000000002E-4</v>
      </c>
      <c r="J236" s="17">
        <v>0</v>
      </c>
      <c r="K236" s="9" t="s">
        <v>1343</v>
      </c>
      <c r="L236" s="9" t="s">
        <v>260</v>
      </c>
      <c r="M236" s="9">
        <v>2022</v>
      </c>
      <c r="N236" s="9" t="s">
        <v>452</v>
      </c>
      <c r="O236" s="10" t="s">
        <v>453</v>
      </c>
      <c r="P236" s="9" t="s">
        <v>454</v>
      </c>
      <c r="Q236" s="9" t="s">
        <v>264</v>
      </c>
      <c r="R236" s="9" t="s">
        <v>1344</v>
      </c>
      <c r="S236" s="9" t="s">
        <v>1573</v>
      </c>
    </row>
    <row r="237" spans="2:19" x14ac:dyDescent="0.35">
      <c r="B237" s="18" t="s">
        <v>800</v>
      </c>
      <c r="C237" s="9" t="s">
        <v>801</v>
      </c>
      <c r="D237" s="9" t="s">
        <v>799</v>
      </c>
      <c r="E237" s="9" t="s">
        <v>39</v>
      </c>
      <c r="F237" s="17">
        <v>1.26E-2</v>
      </c>
      <c r="G237" s="17"/>
      <c r="H237" s="17"/>
      <c r="I237" s="17"/>
      <c r="J237" s="17">
        <v>1.26E-2</v>
      </c>
      <c r="K237" s="9" t="s">
        <v>1343</v>
      </c>
      <c r="L237" s="9" t="s">
        <v>802</v>
      </c>
      <c r="M237" s="9">
        <v>2023</v>
      </c>
      <c r="N237" s="9" t="s">
        <v>452</v>
      </c>
      <c r="O237" s="10" t="s">
        <v>453</v>
      </c>
      <c r="P237" s="9" t="s">
        <v>454</v>
      </c>
      <c r="Q237" s="9" t="s">
        <v>264</v>
      </c>
      <c r="R237" s="9" t="s">
        <v>1344</v>
      </c>
      <c r="S237" s="9" t="s">
        <v>1574</v>
      </c>
    </row>
    <row r="238" spans="2:19" x14ac:dyDescent="0.35">
      <c r="B238" s="18" t="s">
        <v>800</v>
      </c>
      <c r="C238" s="9" t="s">
        <v>801</v>
      </c>
      <c r="D238" s="9" t="s">
        <v>799</v>
      </c>
      <c r="E238" s="9" t="s">
        <v>39</v>
      </c>
      <c r="F238" s="17">
        <v>1.5100000000000001E-2</v>
      </c>
      <c r="G238" s="17"/>
      <c r="H238" s="17"/>
      <c r="I238" s="17"/>
      <c r="J238" s="17">
        <v>1.5100000000000001E-2</v>
      </c>
      <c r="K238" s="9" t="s">
        <v>1343</v>
      </c>
      <c r="L238" s="9" t="s">
        <v>802</v>
      </c>
      <c r="M238" s="9">
        <v>2022</v>
      </c>
      <c r="N238" s="9" t="s">
        <v>452</v>
      </c>
      <c r="O238" s="10" t="s">
        <v>453</v>
      </c>
      <c r="P238" s="9" t="s">
        <v>454</v>
      </c>
      <c r="Q238" s="9" t="s">
        <v>264</v>
      </c>
      <c r="R238" s="9" t="s">
        <v>1344</v>
      </c>
      <c r="S238" s="9" t="s">
        <v>1575</v>
      </c>
    </row>
    <row r="239" spans="2:19" x14ac:dyDescent="0.35">
      <c r="B239" s="18" t="s">
        <v>800</v>
      </c>
      <c r="C239" s="9" t="s">
        <v>803</v>
      </c>
      <c r="D239" s="9" t="s">
        <v>799</v>
      </c>
      <c r="E239" s="9" t="s">
        <v>39</v>
      </c>
      <c r="F239" s="17">
        <v>3.44E-2</v>
      </c>
      <c r="G239" s="17"/>
      <c r="H239" s="17"/>
      <c r="I239" s="17"/>
      <c r="J239" s="17">
        <v>3.44E-2</v>
      </c>
      <c r="K239" s="9" t="s">
        <v>1343</v>
      </c>
      <c r="L239" s="9" t="s">
        <v>804</v>
      </c>
      <c r="M239" s="9">
        <v>2024</v>
      </c>
      <c r="N239" s="9" t="s">
        <v>452</v>
      </c>
      <c r="O239" s="10" t="s">
        <v>453</v>
      </c>
      <c r="P239" s="9" t="s">
        <v>454</v>
      </c>
      <c r="Q239" s="9" t="s">
        <v>264</v>
      </c>
      <c r="R239" s="9" t="s">
        <v>1344</v>
      </c>
      <c r="S239" s="9" t="s">
        <v>1576</v>
      </c>
    </row>
    <row r="240" spans="2:19" x14ac:dyDescent="0.35">
      <c r="B240" s="18" t="s">
        <v>800</v>
      </c>
      <c r="C240" s="9" t="s">
        <v>803</v>
      </c>
      <c r="D240" s="9" t="s">
        <v>799</v>
      </c>
      <c r="E240" s="9" t="s">
        <v>39</v>
      </c>
      <c r="F240" s="17">
        <v>3.7999999999999999E-2</v>
      </c>
      <c r="G240" s="17"/>
      <c r="H240" s="17"/>
      <c r="I240" s="17"/>
      <c r="J240" s="17">
        <v>3.7999999999999999E-2</v>
      </c>
      <c r="K240" s="9" t="s">
        <v>1343</v>
      </c>
      <c r="L240" s="9" t="s">
        <v>804</v>
      </c>
      <c r="M240" s="9">
        <v>2023</v>
      </c>
      <c r="N240" s="9" t="s">
        <v>452</v>
      </c>
      <c r="O240" s="10" t="s">
        <v>453</v>
      </c>
      <c r="P240" s="9" t="s">
        <v>454</v>
      </c>
      <c r="Q240" s="9" t="s">
        <v>264</v>
      </c>
      <c r="R240" s="9" t="s">
        <v>1344</v>
      </c>
      <c r="S240" s="9" t="s">
        <v>1577</v>
      </c>
    </row>
    <row r="241" spans="2:19" x14ac:dyDescent="0.35">
      <c r="B241" s="18" t="s">
        <v>800</v>
      </c>
      <c r="C241" s="9" t="s">
        <v>803</v>
      </c>
      <c r="D241" s="9" t="s">
        <v>799</v>
      </c>
      <c r="E241" s="9" t="s">
        <v>39</v>
      </c>
      <c r="F241" s="17">
        <v>4.5900000000000003E-2</v>
      </c>
      <c r="G241" s="17"/>
      <c r="H241" s="17"/>
      <c r="I241" s="17"/>
      <c r="J241" s="17">
        <v>4.5900000000000003E-2</v>
      </c>
      <c r="K241" s="9" t="s">
        <v>1343</v>
      </c>
      <c r="L241" s="9" t="s">
        <v>804</v>
      </c>
      <c r="M241" s="9">
        <v>2022</v>
      </c>
      <c r="N241" s="9" t="s">
        <v>452</v>
      </c>
      <c r="O241" s="10" t="s">
        <v>453</v>
      </c>
      <c r="P241" s="9" t="s">
        <v>454</v>
      </c>
      <c r="Q241" s="9" t="s">
        <v>264</v>
      </c>
      <c r="R241" s="9" t="s">
        <v>1344</v>
      </c>
      <c r="S241" s="9" t="s">
        <v>1578</v>
      </c>
    </row>
    <row r="242" spans="2:19" x14ac:dyDescent="0.35">
      <c r="B242" s="18" t="s">
        <v>258</v>
      </c>
      <c r="C242" s="9" t="s">
        <v>259</v>
      </c>
      <c r="D242" s="9" t="s">
        <v>799</v>
      </c>
      <c r="E242" s="9" t="s">
        <v>39</v>
      </c>
      <c r="F242" s="17">
        <v>0.45729999999999998</v>
      </c>
      <c r="G242" s="17">
        <v>0.45540000000000003</v>
      </c>
      <c r="H242" s="17">
        <v>6.9999999999999999E-4</v>
      </c>
      <c r="I242" s="17">
        <v>1.1999999999999999E-3</v>
      </c>
      <c r="J242" s="17">
        <v>0</v>
      </c>
      <c r="K242" s="9" t="s">
        <v>1343</v>
      </c>
      <c r="L242" s="9" t="s">
        <v>260</v>
      </c>
      <c r="M242" s="9">
        <v>2023</v>
      </c>
      <c r="N242" s="9" t="s">
        <v>502</v>
      </c>
      <c r="O242" s="10" t="s">
        <v>503</v>
      </c>
      <c r="P242" s="9" t="s">
        <v>504</v>
      </c>
      <c r="Q242" s="9" t="s">
        <v>264</v>
      </c>
      <c r="R242" s="9" t="s">
        <v>1344</v>
      </c>
      <c r="S242" s="9" t="s">
        <v>1579</v>
      </c>
    </row>
    <row r="243" spans="2:19" x14ac:dyDescent="0.35">
      <c r="B243" s="18" t="s">
        <v>258</v>
      </c>
      <c r="C243" s="9" t="s">
        <v>259</v>
      </c>
      <c r="D243" s="9" t="s">
        <v>799</v>
      </c>
      <c r="E243" s="9" t="s">
        <v>39</v>
      </c>
      <c r="F243" s="17">
        <v>0.6149</v>
      </c>
      <c r="G243" s="17">
        <v>0.61219999999999997</v>
      </c>
      <c r="H243" s="17">
        <v>1E-3</v>
      </c>
      <c r="I243" s="17">
        <v>1.6999999999999999E-3</v>
      </c>
      <c r="J243" s="17">
        <v>0</v>
      </c>
      <c r="K243" s="9" t="s">
        <v>1343</v>
      </c>
      <c r="L243" s="9" t="s">
        <v>260</v>
      </c>
      <c r="M243" s="9">
        <v>2022</v>
      </c>
      <c r="N243" s="9" t="s">
        <v>502</v>
      </c>
      <c r="O243" s="10" t="s">
        <v>503</v>
      </c>
      <c r="P243" s="9" t="s">
        <v>504</v>
      </c>
      <c r="Q243" s="9" t="s">
        <v>264</v>
      </c>
      <c r="R243" s="9" t="s">
        <v>1344</v>
      </c>
      <c r="S243" s="9" t="s">
        <v>1580</v>
      </c>
    </row>
    <row r="244" spans="2:19" x14ac:dyDescent="0.35">
      <c r="B244" s="18" t="s">
        <v>800</v>
      </c>
      <c r="C244" s="9" t="s">
        <v>801</v>
      </c>
      <c r="D244" s="9" t="s">
        <v>799</v>
      </c>
      <c r="E244" s="9" t="s">
        <v>39</v>
      </c>
      <c r="F244" s="17">
        <v>0.1159</v>
      </c>
      <c r="G244" s="17"/>
      <c r="H244" s="17"/>
      <c r="I244" s="17"/>
      <c r="J244" s="17">
        <v>0.1159</v>
      </c>
      <c r="K244" s="9" t="s">
        <v>1343</v>
      </c>
      <c r="L244" s="9" t="s">
        <v>802</v>
      </c>
      <c r="M244" s="9">
        <v>2023</v>
      </c>
      <c r="N244" s="9" t="s">
        <v>502</v>
      </c>
      <c r="O244" s="10" t="s">
        <v>503</v>
      </c>
      <c r="P244" s="9" t="s">
        <v>504</v>
      </c>
      <c r="Q244" s="9" t="s">
        <v>264</v>
      </c>
      <c r="R244" s="9" t="s">
        <v>1344</v>
      </c>
      <c r="S244" s="9" t="s">
        <v>1581</v>
      </c>
    </row>
    <row r="245" spans="2:19" x14ac:dyDescent="0.35">
      <c r="B245" s="18" t="s">
        <v>800</v>
      </c>
      <c r="C245" s="9" t="s">
        <v>801</v>
      </c>
      <c r="D245" s="9" t="s">
        <v>799</v>
      </c>
      <c r="E245" s="9" t="s">
        <v>39</v>
      </c>
      <c r="F245" s="17">
        <v>0.1593</v>
      </c>
      <c r="G245" s="17"/>
      <c r="H245" s="17"/>
      <c r="I245" s="17"/>
      <c r="J245" s="17">
        <v>0.1593</v>
      </c>
      <c r="K245" s="9" t="s">
        <v>1343</v>
      </c>
      <c r="L245" s="9" t="s">
        <v>802</v>
      </c>
      <c r="M245" s="9">
        <v>2022</v>
      </c>
      <c r="N245" s="9" t="s">
        <v>502</v>
      </c>
      <c r="O245" s="10" t="s">
        <v>503</v>
      </c>
      <c r="P245" s="9" t="s">
        <v>504</v>
      </c>
      <c r="Q245" s="9" t="s">
        <v>264</v>
      </c>
      <c r="R245" s="9" t="s">
        <v>1344</v>
      </c>
      <c r="S245" s="9" t="s">
        <v>1582</v>
      </c>
    </row>
    <row r="246" spans="2:19" x14ac:dyDescent="0.35">
      <c r="B246" s="18" t="s">
        <v>800</v>
      </c>
      <c r="C246" s="9" t="s">
        <v>803</v>
      </c>
      <c r="D246" s="9" t="s">
        <v>799</v>
      </c>
      <c r="E246" s="9" t="s">
        <v>39</v>
      </c>
      <c r="F246" s="17">
        <v>0.1149</v>
      </c>
      <c r="G246" s="17"/>
      <c r="H246" s="17"/>
      <c r="I246" s="17"/>
      <c r="J246" s="17">
        <v>0.1149</v>
      </c>
      <c r="K246" s="9" t="s">
        <v>1343</v>
      </c>
      <c r="L246" s="9" t="s">
        <v>804</v>
      </c>
      <c r="M246" s="9">
        <v>2023</v>
      </c>
      <c r="N246" s="9" t="s">
        <v>502</v>
      </c>
      <c r="O246" s="10" t="s">
        <v>503</v>
      </c>
      <c r="P246" s="9" t="s">
        <v>504</v>
      </c>
      <c r="Q246" s="9" t="s">
        <v>264</v>
      </c>
      <c r="R246" s="9" t="s">
        <v>1344</v>
      </c>
      <c r="S246" s="9" t="s">
        <v>1583</v>
      </c>
    </row>
    <row r="247" spans="2:19" x14ac:dyDescent="0.35">
      <c r="B247" s="18" t="s">
        <v>800</v>
      </c>
      <c r="C247" s="9" t="s">
        <v>803</v>
      </c>
      <c r="D247" s="9" t="s">
        <v>799</v>
      </c>
      <c r="E247" s="9" t="s">
        <v>39</v>
      </c>
      <c r="F247" s="17">
        <v>0.15659999999999999</v>
      </c>
      <c r="G247" s="17"/>
      <c r="H247" s="17"/>
      <c r="I247" s="17"/>
      <c r="J247" s="17">
        <v>0.15659999999999999</v>
      </c>
      <c r="K247" s="9" t="s">
        <v>1343</v>
      </c>
      <c r="L247" s="9" t="s">
        <v>804</v>
      </c>
      <c r="M247" s="9">
        <v>2022</v>
      </c>
      <c r="N247" s="9" t="s">
        <v>502</v>
      </c>
      <c r="O247" s="10" t="s">
        <v>503</v>
      </c>
      <c r="P247" s="9" t="s">
        <v>504</v>
      </c>
      <c r="Q247" s="9" t="s">
        <v>264</v>
      </c>
      <c r="R247" s="9" t="s">
        <v>1344</v>
      </c>
      <c r="S247" s="9" t="s">
        <v>1584</v>
      </c>
    </row>
    <row r="248" spans="2:19" x14ac:dyDescent="0.35">
      <c r="B248" s="18" t="s">
        <v>258</v>
      </c>
      <c r="C248" s="9" t="s">
        <v>259</v>
      </c>
      <c r="D248" s="9" t="s">
        <v>799</v>
      </c>
      <c r="E248" s="9" t="s">
        <v>39</v>
      </c>
      <c r="F248" s="17">
        <v>0.49419999999999997</v>
      </c>
      <c r="G248" s="17">
        <v>0.49249999999999999</v>
      </c>
      <c r="H248" s="17">
        <v>5.9999999999999995E-4</v>
      </c>
      <c r="I248" s="17">
        <v>1.1000000000000001E-3</v>
      </c>
      <c r="J248" s="17">
        <v>0</v>
      </c>
      <c r="K248" s="9" t="s">
        <v>1343</v>
      </c>
      <c r="L248" s="9" t="s">
        <v>260</v>
      </c>
      <c r="M248" s="9">
        <v>2023</v>
      </c>
      <c r="N248" s="9" t="s">
        <v>763</v>
      </c>
      <c r="O248" s="10" t="s">
        <v>764</v>
      </c>
      <c r="P248" s="9" t="s">
        <v>765</v>
      </c>
      <c r="Q248" s="9" t="s">
        <v>264</v>
      </c>
      <c r="R248" s="9" t="s">
        <v>1344</v>
      </c>
      <c r="S248" s="9" t="s">
        <v>1585</v>
      </c>
    </row>
    <row r="249" spans="2:19" x14ac:dyDescent="0.35">
      <c r="B249" s="18" t="s">
        <v>258</v>
      </c>
      <c r="C249" s="9" t="s">
        <v>259</v>
      </c>
      <c r="D249" s="9" t="s">
        <v>799</v>
      </c>
      <c r="E249" s="9" t="s">
        <v>39</v>
      </c>
      <c r="F249" s="17">
        <v>0.60599999999999998</v>
      </c>
      <c r="G249" s="17">
        <v>0.60399999999999998</v>
      </c>
      <c r="H249" s="17">
        <v>6.9999999999999999E-4</v>
      </c>
      <c r="I249" s="17">
        <v>1.2999999999999999E-3</v>
      </c>
      <c r="J249" s="17">
        <v>0</v>
      </c>
      <c r="K249" s="9" t="s">
        <v>1343</v>
      </c>
      <c r="L249" s="9" t="s">
        <v>260</v>
      </c>
      <c r="M249" s="9">
        <v>2022</v>
      </c>
      <c r="N249" s="9" t="s">
        <v>763</v>
      </c>
      <c r="O249" s="10" t="s">
        <v>764</v>
      </c>
      <c r="P249" s="9" t="s">
        <v>765</v>
      </c>
      <c r="Q249" s="9" t="s">
        <v>264</v>
      </c>
      <c r="R249" s="9" t="s">
        <v>1344</v>
      </c>
      <c r="S249" s="9" t="s">
        <v>1586</v>
      </c>
    </row>
    <row r="250" spans="2:19" x14ac:dyDescent="0.35">
      <c r="B250" s="18" t="s">
        <v>800</v>
      </c>
      <c r="C250" s="9" t="s">
        <v>801</v>
      </c>
      <c r="D250" s="9" t="s">
        <v>799</v>
      </c>
      <c r="E250" s="9" t="s">
        <v>39</v>
      </c>
      <c r="F250" s="17">
        <v>7.2400000000000006E-2</v>
      </c>
      <c r="G250" s="17"/>
      <c r="H250" s="17"/>
      <c r="I250" s="17"/>
      <c r="J250" s="17">
        <v>7.2400000000000006E-2</v>
      </c>
      <c r="K250" s="9" t="s">
        <v>1343</v>
      </c>
      <c r="L250" s="9" t="s">
        <v>802</v>
      </c>
      <c r="M250" s="9">
        <v>2023</v>
      </c>
      <c r="N250" s="9" t="s">
        <v>763</v>
      </c>
      <c r="O250" s="10" t="s">
        <v>764</v>
      </c>
      <c r="P250" s="9" t="s">
        <v>765</v>
      </c>
      <c r="Q250" s="9" t="s">
        <v>264</v>
      </c>
      <c r="R250" s="9" t="s">
        <v>1344</v>
      </c>
      <c r="S250" s="9" t="s">
        <v>1587</v>
      </c>
    </row>
    <row r="251" spans="2:19" x14ac:dyDescent="0.35">
      <c r="B251" s="18" t="s">
        <v>800</v>
      </c>
      <c r="C251" s="9" t="s">
        <v>801</v>
      </c>
      <c r="D251" s="9" t="s">
        <v>799</v>
      </c>
      <c r="E251" s="9" t="s">
        <v>39</v>
      </c>
      <c r="F251" s="17">
        <v>8.8800000000000004E-2</v>
      </c>
      <c r="G251" s="17"/>
      <c r="H251" s="17"/>
      <c r="I251" s="17"/>
      <c r="J251" s="17">
        <v>8.8800000000000004E-2</v>
      </c>
      <c r="K251" s="9" t="s">
        <v>1343</v>
      </c>
      <c r="L251" s="9" t="s">
        <v>802</v>
      </c>
      <c r="M251" s="9">
        <v>2022</v>
      </c>
      <c r="N251" s="9" t="s">
        <v>763</v>
      </c>
      <c r="O251" s="10" t="s">
        <v>764</v>
      </c>
      <c r="P251" s="9" t="s">
        <v>765</v>
      </c>
      <c r="Q251" s="9" t="s">
        <v>264</v>
      </c>
      <c r="R251" s="9" t="s">
        <v>1344</v>
      </c>
      <c r="S251" s="9" t="s">
        <v>1588</v>
      </c>
    </row>
    <row r="252" spans="2:19" x14ac:dyDescent="0.35">
      <c r="B252" s="18" t="s">
        <v>800</v>
      </c>
      <c r="C252" s="9" t="s">
        <v>803</v>
      </c>
      <c r="D252" s="9" t="s">
        <v>799</v>
      </c>
      <c r="E252" s="9" t="s">
        <v>39</v>
      </c>
      <c r="F252" s="17">
        <v>0.14929999999999999</v>
      </c>
      <c r="G252" s="17"/>
      <c r="H252" s="17"/>
      <c r="I252" s="17"/>
      <c r="J252" s="17">
        <v>0.14929999999999999</v>
      </c>
      <c r="K252" s="9" t="s">
        <v>1343</v>
      </c>
      <c r="L252" s="9" t="s">
        <v>804</v>
      </c>
      <c r="M252" s="9">
        <v>2023</v>
      </c>
      <c r="N252" s="9" t="s">
        <v>763</v>
      </c>
      <c r="O252" s="10" t="s">
        <v>764</v>
      </c>
      <c r="P252" s="9" t="s">
        <v>765</v>
      </c>
      <c r="Q252" s="9" t="s">
        <v>264</v>
      </c>
      <c r="R252" s="9" t="s">
        <v>1344</v>
      </c>
      <c r="S252" s="9" t="s">
        <v>1589</v>
      </c>
    </row>
    <row r="253" spans="2:19" x14ac:dyDescent="0.35">
      <c r="B253" s="18" t="s">
        <v>800</v>
      </c>
      <c r="C253" s="9" t="s">
        <v>803</v>
      </c>
      <c r="D253" s="9" t="s">
        <v>799</v>
      </c>
      <c r="E253" s="9" t="s">
        <v>39</v>
      </c>
      <c r="F253" s="17">
        <v>0.1802</v>
      </c>
      <c r="G253" s="17"/>
      <c r="H253" s="17"/>
      <c r="I253" s="17"/>
      <c r="J253" s="17">
        <v>0.1802</v>
      </c>
      <c r="K253" s="9" t="s">
        <v>1343</v>
      </c>
      <c r="L253" s="9" t="s">
        <v>804</v>
      </c>
      <c r="M253" s="9">
        <v>2022</v>
      </c>
      <c r="N253" s="9" t="s">
        <v>763</v>
      </c>
      <c r="O253" s="10" t="s">
        <v>764</v>
      </c>
      <c r="P253" s="9" t="s">
        <v>765</v>
      </c>
      <c r="Q253" s="9" t="s">
        <v>264</v>
      </c>
      <c r="R253" s="9" t="s">
        <v>1344</v>
      </c>
      <c r="S253" s="9" t="s">
        <v>1590</v>
      </c>
    </row>
    <row r="254" spans="2:19" x14ac:dyDescent="0.35">
      <c r="B254" s="18" t="s">
        <v>258</v>
      </c>
      <c r="C254" s="9" t="s">
        <v>259</v>
      </c>
      <c r="D254" s="9" t="s">
        <v>799</v>
      </c>
      <c r="E254" s="9" t="s">
        <v>39</v>
      </c>
      <c r="F254" s="17">
        <v>0.55130000000000001</v>
      </c>
      <c r="G254" s="17">
        <v>0.54949999999999999</v>
      </c>
      <c r="H254" s="17">
        <v>5.9999999999999995E-4</v>
      </c>
      <c r="I254" s="17">
        <v>1.1999999999999999E-3</v>
      </c>
      <c r="J254" s="17">
        <v>0</v>
      </c>
      <c r="K254" s="9" t="s">
        <v>1343</v>
      </c>
      <c r="L254" s="9" t="s">
        <v>260</v>
      </c>
      <c r="M254" s="9">
        <v>2024</v>
      </c>
      <c r="N254" s="9" t="s">
        <v>261</v>
      </c>
      <c r="O254" s="10" t="s">
        <v>262</v>
      </c>
      <c r="P254" s="9" t="s">
        <v>263</v>
      </c>
      <c r="Q254" s="9" t="s">
        <v>264</v>
      </c>
      <c r="R254" s="9" t="s">
        <v>1344</v>
      </c>
      <c r="S254" s="9" t="s">
        <v>1591</v>
      </c>
    </row>
    <row r="255" spans="2:19" x14ac:dyDescent="0.35">
      <c r="B255" s="18" t="s">
        <v>258</v>
      </c>
      <c r="C255" s="9" t="s">
        <v>259</v>
      </c>
      <c r="D255" s="9" t="s">
        <v>799</v>
      </c>
      <c r="E255" s="9" t="s">
        <v>39</v>
      </c>
      <c r="F255" s="17">
        <v>0.57389999999999997</v>
      </c>
      <c r="G255" s="17">
        <v>0.57210000000000005</v>
      </c>
      <c r="H255" s="17">
        <v>5.9999999999999995E-4</v>
      </c>
      <c r="I255" s="17">
        <v>1.1999999999999999E-3</v>
      </c>
      <c r="J255" s="17">
        <v>0</v>
      </c>
      <c r="K255" s="9" t="s">
        <v>1343</v>
      </c>
      <c r="L255" s="9" t="s">
        <v>260</v>
      </c>
      <c r="M255" s="9">
        <v>2023</v>
      </c>
      <c r="N255" s="9" t="s">
        <v>261</v>
      </c>
      <c r="O255" s="10" t="s">
        <v>262</v>
      </c>
      <c r="P255" s="9" t="s">
        <v>263</v>
      </c>
      <c r="Q255" s="9" t="s">
        <v>264</v>
      </c>
      <c r="R255" s="9" t="s">
        <v>1344</v>
      </c>
      <c r="S255" s="9" t="s">
        <v>1592</v>
      </c>
    </row>
    <row r="256" spans="2:19" x14ac:dyDescent="0.35">
      <c r="B256" s="18" t="s">
        <v>258</v>
      </c>
      <c r="C256" s="9" t="s">
        <v>259</v>
      </c>
      <c r="D256" s="9" t="s">
        <v>799</v>
      </c>
      <c r="E256" s="9" t="s">
        <v>39</v>
      </c>
      <c r="F256" s="17">
        <v>0.58919999999999995</v>
      </c>
      <c r="G256" s="17">
        <v>0.58740000000000003</v>
      </c>
      <c r="H256" s="17">
        <v>5.9999999999999995E-4</v>
      </c>
      <c r="I256" s="17">
        <v>1.1999999999999999E-3</v>
      </c>
      <c r="J256" s="17">
        <v>0</v>
      </c>
      <c r="K256" s="9" t="s">
        <v>1343</v>
      </c>
      <c r="L256" s="9" t="s">
        <v>260</v>
      </c>
      <c r="M256" s="9">
        <v>2022</v>
      </c>
      <c r="N256" s="9" t="s">
        <v>261</v>
      </c>
      <c r="O256" s="10" t="s">
        <v>262</v>
      </c>
      <c r="P256" s="9" t="s">
        <v>263</v>
      </c>
      <c r="Q256" s="9" t="s">
        <v>264</v>
      </c>
      <c r="R256" s="9" t="s">
        <v>1344</v>
      </c>
      <c r="S256" s="9" t="s">
        <v>1593</v>
      </c>
    </row>
    <row r="257" spans="2:19" x14ac:dyDescent="0.35">
      <c r="B257" s="18" t="s">
        <v>800</v>
      </c>
      <c r="C257" s="9" t="s">
        <v>801</v>
      </c>
      <c r="D257" s="9" t="s">
        <v>799</v>
      </c>
      <c r="E257" s="9" t="s">
        <v>39</v>
      </c>
      <c r="F257" s="17">
        <v>2.0199999999999999E-2</v>
      </c>
      <c r="G257" s="17"/>
      <c r="H257" s="17"/>
      <c r="I257" s="17"/>
      <c r="J257" s="17">
        <v>2.0199999999999999E-2</v>
      </c>
      <c r="K257" s="9" t="s">
        <v>1343</v>
      </c>
      <c r="L257" s="9" t="s">
        <v>802</v>
      </c>
      <c r="M257" s="9">
        <v>2022</v>
      </c>
      <c r="N257" s="9" t="s">
        <v>261</v>
      </c>
      <c r="O257" s="10" t="s">
        <v>262</v>
      </c>
      <c r="P257" s="9" t="s">
        <v>263</v>
      </c>
      <c r="Q257" s="9" t="s">
        <v>264</v>
      </c>
      <c r="R257" s="9" t="s">
        <v>1344</v>
      </c>
      <c r="S257" s="9" t="s">
        <v>1594</v>
      </c>
    </row>
    <row r="258" spans="2:19" x14ac:dyDescent="0.35">
      <c r="B258" s="18" t="s">
        <v>800</v>
      </c>
      <c r="C258" s="9" t="s">
        <v>801</v>
      </c>
      <c r="D258" s="9" t="s">
        <v>799</v>
      </c>
      <c r="E258" s="9" t="s">
        <v>39</v>
      </c>
      <c r="F258" s="17">
        <v>2.1899999999999999E-2</v>
      </c>
      <c r="G258" s="17"/>
      <c r="H258" s="17"/>
      <c r="I258" s="17"/>
      <c r="J258" s="17">
        <v>2.1899999999999999E-2</v>
      </c>
      <c r="K258" s="9" t="s">
        <v>1343</v>
      </c>
      <c r="L258" s="9" t="s">
        <v>802</v>
      </c>
      <c r="M258" s="9">
        <v>2023</v>
      </c>
      <c r="N258" s="9" t="s">
        <v>261</v>
      </c>
      <c r="O258" s="10" t="s">
        <v>262</v>
      </c>
      <c r="P258" s="9" t="s">
        <v>263</v>
      </c>
      <c r="Q258" s="9" t="s">
        <v>264</v>
      </c>
      <c r="R258" s="9" t="s">
        <v>1344</v>
      </c>
      <c r="S258" s="9" t="s">
        <v>1595</v>
      </c>
    </row>
    <row r="259" spans="2:19" x14ac:dyDescent="0.35">
      <c r="B259" s="18" t="s">
        <v>800</v>
      </c>
      <c r="C259" s="9" t="s">
        <v>803</v>
      </c>
      <c r="D259" s="9" t="s">
        <v>799</v>
      </c>
      <c r="E259" s="9" t="s">
        <v>39</v>
      </c>
      <c r="F259" s="17">
        <v>0.1019</v>
      </c>
      <c r="G259" s="17"/>
      <c r="H259" s="17"/>
      <c r="I259" s="17"/>
      <c r="J259" s="17">
        <v>0.1019</v>
      </c>
      <c r="K259" s="9" t="s">
        <v>1343</v>
      </c>
      <c r="L259" s="9" t="s">
        <v>804</v>
      </c>
      <c r="M259" s="9">
        <v>2024</v>
      </c>
      <c r="N259" s="9" t="s">
        <v>261</v>
      </c>
      <c r="O259" s="10" t="s">
        <v>262</v>
      </c>
      <c r="P259" s="9" t="s">
        <v>263</v>
      </c>
      <c r="Q259" s="9" t="s">
        <v>264</v>
      </c>
      <c r="R259" s="9" t="s">
        <v>1344</v>
      </c>
      <c r="S259" s="9" t="s">
        <v>1596</v>
      </c>
    </row>
    <row r="260" spans="2:19" x14ac:dyDescent="0.35">
      <c r="B260" s="18" t="s">
        <v>800</v>
      </c>
      <c r="C260" s="9" t="s">
        <v>803</v>
      </c>
      <c r="D260" s="9" t="s">
        <v>799</v>
      </c>
      <c r="E260" s="9" t="s">
        <v>39</v>
      </c>
      <c r="F260" s="17">
        <v>0.1089</v>
      </c>
      <c r="G260" s="17"/>
      <c r="H260" s="17"/>
      <c r="I260" s="17"/>
      <c r="J260" s="17">
        <v>0.1089</v>
      </c>
      <c r="K260" s="9" t="s">
        <v>1343</v>
      </c>
      <c r="L260" s="9" t="s">
        <v>804</v>
      </c>
      <c r="M260" s="9">
        <v>2023</v>
      </c>
      <c r="N260" s="9" t="s">
        <v>261</v>
      </c>
      <c r="O260" s="10" t="s">
        <v>262</v>
      </c>
      <c r="P260" s="9" t="s">
        <v>263</v>
      </c>
      <c r="Q260" s="9" t="s">
        <v>264</v>
      </c>
      <c r="R260" s="9" t="s">
        <v>1344</v>
      </c>
      <c r="S260" s="9" t="s">
        <v>1597</v>
      </c>
    </row>
    <row r="261" spans="2:19" x14ac:dyDescent="0.35">
      <c r="B261" s="18" t="s">
        <v>800</v>
      </c>
      <c r="C261" s="9" t="s">
        <v>803</v>
      </c>
      <c r="D261" s="9" t="s">
        <v>799</v>
      </c>
      <c r="E261" s="9" t="s">
        <v>39</v>
      </c>
      <c r="F261" s="17">
        <v>0.1125</v>
      </c>
      <c r="G261" s="17"/>
      <c r="H261" s="17"/>
      <c r="I261" s="17"/>
      <c r="J261" s="17">
        <v>0.1125</v>
      </c>
      <c r="K261" s="9" t="s">
        <v>1343</v>
      </c>
      <c r="L261" s="9" t="s">
        <v>804</v>
      </c>
      <c r="M261" s="9">
        <v>2022</v>
      </c>
      <c r="N261" s="9" t="s">
        <v>261</v>
      </c>
      <c r="O261" s="10" t="s">
        <v>262</v>
      </c>
      <c r="P261" s="9" t="s">
        <v>263</v>
      </c>
      <c r="Q261" s="9" t="s">
        <v>264</v>
      </c>
      <c r="R261" s="9" t="s">
        <v>1344</v>
      </c>
      <c r="S261" s="9" t="s">
        <v>1598</v>
      </c>
    </row>
    <row r="262" spans="2:19" x14ac:dyDescent="0.35">
      <c r="B262" s="18" t="s">
        <v>258</v>
      </c>
      <c r="C262" s="9" t="s">
        <v>259</v>
      </c>
      <c r="D262" s="9" t="s">
        <v>799</v>
      </c>
      <c r="E262" s="9" t="s">
        <v>39</v>
      </c>
      <c r="F262" s="17">
        <v>0.36159999999999998</v>
      </c>
      <c r="G262" s="17">
        <v>0.36</v>
      </c>
      <c r="H262" s="17">
        <v>1E-4</v>
      </c>
      <c r="I262" s="17">
        <v>1.5E-3</v>
      </c>
      <c r="J262" s="17">
        <v>0</v>
      </c>
      <c r="K262" s="9" t="s">
        <v>1343</v>
      </c>
      <c r="L262" s="9" t="s">
        <v>260</v>
      </c>
      <c r="M262" s="9">
        <v>2024</v>
      </c>
      <c r="N262" s="9" t="s">
        <v>325</v>
      </c>
      <c r="O262" s="10" t="s">
        <v>326</v>
      </c>
      <c r="P262" s="9" t="s">
        <v>327</v>
      </c>
      <c r="Q262" s="9" t="s">
        <v>264</v>
      </c>
      <c r="R262" s="9" t="s">
        <v>1344</v>
      </c>
      <c r="S262" s="9" t="s">
        <v>1599</v>
      </c>
    </row>
    <row r="263" spans="2:19" x14ac:dyDescent="0.35">
      <c r="B263" s="18" t="s">
        <v>258</v>
      </c>
      <c r="C263" s="9" t="s">
        <v>259</v>
      </c>
      <c r="D263" s="9" t="s">
        <v>799</v>
      </c>
      <c r="E263" s="9" t="s">
        <v>39</v>
      </c>
      <c r="F263" s="17">
        <v>0.39190000000000003</v>
      </c>
      <c r="G263" s="17">
        <v>0.39029999999999998</v>
      </c>
      <c r="H263" s="17">
        <v>1E-4</v>
      </c>
      <c r="I263" s="17">
        <v>1.5E-3</v>
      </c>
      <c r="J263" s="17">
        <v>0</v>
      </c>
      <c r="K263" s="9" t="s">
        <v>1343</v>
      </c>
      <c r="L263" s="9" t="s">
        <v>260</v>
      </c>
      <c r="M263" s="9">
        <v>2023</v>
      </c>
      <c r="N263" s="9" t="s">
        <v>325</v>
      </c>
      <c r="O263" s="10" t="s">
        <v>326</v>
      </c>
      <c r="P263" s="9" t="s">
        <v>327</v>
      </c>
      <c r="Q263" s="9" t="s">
        <v>264</v>
      </c>
      <c r="R263" s="9" t="s">
        <v>1344</v>
      </c>
      <c r="S263" s="9" t="s">
        <v>1600</v>
      </c>
    </row>
    <row r="264" spans="2:19" x14ac:dyDescent="0.35">
      <c r="B264" s="18" t="s">
        <v>258</v>
      </c>
      <c r="C264" s="9" t="s">
        <v>259</v>
      </c>
      <c r="D264" s="9" t="s">
        <v>799</v>
      </c>
      <c r="E264" s="9" t="s">
        <v>39</v>
      </c>
      <c r="F264" s="17">
        <v>0.44040000000000001</v>
      </c>
      <c r="G264" s="17">
        <v>0.43869999999999998</v>
      </c>
      <c r="H264" s="17">
        <v>1E-4</v>
      </c>
      <c r="I264" s="17">
        <v>1.6000000000000001E-3</v>
      </c>
      <c r="J264" s="17">
        <v>0</v>
      </c>
      <c r="K264" s="9" t="s">
        <v>1343</v>
      </c>
      <c r="L264" s="9" t="s">
        <v>260</v>
      </c>
      <c r="M264" s="9">
        <v>2022</v>
      </c>
      <c r="N264" s="9" t="s">
        <v>325</v>
      </c>
      <c r="O264" s="10" t="s">
        <v>326</v>
      </c>
      <c r="P264" s="9" t="s">
        <v>327</v>
      </c>
      <c r="Q264" s="9" t="s">
        <v>264</v>
      </c>
      <c r="R264" s="9" t="s">
        <v>1344</v>
      </c>
      <c r="S264" s="9" t="s">
        <v>1601</v>
      </c>
    </row>
    <row r="265" spans="2:19" x14ac:dyDescent="0.35">
      <c r="B265" s="18" t="s">
        <v>800</v>
      </c>
      <c r="C265" s="9" t="s">
        <v>801</v>
      </c>
      <c r="D265" s="9" t="s">
        <v>799</v>
      </c>
      <c r="E265" s="9" t="s">
        <v>39</v>
      </c>
      <c r="F265" s="17">
        <v>1.72E-2</v>
      </c>
      <c r="G265" s="17"/>
      <c r="H265" s="17"/>
      <c r="I265" s="17"/>
      <c r="J265" s="17">
        <v>1.72E-2</v>
      </c>
      <c r="K265" s="9" t="s">
        <v>1343</v>
      </c>
      <c r="L265" s="9" t="s">
        <v>802</v>
      </c>
      <c r="M265" s="9">
        <v>2023</v>
      </c>
      <c r="N265" s="9" t="s">
        <v>325</v>
      </c>
      <c r="O265" s="10" t="s">
        <v>326</v>
      </c>
      <c r="P265" s="9" t="s">
        <v>327</v>
      </c>
      <c r="Q265" s="9" t="s">
        <v>264</v>
      </c>
      <c r="R265" s="9" t="s">
        <v>1344</v>
      </c>
      <c r="S265" s="9" t="s">
        <v>1602</v>
      </c>
    </row>
    <row r="266" spans="2:19" x14ac:dyDescent="0.35">
      <c r="B266" s="18" t="s">
        <v>800</v>
      </c>
      <c r="C266" s="9" t="s">
        <v>801</v>
      </c>
      <c r="D266" s="9" t="s">
        <v>799</v>
      </c>
      <c r="E266" s="9" t="s">
        <v>39</v>
      </c>
      <c r="F266" s="17">
        <v>1.9400000000000001E-2</v>
      </c>
      <c r="G266" s="17"/>
      <c r="H266" s="17"/>
      <c r="I266" s="17"/>
      <c r="J266" s="17">
        <v>1.9400000000000001E-2</v>
      </c>
      <c r="K266" s="9" t="s">
        <v>1343</v>
      </c>
      <c r="L266" s="9" t="s">
        <v>802</v>
      </c>
      <c r="M266" s="9">
        <v>2022</v>
      </c>
      <c r="N266" s="9" t="s">
        <v>325</v>
      </c>
      <c r="O266" s="10" t="s">
        <v>326</v>
      </c>
      <c r="P266" s="9" t="s">
        <v>327</v>
      </c>
      <c r="Q266" s="9" t="s">
        <v>264</v>
      </c>
      <c r="R266" s="9" t="s">
        <v>1344</v>
      </c>
      <c r="S266" s="9" t="s">
        <v>1603</v>
      </c>
    </row>
    <row r="267" spans="2:19" x14ac:dyDescent="0.35">
      <c r="B267" s="18" t="s">
        <v>800</v>
      </c>
      <c r="C267" s="9" t="s">
        <v>803</v>
      </c>
      <c r="D267" s="9" t="s">
        <v>799</v>
      </c>
      <c r="E267" s="9" t="s">
        <v>39</v>
      </c>
      <c r="F267" s="17">
        <v>7.9600000000000004E-2</v>
      </c>
      <c r="G267" s="17"/>
      <c r="H267" s="17"/>
      <c r="I267" s="17"/>
      <c r="J267" s="17">
        <v>7.9600000000000004E-2</v>
      </c>
      <c r="K267" s="9" t="s">
        <v>1343</v>
      </c>
      <c r="L267" s="9" t="s">
        <v>804</v>
      </c>
      <c r="M267" s="9">
        <v>2024</v>
      </c>
      <c r="N267" s="9" t="s">
        <v>325</v>
      </c>
      <c r="O267" s="10" t="s">
        <v>326</v>
      </c>
      <c r="P267" s="9" t="s">
        <v>327</v>
      </c>
      <c r="Q267" s="9" t="s">
        <v>264</v>
      </c>
      <c r="R267" s="9" t="s">
        <v>1344</v>
      </c>
      <c r="S267" s="9" t="s">
        <v>1604</v>
      </c>
    </row>
    <row r="268" spans="2:19" x14ac:dyDescent="0.35">
      <c r="B268" s="18" t="s">
        <v>800</v>
      </c>
      <c r="C268" s="9" t="s">
        <v>803</v>
      </c>
      <c r="D268" s="9" t="s">
        <v>799</v>
      </c>
      <c r="E268" s="9" t="s">
        <v>39</v>
      </c>
      <c r="F268" s="17">
        <v>8.4599999999999995E-2</v>
      </c>
      <c r="G268" s="17"/>
      <c r="H268" s="17"/>
      <c r="I268" s="17"/>
      <c r="J268" s="17">
        <v>8.4599999999999995E-2</v>
      </c>
      <c r="K268" s="9" t="s">
        <v>1343</v>
      </c>
      <c r="L268" s="9" t="s">
        <v>804</v>
      </c>
      <c r="M268" s="9">
        <v>2023</v>
      </c>
      <c r="N268" s="9" t="s">
        <v>325</v>
      </c>
      <c r="O268" s="10" t="s">
        <v>326</v>
      </c>
      <c r="P268" s="9" t="s">
        <v>327</v>
      </c>
      <c r="Q268" s="9" t="s">
        <v>264</v>
      </c>
      <c r="R268" s="9" t="s">
        <v>1344</v>
      </c>
      <c r="S268" s="9" t="s">
        <v>1605</v>
      </c>
    </row>
    <row r="269" spans="2:19" x14ac:dyDescent="0.35">
      <c r="B269" s="18" t="s">
        <v>800</v>
      </c>
      <c r="C269" s="9" t="s">
        <v>803</v>
      </c>
      <c r="D269" s="9" t="s">
        <v>799</v>
      </c>
      <c r="E269" s="9" t="s">
        <v>39</v>
      </c>
      <c r="F269" s="17">
        <v>9.2100000000000001E-2</v>
      </c>
      <c r="G269" s="17"/>
      <c r="H269" s="17"/>
      <c r="I269" s="17"/>
      <c r="J269" s="17">
        <v>9.2100000000000001E-2</v>
      </c>
      <c r="K269" s="9" t="s">
        <v>1343</v>
      </c>
      <c r="L269" s="9" t="s">
        <v>804</v>
      </c>
      <c r="M269" s="9">
        <v>2022</v>
      </c>
      <c r="N269" s="9" t="s">
        <v>325</v>
      </c>
      <c r="O269" s="10" t="s">
        <v>326</v>
      </c>
      <c r="P269" s="9" t="s">
        <v>327</v>
      </c>
      <c r="Q269" s="9" t="s">
        <v>264</v>
      </c>
      <c r="R269" s="9" t="s">
        <v>1344</v>
      </c>
      <c r="S269" s="9" t="s">
        <v>1606</v>
      </c>
    </row>
    <row r="270" spans="2:19" x14ac:dyDescent="0.35">
      <c r="B270" s="18" t="s">
        <v>258</v>
      </c>
      <c r="C270" s="9" t="s">
        <v>259</v>
      </c>
      <c r="D270" s="9" t="s">
        <v>799</v>
      </c>
      <c r="E270" s="9" t="s">
        <v>39</v>
      </c>
      <c r="F270" s="17">
        <v>4.6600000000000003E-2</v>
      </c>
      <c r="G270" s="17">
        <v>4.6199999999999998E-2</v>
      </c>
      <c r="H270" s="17">
        <v>1E-4</v>
      </c>
      <c r="I270" s="17">
        <v>2.9999999999999997E-4</v>
      </c>
      <c r="J270" s="17">
        <v>0</v>
      </c>
      <c r="K270" s="9" t="s">
        <v>1343</v>
      </c>
      <c r="L270" s="9" t="s">
        <v>260</v>
      </c>
      <c r="M270" s="9">
        <v>2024</v>
      </c>
      <c r="N270" s="9" t="s">
        <v>277</v>
      </c>
      <c r="O270" s="10" t="s">
        <v>278</v>
      </c>
      <c r="P270" s="9" t="s">
        <v>279</v>
      </c>
      <c r="Q270" s="9" t="s">
        <v>264</v>
      </c>
      <c r="R270" s="9" t="s">
        <v>1344</v>
      </c>
      <c r="S270" s="9" t="s">
        <v>1607</v>
      </c>
    </row>
    <row r="271" spans="2:19" x14ac:dyDescent="0.35">
      <c r="B271" s="18" t="s">
        <v>258</v>
      </c>
      <c r="C271" s="9" t="s">
        <v>259</v>
      </c>
      <c r="D271" s="9" t="s">
        <v>799</v>
      </c>
      <c r="E271" s="9" t="s">
        <v>39</v>
      </c>
      <c r="F271" s="17">
        <v>6.2399999999999997E-2</v>
      </c>
      <c r="G271" s="17">
        <v>6.2E-2</v>
      </c>
      <c r="H271" s="17">
        <v>1E-4</v>
      </c>
      <c r="I271" s="17">
        <v>2.9999999999999997E-4</v>
      </c>
      <c r="J271" s="17">
        <v>0</v>
      </c>
      <c r="K271" s="9" t="s">
        <v>1343</v>
      </c>
      <c r="L271" s="9" t="s">
        <v>260</v>
      </c>
      <c r="M271" s="9">
        <v>2023</v>
      </c>
      <c r="N271" s="9" t="s">
        <v>277</v>
      </c>
      <c r="O271" s="10" t="s">
        <v>278</v>
      </c>
      <c r="P271" s="9" t="s">
        <v>279</v>
      </c>
      <c r="Q271" s="9" t="s">
        <v>264</v>
      </c>
      <c r="R271" s="9" t="s">
        <v>1344</v>
      </c>
      <c r="S271" s="9" t="s">
        <v>1608</v>
      </c>
    </row>
    <row r="272" spans="2:19" x14ac:dyDescent="0.35">
      <c r="B272" s="18" t="s">
        <v>258</v>
      </c>
      <c r="C272" s="9" t="s">
        <v>259</v>
      </c>
      <c r="D272" s="9" t="s">
        <v>799</v>
      </c>
      <c r="E272" s="9" t="s">
        <v>39</v>
      </c>
      <c r="F272" s="17">
        <v>9.9500000000000005E-2</v>
      </c>
      <c r="G272" s="17">
        <v>9.9000000000000005E-2</v>
      </c>
      <c r="H272" s="17">
        <v>1E-4</v>
      </c>
      <c r="I272" s="17">
        <v>4.0000000000000002E-4</v>
      </c>
      <c r="J272" s="17">
        <v>0</v>
      </c>
      <c r="K272" s="9" t="s">
        <v>1343</v>
      </c>
      <c r="L272" s="9" t="s">
        <v>260</v>
      </c>
      <c r="M272" s="9">
        <v>2022</v>
      </c>
      <c r="N272" s="9" t="s">
        <v>277</v>
      </c>
      <c r="O272" s="10" t="s">
        <v>278</v>
      </c>
      <c r="P272" s="9" t="s">
        <v>279</v>
      </c>
      <c r="Q272" s="9" t="s">
        <v>264</v>
      </c>
      <c r="R272" s="9" t="s">
        <v>1344</v>
      </c>
      <c r="S272" s="9" t="s">
        <v>1609</v>
      </c>
    </row>
    <row r="273" spans="2:19" x14ac:dyDescent="0.35">
      <c r="B273" s="18" t="s">
        <v>800</v>
      </c>
      <c r="C273" s="9" t="s">
        <v>801</v>
      </c>
      <c r="D273" s="9" t="s">
        <v>799</v>
      </c>
      <c r="E273" s="9" t="s">
        <v>39</v>
      </c>
      <c r="F273" s="17">
        <v>3.5000000000000001E-3</v>
      </c>
      <c r="G273" s="17"/>
      <c r="H273" s="17"/>
      <c r="I273" s="17"/>
      <c r="J273" s="17">
        <v>3.5000000000000001E-3</v>
      </c>
      <c r="K273" s="9" t="s">
        <v>1343</v>
      </c>
      <c r="L273" s="9" t="s">
        <v>802</v>
      </c>
      <c r="M273" s="9">
        <v>2023</v>
      </c>
      <c r="N273" s="9" t="s">
        <v>277</v>
      </c>
      <c r="O273" s="10" t="s">
        <v>278</v>
      </c>
      <c r="P273" s="9" t="s">
        <v>279</v>
      </c>
      <c r="Q273" s="9" t="s">
        <v>264</v>
      </c>
      <c r="R273" s="9" t="s">
        <v>1344</v>
      </c>
      <c r="S273" s="9" t="s">
        <v>1610</v>
      </c>
    </row>
    <row r="274" spans="2:19" x14ac:dyDescent="0.35">
      <c r="B274" s="18" t="s">
        <v>800</v>
      </c>
      <c r="C274" s="9" t="s">
        <v>801</v>
      </c>
      <c r="D274" s="9" t="s">
        <v>799</v>
      </c>
      <c r="E274" s="9" t="s">
        <v>39</v>
      </c>
      <c r="F274" s="17">
        <v>5.1999999999999998E-3</v>
      </c>
      <c r="G274" s="17"/>
      <c r="H274" s="17"/>
      <c r="I274" s="17"/>
      <c r="J274" s="17">
        <v>5.1999999999999998E-3</v>
      </c>
      <c r="K274" s="9" t="s">
        <v>1343</v>
      </c>
      <c r="L274" s="9" t="s">
        <v>802</v>
      </c>
      <c r="M274" s="9">
        <v>2022</v>
      </c>
      <c r="N274" s="9" t="s">
        <v>277</v>
      </c>
      <c r="O274" s="10" t="s">
        <v>278</v>
      </c>
      <c r="P274" s="9" t="s">
        <v>279</v>
      </c>
      <c r="Q274" s="9" t="s">
        <v>264</v>
      </c>
      <c r="R274" s="9" t="s">
        <v>1344</v>
      </c>
      <c r="S274" s="9" t="s">
        <v>1611</v>
      </c>
    </row>
    <row r="275" spans="2:19" x14ac:dyDescent="0.35">
      <c r="B275" s="18" t="s">
        <v>800</v>
      </c>
      <c r="C275" s="9" t="s">
        <v>803</v>
      </c>
      <c r="D275" s="9" t="s">
        <v>799</v>
      </c>
      <c r="E275" s="9" t="s">
        <v>39</v>
      </c>
      <c r="F275" s="17">
        <v>3.0200000000000001E-2</v>
      </c>
      <c r="G275" s="17"/>
      <c r="H275" s="17"/>
      <c r="I275" s="17"/>
      <c r="J275" s="17">
        <v>3.0200000000000001E-2</v>
      </c>
      <c r="K275" s="9" t="s">
        <v>1343</v>
      </c>
      <c r="L275" s="9" t="s">
        <v>804</v>
      </c>
      <c r="M275" s="9">
        <v>2024</v>
      </c>
      <c r="N275" s="9" t="s">
        <v>277</v>
      </c>
      <c r="O275" s="10" t="s">
        <v>278</v>
      </c>
      <c r="P275" s="9" t="s">
        <v>279</v>
      </c>
      <c r="Q275" s="9" t="s">
        <v>264</v>
      </c>
      <c r="R275" s="9" t="s">
        <v>1344</v>
      </c>
      <c r="S275" s="9" t="s">
        <v>1612</v>
      </c>
    </row>
    <row r="276" spans="2:19" x14ac:dyDescent="0.35">
      <c r="B276" s="18" t="s">
        <v>800</v>
      </c>
      <c r="C276" s="9" t="s">
        <v>803</v>
      </c>
      <c r="D276" s="9" t="s">
        <v>799</v>
      </c>
      <c r="E276" s="9" t="s">
        <v>39</v>
      </c>
      <c r="F276" s="17">
        <v>3.32E-2</v>
      </c>
      <c r="G276" s="17"/>
      <c r="H276" s="17"/>
      <c r="I276" s="17"/>
      <c r="J276" s="17">
        <v>3.32E-2</v>
      </c>
      <c r="K276" s="9" t="s">
        <v>1343</v>
      </c>
      <c r="L276" s="9" t="s">
        <v>804</v>
      </c>
      <c r="M276" s="9">
        <v>2023</v>
      </c>
      <c r="N276" s="9" t="s">
        <v>277</v>
      </c>
      <c r="O276" s="10" t="s">
        <v>278</v>
      </c>
      <c r="P276" s="9" t="s">
        <v>279</v>
      </c>
      <c r="Q276" s="9" t="s">
        <v>264</v>
      </c>
      <c r="R276" s="9" t="s">
        <v>1344</v>
      </c>
      <c r="S276" s="9" t="s">
        <v>1613</v>
      </c>
    </row>
    <row r="277" spans="2:19" x14ac:dyDescent="0.35">
      <c r="B277" s="18" t="s">
        <v>800</v>
      </c>
      <c r="C277" s="9" t="s">
        <v>803</v>
      </c>
      <c r="D277" s="9" t="s">
        <v>799</v>
      </c>
      <c r="E277" s="9" t="s">
        <v>39</v>
      </c>
      <c r="F277" s="17">
        <v>4.0099999999999997E-2</v>
      </c>
      <c r="G277" s="17"/>
      <c r="H277" s="17"/>
      <c r="I277" s="17"/>
      <c r="J277" s="17">
        <v>4.0099999999999997E-2</v>
      </c>
      <c r="K277" s="9" t="s">
        <v>1343</v>
      </c>
      <c r="L277" s="9" t="s">
        <v>804</v>
      </c>
      <c r="M277" s="9">
        <v>2022</v>
      </c>
      <c r="N277" s="9" t="s">
        <v>277</v>
      </c>
      <c r="O277" s="10" t="s">
        <v>278</v>
      </c>
      <c r="P277" s="9" t="s">
        <v>279</v>
      </c>
      <c r="Q277" s="9" t="s">
        <v>264</v>
      </c>
      <c r="R277" s="9" t="s">
        <v>1344</v>
      </c>
      <c r="S277" s="9" t="s">
        <v>1614</v>
      </c>
    </row>
    <row r="278" spans="2:19" x14ac:dyDescent="0.35">
      <c r="B278" s="18" t="s">
        <v>258</v>
      </c>
      <c r="C278" s="9" t="s">
        <v>259</v>
      </c>
      <c r="D278" s="9" t="s">
        <v>799</v>
      </c>
      <c r="E278" s="9" t="s">
        <v>39</v>
      </c>
      <c r="F278" s="17">
        <v>0.52529999999999999</v>
      </c>
      <c r="G278" s="17">
        <v>0.52349999999999997</v>
      </c>
      <c r="H278" s="17">
        <v>2.9999999999999997E-4</v>
      </c>
      <c r="I278" s="17">
        <v>1.5E-3</v>
      </c>
      <c r="J278" s="17">
        <v>0</v>
      </c>
      <c r="K278" s="9" t="s">
        <v>1343</v>
      </c>
      <c r="L278" s="9" t="s">
        <v>260</v>
      </c>
      <c r="M278" s="9">
        <v>2022</v>
      </c>
      <c r="N278" s="9" t="s">
        <v>530</v>
      </c>
      <c r="O278" s="10" t="s">
        <v>531</v>
      </c>
      <c r="P278" s="9" t="s">
        <v>532</v>
      </c>
      <c r="Q278" s="9" t="s">
        <v>264</v>
      </c>
      <c r="R278" s="9" t="s">
        <v>1344</v>
      </c>
      <c r="S278" s="9" t="s">
        <v>1615</v>
      </c>
    </row>
    <row r="279" spans="2:19" x14ac:dyDescent="0.35">
      <c r="B279" s="18" t="s">
        <v>258</v>
      </c>
      <c r="C279" s="9" t="s">
        <v>259</v>
      </c>
      <c r="D279" s="9" t="s">
        <v>799</v>
      </c>
      <c r="E279" s="9" t="s">
        <v>39</v>
      </c>
      <c r="F279" s="17">
        <v>0.57630000000000003</v>
      </c>
      <c r="G279" s="17">
        <v>0.57440000000000002</v>
      </c>
      <c r="H279" s="17">
        <v>2.9999999999999997E-4</v>
      </c>
      <c r="I279" s="17">
        <v>1.6000000000000001E-3</v>
      </c>
      <c r="J279" s="17">
        <v>0</v>
      </c>
      <c r="K279" s="9" t="s">
        <v>1343</v>
      </c>
      <c r="L279" s="9" t="s">
        <v>260</v>
      </c>
      <c r="M279" s="9">
        <v>2023</v>
      </c>
      <c r="N279" s="9" t="s">
        <v>530</v>
      </c>
      <c r="O279" s="10" t="s">
        <v>531</v>
      </c>
      <c r="P279" s="9" t="s">
        <v>532</v>
      </c>
      <c r="Q279" s="9" t="s">
        <v>264</v>
      </c>
      <c r="R279" s="9" t="s">
        <v>1344</v>
      </c>
      <c r="S279" s="9" t="s">
        <v>1616</v>
      </c>
    </row>
    <row r="280" spans="2:19" x14ac:dyDescent="0.35">
      <c r="B280" s="18" t="s">
        <v>800</v>
      </c>
      <c r="C280" s="9" t="s">
        <v>801</v>
      </c>
      <c r="D280" s="9" t="s">
        <v>799</v>
      </c>
      <c r="E280" s="9" t="s">
        <v>39</v>
      </c>
      <c r="F280" s="17">
        <v>8.8499999999999995E-2</v>
      </c>
      <c r="G280" s="17"/>
      <c r="H280" s="17"/>
      <c r="I280" s="17"/>
      <c r="J280" s="17">
        <v>8.8499999999999995E-2</v>
      </c>
      <c r="K280" s="9" t="s">
        <v>1343</v>
      </c>
      <c r="L280" s="9" t="s">
        <v>802</v>
      </c>
      <c r="M280" s="9">
        <v>2022</v>
      </c>
      <c r="N280" s="9" t="s">
        <v>530</v>
      </c>
      <c r="O280" s="10" t="s">
        <v>531</v>
      </c>
      <c r="P280" s="9" t="s">
        <v>532</v>
      </c>
      <c r="Q280" s="9" t="s">
        <v>264</v>
      </c>
      <c r="R280" s="9" t="s">
        <v>1344</v>
      </c>
      <c r="S280" s="9" t="s">
        <v>1617</v>
      </c>
    </row>
    <row r="281" spans="2:19" x14ac:dyDescent="0.35">
      <c r="B281" s="18" t="s">
        <v>800</v>
      </c>
      <c r="C281" s="9" t="s">
        <v>801</v>
      </c>
      <c r="D281" s="9" t="s">
        <v>799</v>
      </c>
      <c r="E281" s="9" t="s">
        <v>39</v>
      </c>
      <c r="F281" s="17">
        <v>9.4799999999999995E-2</v>
      </c>
      <c r="G281" s="17"/>
      <c r="H281" s="17"/>
      <c r="I281" s="17"/>
      <c r="J281" s="17">
        <v>9.4799999999999995E-2</v>
      </c>
      <c r="K281" s="9" t="s">
        <v>1343</v>
      </c>
      <c r="L281" s="9" t="s">
        <v>802</v>
      </c>
      <c r="M281" s="9">
        <v>2023</v>
      </c>
      <c r="N281" s="9" t="s">
        <v>530</v>
      </c>
      <c r="O281" s="10" t="s">
        <v>531</v>
      </c>
      <c r="P281" s="9" t="s">
        <v>532</v>
      </c>
      <c r="Q281" s="9" t="s">
        <v>264</v>
      </c>
      <c r="R281" s="9" t="s">
        <v>1344</v>
      </c>
      <c r="S281" s="9" t="s">
        <v>1618</v>
      </c>
    </row>
    <row r="282" spans="2:19" x14ac:dyDescent="0.35">
      <c r="B282" s="18" t="s">
        <v>800</v>
      </c>
      <c r="C282" s="9" t="s">
        <v>803</v>
      </c>
      <c r="D282" s="9" t="s">
        <v>799</v>
      </c>
      <c r="E282" s="9" t="s">
        <v>39</v>
      </c>
      <c r="F282" s="17">
        <v>0.1222</v>
      </c>
      <c r="G282" s="17"/>
      <c r="H282" s="17"/>
      <c r="I282" s="17"/>
      <c r="J282" s="17">
        <v>0.1222</v>
      </c>
      <c r="K282" s="9" t="s">
        <v>1343</v>
      </c>
      <c r="L282" s="9" t="s">
        <v>804</v>
      </c>
      <c r="M282" s="9">
        <v>2022</v>
      </c>
      <c r="N282" s="9" t="s">
        <v>530</v>
      </c>
      <c r="O282" s="10" t="s">
        <v>531</v>
      </c>
      <c r="P282" s="9" t="s">
        <v>532</v>
      </c>
      <c r="Q282" s="9" t="s">
        <v>264</v>
      </c>
      <c r="R282" s="9" t="s">
        <v>1344</v>
      </c>
      <c r="S282" s="9" t="s">
        <v>1619</v>
      </c>
    </row>
    <row r="283" spans="2:19" x14ac:dyDescent="0.35">
      <c r="B283" s="18" t="s">
        <v>800</v>
      </c>
      <c r="C283" s="9" t="s">
        <v>803</v>
      </c>
      <c r="D283" s="9" t="s">
        <v>799</v>
      </c>
      <c r="E283" s="9" t="s">
        <v>39</v>
      </c>
      <c r="F283" s="17">
        <v>0.13739999999999999</v>
      </c>
      <c r="G283" s="17"/>
      <c r="H283" s="17"/>
      <c r="I283" s="17"/>
      <c r="J283" s="17">
        <v>0.13739999999999999</v>
      </c>
      <c r="K283" s="9" t="s">
        <v>1343</v>
      </c>
      <c r="L283" s="9" t="s">
        <v>804</v>
      </c>
      <c r="M283" s="9">
        <v>2023</v>
      </c>
      <c r="N283" s="9" t="s">
        <v>530</v>
      </c>
      <c r="O283" s="10" t="s">
        <v>531</v>
      </c>
      <c r="P283" s="9" t="s">
        <v>532</v>
      </c>
      <c r="Q283" s="9" t="s">
        <v>264</v>
      </c>
      <c r="R283" s="9" t="s">
        <v>1344</v>
      </c>
      <c r="S283" s="9" t="s">
        <v>1620</v>
      </c>
    </row>
    <row r="284" spans="2:19" x14ac:dyDescent="0.35">
      <c r="B284" s="18" t="s">
        <v>258</v>
      </c>
      <c r="C284" s="9" t="s">
        <v>259</v>
      </c>
      <c r="D284" s="9" t="s">
        <v>799</v>
      </c>
      <c r="E284" s="9" t="s">
        <v>39</v>
      </c>
      <c r="F284" s="17">
        <v>1E-3</v>
      </c>
      <c r="G284" s="17">
        <v>4.0000000000000002E-4</v>
      </c>
      <c r="H284" s="17">
        <v>2.9999999999999997E-4</v>
      </c>
      <c r="I284" s="17">
        <v>2.9999999999999997E-4</v>
      </c>
      <c r="J284" s="17">
        <v>0</v>
      </c>
      <c r="K284" s="9" t="s">
        <v>1343</v>
      </c>
      <c r="L284" s="9" t="s">
        <v>260</v>
      </c>
      <c r="M284" s="9">
        <v>2022</v>
      </c>
      <c r="N284" s="9" t="s">
        <v>643</v>
      </c>
      <c r="O284" s="10" t="s">
        <v>644</v>
      </c>
      <c r="P284" s="9" t="s">
        <v>645</v>
      </c>
      <c r="Q284" s="9" t="s">
        <v>264</v>
      </c>
      <c r="R284" s="9" t="s">
        <v>1344</v>
      </c>
      <c r="S284" s="9" t="s">
        <v>1621</v>
      </c>
    </row>
    <row r="285" spans="2:19" x14ac:dyDescent="0.35">
      <c r="B285" s="18" t="s">
        <v>258</v>
      </c>
      <c r="C285" s="9" t="s">
        <v>259</v>
      </c>
      <c r="D285" s="9" t="s">
        <v>799</v>
      </c>
      <c r="E285" s="9" t="s">
        <v>39</v>
      </c>
      <c r="F285" s="17">
        <v>1.1000000000000001E-3</v>
      </c>
      <c r="G285" s="17">
        <v>5.0000000000000001E-4</v>
      </c>
      <c r="H285" s="17">
        <v>2.9999999999999997E-4</v>
      </c>
      <c r="I285" s="17">
        <v>2.9999999999999997E-4</v>
      </c>
      <c r="J285" s="17">
        <v>0</v>
      </c>
      <c r="K285" s="9" t="s">
        <v>1343</v>
      </c>
      <c r="L285" s="9" t="s">
        <v>260</v>
      </c>
      <c r="M285" s="9">
        <v>2023</v>
      </c>
      <c r="N285" s="9" t="s">
        <v>643</v>
      </c>
      <c r="O285" s="10" t="s">
        <v>644</v>
      </c>
      <c r="P285" s="9" t="s">
        <v>645</v>
      </c>
      <c r="Q285" s="9" t="s">
        <v>264</v>
      </c>
      <c r="R285" s="9" t="s">
        <v>1344</v>
      </c>
      <c r="S285" s="9" t="s">
        <v>1622</v>
      </c>
    </row>
    <row r="286" spans="2:19" x14ac:dyDescent="0.35">
      <c r="B286" s="18" t="s">
        <v>800</v>
      </c>
      <c r="C286" s="9" t="s">
        <v>801</v>
      </c>
      <c r="D286" s="9" t="s">
        <v>799</v>
      </c>
      <c r="E286" s="9" t="s">
        <v>39</v>
      </c>
      <c r="F286" s="17">
        <v>4.0000000000000002E-4</v>
      </c>
      <c r="G286" s="17"/>
      <c r="H286" s="17"/>
      <c r="I286" s="17"/>
      <c r="J286" s="17">
        <v>4.0000000000000002E-4</v>
      </c>
      <c r="K286" s="9" t="s">
        <v>1343</v>
      </c>
      <c r="L286" s="9" t="s">
        <v>802</v>
      </c>
      <c r="M286" s="9">
        <v>2022</v>
      </c>
      <c r="N286" s="9" t="s">
        <v>643</v>
      </c>
      <c r="O286" s="10" t="s">
        <v>644</v>
      </c>
      <c r="P286" s="9" t="s">
        <v>645</v>
      </c>
      <c r="Q286" s="9" t="s">
        <v>264</v>
      </c>
      <c r="R286" s="9" t="s">
        <v>1344</v>
      </c>
      <c r="S286" s="9" t="s">
        <v>1623</v>
      </c>
    </row>
    <row r="287" spans="2:19" x14ac:dyDescent="0.35">
      <c r="B287" s="18" t="s">
        <v>800</v>
      </c>
      <c r="C287" s="9" t="s">
        <v>801</v>
      </c>
      <c r="D287" s="9" t="s">
        <v>799</v>
      </c>
      <c r="E287" s="9" t="s">
        <v>39</v>
      </c>
      <c r="F287" s="17">
        <v>4.0000000000000002E-4</v>
      </c>
      <c r="G287" s="17"/>
      <c r="H287" s="17"/>
      <c r="I287" s="17"/>
      <c r="J287" s="17">
        <v>4.0000000000000002E-4</v>
      </c>
      <c r="K287" s="9" t="s">
        <v>1343</v>
      </c>
      <c r="L287" s="9" t="s">
        <v>802</v>
      </c>
      <c r="M287" s="9">
        <v>2023</v>
      </c>
      <c r="N287" s="9" t="s">
        <v>643</v>
      </c>
      <c r="O287" s="10" t="s">
        <v>644</v>
      </c>
      <c r="P287" s="9" t="s">
        <v>645</v>
      </c>
      <c r="Q287" s="9" t="s">
        <v>264</v>
      </c>
      <c r="R287" s="9" t="s">
        <v>1344</v>
      </c>
      <c r="S287" s="9" t="s">
        <v>1624</v>
      </c>
    </row>
    <row r="288" spans="2:19" x14ac:dyDescent="0.35">
      <c r="B288" s="18" t="s">
        <v>800</v>
      </c>
      <c r="C288" s="9" t="s">
        <v>803</v>
      </c>
      <c r="D288" s="9" t="s">
        <v>799</v>
      </c>
      <c r="E288" s="9" t="s">
        <v>39</v>
      </c>
      <c r="F288" s="17">
        <v>4.3E-3</v>
      </c>
      <c r="G288" s="17"/>
      <c r="H288" s="17"/>
      <c r="I288" s="17"/>
      <c r="J288" s="17">
        <v>4.3E-3</v>
      </c>
      <c r="K288" s="9" t="s">
        <v>1343</v>
      </c>
      <c r="L288" s="9" t="s">
        <v>804</v>
      </c>
      <c r="M288" s="9">
        <v>2022</v>
      </c>
      <c r="N288" s="9" t="s">
        <v>643</v>
      </c>
      <c r="O288" s="10" t="s">
        <v>644</v>
      </c>
      <c r="P288" s="9" t="s">
        <v>645</v>
      </c>
      <c r="Q288" s="9" t="s">
        <v>264</v>
      </c>
      <c r="R288" s="9" t="s">
        <v>1344</v>
      </c>
      <c r="S288" s="9" t="s">
        <v>1625</v>
      </c>
    </row>
    <row r="289" spans="2:19" x14ac:dyDescent="0.35">
      <c r="B289" s="18" t="s">
        <v>800</v>
      </c>
      <c r="C289" s="9" t="s">
        <v>803</v>
      </c>
      <c r="D289" s="9" t="s">
        <v>799</v>
      </c>
      <c r="E289" s="9" t="s">
        <v>39</v>
      </c>
      <c r="F289" s="17">
        <v>4.3E-3</v>
      </c>
      <c r="G289" s="17"/>
      <c r="H289" s="17"/>
      <c r="I289" s="17"/>
      <c r="J289" s="17">
        <v>4.3E-3</v>
      </c>
      <c r="K289" s="9" t="s">
        <v>1343</v>
      </c>
      <c r="L289" s="9" t="s">
        <v>804</v>
      </c>
      <c r="M289" s="9">
        <v>2023</v>
      </c>
      <c r="N289" s="9" t="s">
        <v>643</v>
      </c>
      <c r="O289" s="10" t="s">
        <v>644</v>
      </c>
      <c r="P289" s="9" t="s">
        <v>645</v>
      </c>
      <c r="Q289" s="9" t="s">
        <v>264</v>
      </c>
      <c r="R289" s="9" t="s">
        <v>1344</v>
      </c>
      <c r="S289" s="9" t="s">
        <v>1626</v>
      </c>
    </row>
    <row r="290" spans="2:19" x14ac:dyDescent="0.35">
      <c r="B290" s="18" t="s">
        <v>800</v>
      </c>
      <c r="C290" s="9" t="s">
        <v>803</v>
      </c>
      <c r="D290" s="9" t="s">
        <v>799</v>
      </c>
      <c r="E290" s="9" t="s">
        <v>39</v>
      </c>
      <c r="F290" s="17">
        <v>6.6E-3</v>
      </c>
      <c r="G290" s="17"/>
      <c r="H290" s="17"/>
      <c r="I290" s="17"/>
      <c r="J290" s="17">
        <v>6.6E-3</v>
      </c>
      <c r="K290" s="9" t="s">
        <v>1343</v>
      </c>
      <c r="L290" s="9" t="s">
        <v>804</v>
      </c>
      <c r="M290" s="9">
        <v>2024</v>
      </c>
      <c r="N290" s="9" t="s">
        <v>643</v>
      </c>
      <c r="O290" s="10" t="s">
        <v>644</v>
      </c>
      <c r="P290" s="9" t="s">
        <v>645</v>
      </c>
      <c r="Q290" s="9" t="s">
        <v>264</v>
      </c>
      <c r="R290" s="9" t="s">
        <v>1344</v>
      </c>
      <c r="S290" s="9" t="s">
        <v>1627</v>
      </c>
    </row>
    <row r="291" spans="2:19" x14ac:dyDescent="0.35">
      <c r="B291" s="18" t="s">
        <v>258</v>
      </c>
      <c r="C291" s="9" t="s">
        <v>259</v>
      </c>
      <c r="D291" s="9" t="s">
        <v>799</v>
      </c>
      <c r="E291" s="9" t="s">
        <v>39</v>
      </c>
      <c r="F291" s="17">
        <v>0.16869999999999999</v>
      </c>
      <c r="G291" s="17">
        <v>0.1681</v>
      </c>
      <c r="H291" s="17">
        <v>2.0000000000000001E-4</v>
      </c>
      <c r="I291" s="17">
        <v>4.0000000000000002E-4</v>
      </c>
      <c r="J291" s="17">
        <v>0</v>
      </c>
      <c r="K291" s="9" t="s">
        <v>1343</v>
      </c>
      <c r="L291" s="9" t="s">
        <v>260</v>
      </c>
      <c r="M291" s="9">
        <v>2022</v>
      </c>
      <c r="N291" s="9" t="s">
        <v>387</v>
      </c>
      <c r="O291" s="10" t="s">
        <v>388</v>
      </c>
      <c r="P291" s="9" t="s">
        <v>389</v>
      </c>
      <c r="Q291" s="9" t="s">
        <v>264</v>
      </c>
      <c r="R291" s="9" t="s">
        <v>1344</v>
      </c>
      <c r="S291" s="9" t="s">
        <v>1628</v>
      </c>
    </row>
    <row r="292" spans="2:19" x14ac:dyDescent="0.35">
      <c r="B292" s="18" t="s">
        <v>258</v>
      </c>
      <c r="C292" s="9" t="s">
        <v>259</v>
      </c>
      <c r="D292" s="9" t="s">
        <v>799</v>
      </c>
      <c r="E292" s="9" t="s">
        <v>39</v>
      </c>
      <c r="F292" s="17">
        <v>0.18890000000000001</v>
      </c>
      <c r="G292" s="17">
        <v>0.18820000000000001</v>
      </c>
      <c r="H292" s="17">
        <v>2.9999999999999997E-4</v>
      </c>
      <c r="I292" s="17">
        <v>4.0000000000000002E-4</v>
      </c>
      <c r="J292" s="17">
        <v>0</v>
      </c>
      <c r="K292" s="9" t="s">
        <v>1343</v>
      </c>
      <c r="L292" s="9" t="s">
        <v>260</v>
      </c>
      <c r="M292" s="9">
        <v>2023</v>
      </c>
      <c r="N292" s="9" t="s">
        <v>387</v>
      </c>
      <c r="O292" s="10" t="s">
        <v>388</v>
      </c>
      <c r="P292" s="9" t="s">
        <v>389</v>
      </c>
      <c r="Q292" s="9" t="s">
        <v>264</v>
      </c>
      <c r="R292" s="9" t="s">
        <v>1344</v>
      </c>
      <c r="S292" s="9" t="s">
        <v>1629</v>
      </c>
    </row>
    <row r="293" spans="2:19" x14ac:dyDescent="0.35">
      <c r="B293" s="18" t="s">
        <v>800</v>
      </c>
      <c r="C293" s="9" t="s">
        <v>801</v>
      </c>
      <c r="D293" s="9" t="s">
        <v>799</v>
      </c>
      <c r="E293" s="9" t="s">
        <v>39</v>
      </c>
      <c r="F293" s="17">
        <v>3.2800000000000003E-2</v>
      </c>
      <c r="G293" s="17"/>
      <c r="H293" s="17"/>
      <c r="I293" s="17"/>
      <c r="J293" s="17">
        <v>3.2800000000000003E-2</v>
      </c>
      <c r="K293" s="9" t="s">
        <v>1343</v>
      </c>
      <c r="L293" s="9" t="s">
        <v>802</v>
      </c>
      <c r="M293" s="9">
        <v>2022</v>
      </c>
      <c r="N293" s="9" t="s">
        <v>387</v>
      </c>
      <c r="O293" s="10" t="s">
        <v>388</v>
      </c>
      <c r="P293" s="9" t="s">
        <v>389</v>
      </c>
      <c r="Q293" s="9" t="s">
        <v>264</v>
      </c>
      <c r="R293" s="9" t="s">
        <v>1344</v>
      </c>
      <c r="S293" s="9" t="s">
        <v>1630</v>
      </c>
    </row>
    <row r="294" spans="2:19" x14ac:dyDescent="0.35">
      <c r="B294" s="18" t="s">
        <v>800</v>
      </c>
      <c r="C294" s="9" t="s">
        <v>801</v>
      </c>
      <c r="D294" s="9" t="s">
        <v>799</v>
      </c>
      <c r="E294" s="9" t="s">
        <v>39</v>
      </c>
      <c r="F294" s="17">
        <v>4.0599999999999997E-2</v>
      </c>
      <c r="G294" s="17"/>
      <c r="H294" s="17"/>
      <c r="I294" s="17"/>
      <c r="J294" s="17">
        <v>4.0599999999999997E-2</v>
      </c>
      <c r="K294" s="9" t="s">
        <v>1343</v>
      </c>
      <c r="L294" s="9" t="s">
        <v>802</v>
      </c>
      <c r="M294" s="9">
        <v>2023</v>
      </c>
      <c r="N294" s="9" t="s">
        <v>387</v>
      </c>
      <c r="O294" s="10" t="s">
        <v>388</v>
      </c>
      <c r="P294" s="9" t="s">
        <v>389</v>
      </c>
      <c r="Q294" s="9" t="s">
        <v>264</v>
      </c>
      <c r="R294" s="9" t="s">
        <v>1344</v>
      </c>
      <c r="S294" s="9" t="s">
        <v>1631</v>
      </c>
    </row>
    <row r="295" spans="2:19" x14ac:dyDescent="0.35">
      <c r="B295" s="18" t="s">
        <v>800</v>
      </c>
      <c r="C295" s="9" t="s">
        <v>803</v>
      </c>
      <c r="D295" s="9" t="s">
        <v>799</v>
      </c>
      <c r="E295" s="9" t="s">
        <v>39</v>
      </c>
      <c r="F295" s="17">
        <v>4.8500000000000001E-2</v>
      </c>
      <c r="G295" s="17"/>
      <c r="H295" s="17"/>
      <c r="I295" s="17"/>
      <c r="J295" s="17">
        <v>4.8500000000000001E-2</v>
      </c>
      <c r="K295" s="9" t="s">
        <v>1343</v>
      </c>
      <c r="L295" s="9" t="s">
        <v>804</v>
      </c>
      <c r="M295" s="9">
        <v>2022</v>
      </c>
      <c r="N295" s="9" t="s">
        <v>387</v>
      </c>
      <c r="O295" s="10" t="s">
        <v>388</v>
      </c>
      <c r="P295" s="9" t="s">
        <v>389</v>
      </c>
      <c r="Q295" s="9" t="s">
        <v>264</v>
      </c>
      <c r="R295" s="9" t="s">
        <v>1344</v>
      </c>
      <c r="S295" s="9" t="s">
        <v>1632</v>
      </c>
    </row>
    <row r="296" spans="2:19" x14ac:dyDescent="0.35">
      <c r="B296" s="18" t="s">
        <v>800</v>
      </c>
      <c r="C296" s="9" t="s">
        <v>803</v>
      </c>
      <c r="D296" s="9" t="s">
        <v>799</v>
      </c>
      <c r="E296" s="9" t="s">
        <v>39</v>
      </c>
      <c r="F296" s="17">
        <v>5.4899999999999997E-2</v>
      </c>
      <c r="G296" s="17"/>
      <c r="H296" s="17"/>
      <c r="I296" s="17"/>
      <c r="J296" s="17">
        <v>5.4899999999999997E-2</v>
      </c>
      <c r="K296" s="9" t="s">
        <v>1343</v>
      </c>
      <c r="L296" s="9" t="s">
        <v>804</v>
      </c>
      <c r="M296" s="9">
        <v>2023</v>
      </c>
      <c r="N296" s="9" t="s">
        <v>387</v>
      </c>
      <c r="O296" s="10" t="s">
        <v>388</v>
      </c>
      <c r="P296" s="9" t="s">
        <v>389</v>
      </c>
      <c r="Q296" s="9" t="s">
        <v>264</v>
      </c>
      <c r="R296" s="9" t="s">
        <v>1344</v>
      </c>
      <c r="S296" s="9" t="s">
        <v>1633</v>
      </c>
    </row>
    <row r="297" spans="2:19" x14ac:dyDescent="0.35">
      <c r="B297" s="18" t="s">
        <v>258</v>
      </c>
      <c r="C297" s="9" t="s">
        <v>259</v>
      </c>
      <c r="D297" s="9" t="s">
        <v>799</v>
      </c>
      <c r="E297" s="9" t="s">
        <v>39</v>
      </c>
      <c r="F297" s="17">
        <v>0.38879999999999998</v>
      </c>
      <c r="G297" s="17">
        <v>0.38829999999999998</v>
      </c>
      <c r="H297" s="17">
        <v>2.0000000000000001E-4</v>
      </c>
      <c r="I297" s="17">
        <v>2.9999999999999997E-4</v>
      </c>
      <c r="J297" s="17">
        <v>0</v>
      </c>
      <c r="K297" s="9" t="s">
        <v>1343</v>
      </c>
      <c r="L297" s="9" t="s">
        <v>260</v>
      </c>
      <c r="M297" s="9">
        <v>2022</v>
      </c>
      <c r="N297" s="9" t="s">
        <v>694</v>
      </c>
      <c r="O297" s="10" t="s">
        <v>695</v>
      </c>
      <c r="P297" s="9" t="s">
        <v>696</v>
      </c>
      <c r="Q297" s="9" t="s">
        <v>264</v>
      </c>
      <c r="R297" s="9" t="s">
        <v>1344</v>
      </c>
      <c r="S297" s="9" t="s">
        <v>1634</v>
      </c>
    </row>
    <row r="298" spans="2:19" x14ac:dyDescent="0.35">
      <c r="B298" s="18" t="s">
        <v>258</v>
      </c>
      <c r="C298" s="9" t="s">
        <v>259</v>
      </c>
      <c r="D298" s="9" t="s">
        <v>799</v>
      </c>
      <c r="E298" s="9" t="s">
        <v>39</v>
      </c>
      <c r="F298" s="17">
        <v>0.40060000000000001</v>
      </c>
      <c r="G298" s="17">
        <v>0.4</v>
      </c>
      <c r="H298" s="17">
        <v>2.9999999999999997E-4</v>
      </c>
      <c r="I298" s="17">
        <v>2.9999999999999997E-4</v>
      </c>
      <c r="J298" s="17">
        <v>0</v>
      </c>
      <c r="K298" s="9" t="s">
        <v>1343</v>
      </c>
      <c r="L298" s="9" t="s">
        <v>260</v>
      </c>
      <c r="M298" s="9">
        <v>2023</v>
      </c>
      <c r="N298" s="9" t="s">
        <v>694</v>
      </c>
      <c r="O298" s="10" t="s">
        <v>695</v>
      </c>
      <c r="P298" s="9" t="s">
        <v>696</v>
      </c>
      <c r="Q298" s="9" t="s">
        <v>264</v>
      </c>
      <c r="R298" s="9" t="s">
        <v>1344</v>
      </c>
      <c r="S298" s="9" t="s">
        <v>1635</v>
      </c>
    </row>
    <row r="299" spans="2:19" x14ac:dyDescent="0.35">
      <c r="B299" s="18" t="s">
        <v>800</v>
      </c>
      <c r="C299" s="9" t="s">
        <v>801</v>
      </c>
      <c r="D299" s="9" t="s">
        <v>799</v>
      </c>
      <c r="E299" s="9" t="s">
        <v>39</v>
      </c>
      <c r="F299" s="17">
        <v>9.6100000000000005E-2</v>
      </c>
      <c r="G299" s="17"/>
      <c r="H299" s="17"/>
      <c r="I299" s="17"/>
      <c r="J299" s="17">
        <v>9.6100000000000005E-2</v>
      </c>
      <c r="K299" s="9" t="s">
        <v>1343</v>
      </c>
      <c r="L299" s="9" t="s">
        <v>802</v>
      </c>
      <c r="M299" s="9">
        <v>2022</v>
      </c>
      <c r="N299" s="9" t="s">
        <v>694</v>
      </c>
      <c r="O299" s="10" t="s">
        <v>695</v>
      </c>
      <c r="P299" s="9" t="s">
        <v>696</v>
      </c>
      <c r="Q299" s="9" t="s">
        <v>264</v>
      </c>
      <c r="R299" s="9" t="s">
        <v>1344</v>
      </c>
      <c r="S299" s="9" t="s">
        <v>1636</v>
      </c>
    </row>
    <row r="300" spans="2:19" x14ac:dyDescent="0.35">
      <c r="B300" s="18" t="s">
        <v>800</v>
      </c>
      <c r="C300" s="9" t="s">
        <v>801</v>
      </c>
      <c r="D300" s="9" t="s">
        <v>799</v>
      </c>
      <c r="E300" s="9" t="s">
        <v>39</v>
      </c>
      <c r="F300" s="17">
        <v>9.98E-2</v>
      </c>
      <c r="G300" s="17"/>
      <c r="H300" s="17"/>
      <c r="I300" s="17"/>
      <c r="J300" s="17">
        <v>9.98E-2</v>
      </c>
      <c r="K300" s="9" t="s">
        <v>1343</v>
      </c>
      <c r="L300" s="9" t="s">
        <v>802</v>
      </c>
      <c r="M300" s="9">
        <v>2023</v>
      </c>
      <c r="N300" s="9" t="s">
        <v>694</v>
      </c>
      <c r="O300" s="10" t="s">
        <v>695</v>
      </c>
      <c r="P300" s="9" t="s">
        <v>696</v>
      </c>
      <c r="Q300" s="9" t="s">
        <v>264</v>
      </c>
      <c r="R300" s="9" t="s">
        <v>1344</v>
      </c>
      <c r="S300" s="9" t="s">
        <v>1637</v>
      </c>
    </row>
    <row r="301" spans="2:19" x14ac:dyDescent="0.35">
      <c r="B301" s="18" t="s">
        <v>800</v>
      </c>
      <c r="C301" s="9" t="s">
        <v>803</v>
      </c>
      <c r="D301" s="9" t="s">
        <v>799</v>
      </c>
      <c r="E301" s="9" t="s">
        <v>39</v>
      </c>
      <c r="F301" s="17">
        <v>7.8899999999999998E-2</v>
      </c>
      <c r="G301" s="17"/>
      <c r="H301" s="17"/>
      <c r="I301" s="17"/>
      <c r="J301" s="17">
        <v>7.8899999999999998E-2</v>
      </c>
      <c r="K301" s="9" t="s">
        <v>1343</v>
      </c>
      <c r="L301" s="9" t="s">
        <v>804</v>
      </c>
      <c r="M301" s="9">
        <v>2022</v>
      </c>
      <c r="N301" s="9" t="s">
        <v>694</v>
      </c>
      <c r="O301" s="10" t="s">
        <v>695</v>
      </c>
      <c r="P301" s="9" t="s">
        <v>696</v>
      </c>
      <c r="Q301" s="9" t="s">
        <v>264</v>
      </c>
      <c r="R301" s="9" t="s">
        <v>1344</v>
      </c>
      <c r="S301" s="9" t="s">
        <v>1638</v>
      </c>
    </row>
    <row r="302" spans="2:19" x14ac:dyDescent="0.35">
      <c r="B302" s="18" t="s">
        <v>800</v>
      </c>
      <c r="C302" s="9" t="s">
        <v>803</v>
      </c>
      <c r="D302" s="9" t="s">
        <v>799</v>
      </c>
      <c r="E302" s="9" t="s">
        <v>39</v>
      </c>
      <c r="F302" s="17">
        <v>8.5400000000000004E-2</v>
      </c>
      <c r="G302" s="17"/>
      <c r="H302" s="17"/>
      <c r="I302" s="17"/>
      <c r="J302" s="17">
        <v>8.5400000000000004E-2</v>
      </c>
      <c r="K302" s="9" t="s">
        <v>1343</v>
      </c>
      <c r="L302" s="9" t="s">
        <v>804</v>
      </c>
      <c r="M302" s="9">
        <v>2023</v>
      </c>
      <c r="N302" s="9" t="s">
        <v>694</v>
      </c>
      <c r="O302" s="10" t="s">
        <v>695</v>
      </c>
      <c r="P302" s="9" t="s">
        <v>696</v>
      </c>
      <c r="Q302" s="9" t="s">
        <v>264</v>
      </c>
      <c r="R302" s="9" t="s">
        <v>1344</v>
      </c>
      <c r="S302" s="9" t="s">
        <v>1639</v>
      </c>
    </row>
    <row r="303" spans="2:19" x14ac:dyDescent="0.35">
      <c r="B303" s="18" t="s">
        <v>258</v>
      </c>
      <c r="C303" s="9" t="s">
        <v>259</v>
      </c>
      <c r="D303" s="9" t="s">
        <v>799</v>
      </c>
      <c r="E303" s="9" t="s">
        <v>39</v>
      </c>
      <c r="F303" s="17">
        <v>0.11509999999999999</v>
      </c>
      <c r="G303" s="17">
        <v>0.11119999999999999</v>
      </c>
      <c r="H303" s="17">
        <v>1.6999999999999999E-3</v>
      </c>
      <c r="I303" s="17">
        <v>2.2000000000000001E-3</v>
      </c>
      <c r="J303" s="17">
        <v>0</v>
      </c>
      <c r="K303" s="9" t="s">
        <v>1343</v>
      </c>
      <c r="L303" s="9" t="s">
        <v>260</v>
      </c>
      <c r="M303" s="9">
        <v>2022</v>
      </c>
      <c r="N303" s="9" t="s">
        <v>566</v>
      </c>
      <c r="O303" s="10" t="s">
        <v>567</v>
      </c>
      <c r="P303" s="9" t="s">
        <v>568</v>
      </c>
      <c r="Q303" s="9" t="s">
        <v>264</v>
      </c>
      <c r="R303" s="9" t="s">
        <v>1344</v>
      </c>
      <c r="S303" s="9" t="s">
        <v>1640</v>
      </c>
    </row>
    <row r="304" spans="2:19" x14ac:dyDescent="0.35">
      <c r="B304" s="18" t="s">
        <v>258</v>
      </c>
      <c r="C304" s="9" t="s">
        <v>259</v>
      </c>
      <c r="D304" s="9" t="s">
        <v>799</v>
      </c>
      <c r="E304" s="9" t="s">
        <v>39</v>
      </c>
      <c r="F304" s="17">
        <v>0.1739</v>
      </c>
      <c r="G304" s="17">
        <v>0.1704</v>
      </c>
      <c r="H304" s="17">
        <v>1.5E-3</v>
      </c>
      <c r="I304" s="17">
        <v>2E-3</v>
      </c>
      <c r="J304" s="17">
        <v>0</v>
      </c>
      <c r="K304" s="9" t="s">
        <v>1343</v>
      </c>
      <c r="L304" s="9" t="s">
        <v>260</v>
      </c>
      <c r="M304" s="9">
        <v>2023</v>
      </c>
      <c r="N304" s="9" t="s">
        <v>566</v>
      </c>
      <c r="O304" s="10" t="s">
        <v>567</v>
      </c>
      <c r="P304" s="9" t="s">
        <v>568</v>
      </c>
      <c r="Q304" s="9" t="s">
        <v>264</v>
      </c>
      <c r="R304" s="9" t="s">
        <v>1344</v>
      </c>
      <c r="S304" s="9" t="s">
        <v>1641</v>
      </c>
    </row>
    <row r="305" spans="2:19" x14ac:dyDescent="0.35">
      <c r="B305" s="18" t="s">
        <v>800</v>
      </c>
      <c r="C305" s="9" t="s">
        <v>801</v>
      </c>
      <c r="D305" s="9" t="s">
        <v>799</v>
      </c>
      <c r="E305" s="9" t="s">
        <v>39</v>
      </c>
      <c r="F305" s="17">
        <v>1.6500000000000001E-2</v>
      </c>
      <c r="G305" s="17"/>
      <c r="H305" s="17"/>
      <c r="I305" s="17"/>
      <c r="J305" s="17">
        <v>1.6500000000000001E-2</v>
      </c>
      <c r="K305" s="9" t="s">
        <v>1343</v>
      </c>
      <c r="L305" s="9" t="s">
        <v>802</v>
      </c>
      <c r="M305" s="9">
        <v>2022</v>
      </c>
      <c r="N305" s="9" t="s">
        <v>566</v>
      </c>
      <c r="O305" s="10" t="s">
        <v>567</v>
      </c>
      <c r="P305" s="9" t="s">
        <v>568</v>
      </c>
      <c r="Q305" s="9" t="s">
        <v>264</v>
      </c>
      <c r="R305" s="9" t="s">
        <v>1344</v>
      </c>
      <c r="S305" s="9" t="s">
        <v>1642</v>
      </c>
    </row>
    <row r="306" spans="2:19" x14ac:dyDescent="0.35">
      <c r="B306" s="18" t="s">
        <v>800</v>
      </c>
      <c r="C306" s="9" t="s">
        <v>801</v>
      </c>
      <c r="D306" s="9" t="s">
        <v>799</v>
      </c>
      <c r="E306" s="9" t="s">
        <v>39</v>
      </c>
      <c r="F306" s="17">
        <v>2.3199999999999998E-2</v>
      </c>
      <c r="G306" s="17"/>
      <c r="H306" s="17"/>
      <c r="I306" s="17"/>
      <c r="J306" s="17">
        <v>2.3199999999999998E-2</v>
      </c>
      <c r="K306" s="9" t="s">
        <v>1343</v>
      </c>
      <c r="L306" s="9" t="s">
        <v>802</v>
      </c>
      <c r="M306" s="9">
        <v>2023</v>
      </c>
      <c r="N306" s="9" t="s">
        <v>566</v>
      </c>
      <c r="O306" s="10" t="s">
        <v>567</v>
      </c>
      <c r="P306" s="9" t="s">
        <v>568</v>
      </c>
      <c r="Q306" s="9" t="s">
        <v>264</v>
      </c>
      <c r="R306" s="9" t="s">
        <v>1344</v>
      </c>
      <c r="S306" s="9" t="s">
        <v>1643</v>
      </c>
    </row>
    <row r="307" spans="2:19" x14ac:dyDescent="0.35">
      <c r="B307" s="18" t="s">
        <v>800</v>
      </c>
      <c r="C307" s="9" t="s">
        <v>803</v>
      </c>
      <c r="D307" s="9" t="s">
        <v>799</v>
      </c>
      <c r="E307" s="9" t="s">
        <v>39</v>
      </c>
      <c r="F307" s="17">
        <v>4.8500000000000001E-2</v>
      </c>
      <c r="G307" s="17"/>
      <c r="H307" s="17"/>
      <c r="I307" s="17"/>
      <c r="J307" s="17">
        <v>4.8500000000000001E-2</v>
      </c>
      <c r="K307" s="9" t="s">
        <v>1343</v>
      </c>
      <c r="L307" s="9" t="s">
        <v>804</v>
      </c>
      <c r="M307" s="9">
        <v>2022</v>
      </c>
      <c r="N307" s="9" t="s">
        <v>566</v>
      </c>
      <c r="O307" s="10" t="s">
        <v>567</v>
      </c>
      <c r="P307" s="9" t="s">
        <v>568</v>
      </c>
      <c r="Q307" s="9" t="s">
        <v>264</v>
      </c>
      <c r="R307" s="9" t="s">
        <v>1344</v>
      </c>
      <c r="S307" s="9" t="s">
        <v>1644</v>
      </c>
    </row>
    <row r="308" spans="2:19" x14ac:dyDescent="0.35">
      <c r="B308" s="18" t="s">
        <v>800</v>
      </c>
      <c r="C308" s="9" t="s">
        <v>803</v>
      </c>
      <c r="D308" s="9" t="s">
        <v>799</v>
      </c>
      <c r="E308" s="9" t="s">
        <v>39</v>
      </c>
      <c r="F308" s="17">
        <v>6.13E-2</v>
      </c>
      <c r="G308" s="17"/>
      <c r="H308" s="17"/>
      <c r="I308" s="17"/>
      <c r="J308" s="17">
        <v>6.13E-2</v>
      </c>
      <c r="K308" s="9" t="s">
        <v>1343</v>
      </c>
      <c r="L308" s="9" t="s">
        <v>804</v>
      </c>
      <c r="M308" s="9">
        <v>2023</v>
      </c>
      <c r="N308" s="9" t="s">
        <v>566</v>
      </c>
      <c r="O308" s="10" t="s">
        <v>567</v>
      </c>
      <c r="P308" s="9" t="s">
        <v>568</v>
      </c>
      <c r="Q308" s="9" t="s">
        <v>264</v>
      </c>
      <c r="R308" s="9" t="s">
        <v>1344</v>
      </c>
      <c r="S308" s="9" t="s">
        <v>1645</v>
      </c>
    </row>
    <row r="309" spans="2:19" x14ac:dyDescent="0.35">
      <c r="B309" s="18" t="s">
        <v>258</v>
      </c>
      <c r="C309" s="9" t="s">
        <v>259</v>
      </c>
      <c r="D309" s="9" t="s">
        <v>799</v>
      </c>
      <c r="E309" s="9" t="s">
        <v>39</v>
      </c>
      <c r="F309" s="17">
        <v>0.41289999999999999</v>
      </c>
      <c r="G309" s="17">
        <v>0.41249999999999998</v>
      </c>
      <c r="H309" s="17">
        <v>2.0000000000000001E-4</v>
      </c>
      <c r="I309" s="17">
        <v>2.0000000000000001E-4</v>
      </c>
      <c r="J309" s="17">
        <v>0</v>
      </c>
      <c r="K309" s="9" t="s">
        <v>1343</v>
      </c>
      <c r="L309" s="9" t="s">
        <v>260</v>
      </c>
      <c r="M309" s="9">
        <v>2023</v>
      </c>
      <c r="N309" s="9" t="s">
        <v>745</v>
      </c>
      <c r="O309" s="10" t="s">
        <v>746</v>
      </c>
      <c r="P309" s="9" t="s">
        <v>747</v>
      </c>
      <c r="Q309" s="9" t="s">
        <v>264</v>
      </c>
      <c r="R309" s="9" t="s">
        <v>1344</v>
      </c>
      <c r="S309" s="9" t="s">
        <v>1646</v>
      </c>
    </row>
    <row r="310" spans="2:19" x14ac:dyDescent="0.35">
      <c r="B310" s="18" t="s">
        <v>258</v>
      </c>
      <c r="C310" s="9" t="s">
        <v>259</v>
      </c>
      <c r="D310" s="9" t="s">
        <v>799</v>
      </c>
      <c r="E310" s="9" t="s">
        <v>39</v>
      </c>
      <c r="F310" s="17">
        <v>0.41789999999999999</v>
      </c>
      <c r="G310" s="17">
        <v>0.41749999999999998</v>
      </c>
      <c r="H310" s="17">
        <v>2.0000000000000001E-4</v>
      </c>
      <c r="I310" s="17">
        <v>2.0000000000000001E-4</v>
      </c>
      <c r="J310" s="17">
        <v>0</v>
      </c>
      <c r="K310" s="9" t="s">
        <v>1343</v>
      </c>
      <c r="L310" s="9" t="s">
        <v>260</v>
      </c>
      <c r="M310" s="9">
        <v>2022</v>
      </c>
      <c r="N310" s="9" t="s">
        <v>745</v>
      </c>
      <c r="O310" s="10" t="s">
        <v>746</v>
      </c>
      <c r="P310" s="9" t="s">
        <v>747</v>
      </c>
      <c r="Q310" s="9" t="s">
        <v>264</v>
      </c>
      <c r="R310" s="9" t="s">
        <v>1344</v>
      </c>
      <c r="S310" s="9" t="s">
        <v>1647</v>
      </c>
    </row>
    <row r="311" spans="2:19" x14ac:dyDescent="0.35">
      <c r="B311" s="18" t="s">
        <v>800</v>
      </c>
      <c r="C311" s="9" t="s">
        <v>801</v>
      </c>
      <c r="D311" s="9" t="s">
        <v>799</v>
      </c>
      <c r="E311" s="9" t="s">
        <v>39</v>
      </c>
      <c r="F311" s="17">
        <v>5.3199999999999997E-2</v>
      </c>
      <c r="G311" s="17"/>
      <c r="H311" s="17"/>
      <c r="I311" s="17"/>
      <c r="J311" s="17">
        <v>5.3199999999999997E-2</v>
      </c>
      <c r="K311" s="9" t="s">
        <v>1343</v>
      </c>
      <c r="L311" s="9" t="s">
        <v>802</v>
      </c>
      <c r="M311" s="9">
        <v>2023</v>
      </c>
      <c r="N311" s="9" t="s">
        <v>745</v>
      </c>
      <c r="O311" s="10" t="s">
        <v>746</v>
      </c>
      <c r="P311" s="9" t="s">
        <v>747</v>
      </c>
      <c r="Q311" s="9" t="s">
        <v>264</v>
      </c>
      <c r="R311" s="9" t="s">
        <v>1344</v>
      </c>
      <c r="S311" s="9" t="s">
        <v>1648</v>
      </c>
    </row>
    <row r="312" spans="2:19" x14ac:dyDescent="0.35">
      <c r="B312" s="18" t="s">
        <v>800</v>
      </c>
      <c r="C312" s="9" t="s">
        <v>801</v>
      </c>
      <c r="D312" s="9" t="s">
        <v>799</v>
      </c>
      <c r="E312" s="9" t="s">
        <v>39</v>
      </c>
      <c r="F312" s="17">
        <v>5.3800000000000001E-2</v>
      </c>
      <c r="G312" s="17"/>
      <c r="H312" s="17"/>
      <c r="I312" s="17"/>
      <c r="J312" s="17">
        <v>5.3800000000000001E-2</v>
      </c>
      <c r="K312" s="9" t="s">
        <v>1343</v>
      </c>
      <c r="L312" s="9" t="s">
        <v>802</v>
      </c>
      <c r="M312" s="9">
        <v>2022</v>
      </c>
      <c r="N312" s="9" t="s">
        <v>745</v>
      </c>
      <c r="O312" s="10" t="s">
        <v>746</v>
      </c>
      <c r="P312" s="9" t="s">
        <v>747</v>
      </c>
      <c r="Q312" s="9" t="s">
        <v>264</v>
      </c>
      <c r="R312" s="9" t="s">
        <v>1344</v>
      </c>
      <c r="S312" s="9" t="s">
        <v>1649</v>
      </c>
    </row>
    <row r="313" spans="2:19" x14ac:dyDescent="0.35">
      <c r="B313" s="18" t="s">
        <v>800</v>
      </c>
      <c r="C313" s="9" t="s">
        <v>803</v>
      </c>
      <c r="D313" s="9" t="s">
        <v>799</v>
      </c>
      <c r="E313" s="9" t="s">
        <v>39</v>
      </c>
      <c r="F313" s="17">
        <v>8.5400000000000004E-2</v>
      </c>
      <c r="G313" s="17"/>
      <c r="H313" s="17"/>
      <c r="I313" s="17"/>
      <c r="J313" s="17">
        <v>8.5400000000000004E-2</v>
      </c>
      <c r="K313" s="9" t="s">
        <v>1343</v>
      </c>
      <c r="L313" s="9" t="s">
        <v>804</v>
      </c>
      <c r="M313" s="9">
        <v>2023</v>
      </c>
      <c r="N313" s="9" t="s">
        <v>745</v>
      </c>
      <c r="O313" s="10" t="s">
        <v>746</v>
      </c>
      <c r="P313" s="9" t="s">
        <v>747</v>
      </c>
      <c r="Q313" s="9" t="s">
        <v>264</v>
      </c>
      <c r="R313" s="9" t="s">
        <v>1344</v>
      </c>
      <c r="S313" s="9" t="s">
        <v>1650</v>
      </c>
    </row>
    <row r="314" spans="2:19" x14ac:dyDescent="0.35">
      <c r="B314" s="18" t="s">
        <v>800</v>
      </c>
      <c r="C314" s="9" t="s">
        <v>803</v>
      </c>
      <c r="D314" s="9" t="s">
        <v>799</v>
      </c>
      <c r="E314" s="9" t="s">
        <v>39</v>
      </c>
      <c r="F314" s="17">
        <v>8.6400000000000005E-2</v>
      </c>
      <c r="G314" s="17"/>
      <c r="H314" s="17"/>
      <c r="I314" s="17"/>
      <c r="J314" s="17">
        <v>8.6400000000000005E-2</v>
      </c>
      <c r="K314" s="9" t="s">
        <v>1343</v>
      </c>
      <c r="L314" s="9" t="s">
        <v>804</v>
      </c>
      <c r="M314" s="9">
        <v>2022</v>
      </c>
      <c r="N314" s="9" t="s">
        <v>745</v>
      </c>
      <c r="O314" s="10" t="s">
        <v>746</v>
      </c>
      <c r="P314" s="9" t="s">
        <v>747</v>
      </c>
      <c r="Q314" s="9" t="s">
        <v>264</v>
      </c>
      <c r="R314" s="9" t="s">
        <v>1344</v>
      </c>
      <c r="S314" s="9" t="s">
        <v>1651</v>
      </c>
    </row>
    <row r="315" spans="2:19" x14ac:dyDescent="0.35">
      <c r="B315" s="18" t="s">
        <v>258</v>
      </c>
      <c r="C315" s="9" t="s">
        <v>259</v>
      </c>
      <c r="D315" s="9" t="s">
        <v>799</v>
      </c>
      <c r="E315" s="9" t="s">
        <v>39</v>
      </c>
      <c r="F315" s="17">
        <v>0.76539999999999997</v>
      </c>
      <c r="G315" s="17">
        <v>0.76300000000000001</v>
      </c>
      <c r="H315" s="17">
        <v>8.0000000000000004E-4</v>
      </c>
      <c r="I315" s="17">
        <v>1.6000000000000001E-3</v>
      </c>
      <c r="J315" s="17">
        <v>0</v>
      </c>
      <c r="K315" s="9" t="s">
        <v>1343</v>
      </c>
      <c r="L315" s="9" t="s">
        <v>260</v>
      </c>
      <c r="M315" s="9">
        <v>2022</v>
      </c>
      <c r="N315" s="9" t="s">
        <v>781</v>
      </c>
      <c r="O315" s="10" t="s">
        <v>782</v>
      </c>
      <c r="P315" s="9" t="s">
        <v>783</v>
      </c>
      <c r="Q315" s="9" t="s">
        <v>264</v>
      </c>
      <c r="R315" s="9" t="s">
        <v>1344</v>
      </c>
      <c r="S315" s="9" t="s">
        <v>1652</v>
      </c>
    </row>
    <row r="316" spans="2:19" x14ac:dyDescent="0.35">
      <c r="B316" s="18" t="s">
        <v>258</v>
      </c>
      <c r="C316" s="9" t="s">
        <v>259</v>
      </c>
      <c r="D316" s="9" t="s">
        <v>799</v>
      </c>
      <c r="E316" s="9" t="s">
        <v>39</v>
      </c>
      <c r="F316" s="17">
        <v>0.76970000000000005</v>
      </c>
      <c r="G316" s="17">
        <v>0.76729999999999998</v>
      </c>
      <c r="H316" s="17">
        <v>8.0000000000000004E-4</v>
      </c>
      <c r="I316" s="17">
        <v>1.6000000000000001E-3</v>
      </c>
      <c r="J316" s="17">
        <v>0</v>
      </c>
      <c r="K316" s="9" t="s">
        <v>1343</v>
      </c>
      <c r="L316" s="9" t="s">
        <v>260</v>
      </c>
      <c r="M316" s="9">
        <v>2023</v>
      </c>
      <c r="N316" s="9" t="s">
        <v>781</v>
      </c>
      <c r="O316" s="10" t="s">
        <v>782</v>
      </c>
      <c r="P316" s="9" t="s">
        <v>783</v>
      </c>
      <c r="Q316" s="9" t="s">
        <v>264</v>
      </c>
      <c r="R316" s="9" t="s">
        <v>1344</v>
      </c>
      <c r="S316" s="9" t="s">
        <v>1653</v>
      </c>
    </row>
    <row r="317" spans="2:19" x14ac:dyDescent="0.35">
      <c r="B317" s="18" t="s">
        <v>800</v>
      </c>
      <c r="C317" s="9" t="s">
        <v>801</v>
      </c>
      <c r="D317" s="9" t="s">
        <v>799</v>
      </c>
      <c r="E317" s="9" t="s">
        <v>39</v>
      </c>
      <c r="F317" s="17">
        <v>0.11749999999999999</v>
      </c>
      <c r="G317" s="17"/>
      <c r="H317" s="17"/>
      <c r="I317" s="17"/>
      <c r="J317" s="17">
        <v>0.11749999999999999</v>
      </c>
      <c r="K317" s="9" t="s">
        <v>1343</v>
      </c>
      <c r="L317" s="9" t="s">
        <v>802</v>
      </c>
      <c r="M317" s="9">
        <v>2022</v>
      </c>
      <c r="N317" s="9" t="s">
        <v>781</v>
      </c>
      <c r="O317" s="10" t="s">
        <v>782</v>
      </c>
      <c r="P317" s="9" t="s">
        <v>783</v>
      </c>
      <c r="Q317" s="9" t="s">
        <v>264</v>
      </c>
      <c r="R317" s="9" t="s">
        <v>1344</v>
      </c>
      <c r="S317" s="9" t="s">
        <v>1654</v>
      </c>
    </row>
    <row r="318" spans="2:19" x14ac:dyDescent="0.35">
      <c r="B318" s="18" t="s">
        <v>800</v>
      </c>
      <c r="C318" s="9" t="s">
        <v>801</v>
      </c>
      <c r="D318" s="9" t="s">
        <v>799</v>
      </c>
      <c r="E318" s="9" t="s">
        <v>39</v>
      </c>
      <c r="F318" s="17">
        <v>0.1177</v>
      </c>
      <c r="G318" s="17"/>
      <c r="H318" s="17"/>
      <c r="I318" s="17"/>
      <c r="J318" s="17">
        <v>0.1177</v>
      </c>
      <c r="K318" s="9" t="s">
        <v>1343</v>
      </c>
      <c r="L318" s="9" t="s">
        <v>802</v>
      </c>
      <c r="M318" s="9">
        <v>2023</v>
      </c>
      <c r="N318" s="9" t="s">
        <v>781</v>
      </c>
      <c r="O318" s="10" t="s">
        <v>782</v>
      </c>
      <c r="P318" s="9" t="s">
        <v>783</v>
      </c>
      <c r="Q318" s="9" t="s">
        <v>264</v>
      </c>
      <c r="R318" s="9" t="s">
        <v>1344</v>
      </c>
      <c r="S318" s="9" t="s">
        <v>1655</v>
      </c>
    </row>
    <row r="319" spans="2:19" x14ac:dyDescent="0.35">
      <c r="B319" s="18" t="s">
        <v>800</v>
      </c>
      <c r="C319" s="9" t="s">
        <v>803</v>
      </c>
      <c r="D319" s="9" t="s">
        <v>799</v>
      </c>
      <c r="E319" s="9" t="s">
        <v>39</v>
      </c>
      <c r="F319" s="17">
        <v>0.1651</v>
      </c>
      <c r="G319" s="17"/>
      <c r="H319" s="17"/>
      <c r="I319" s="17"/>
      <c r="J319" s="17">
        <v>0.1651</v>
      </c>
      <c r="K319" s="9" t="s">
        <v>1343</v>
      </c>
      <c r="L319" s="9" t="s">
        <v>804</v>
      </c>
      <c r="M319" s="9">
        <v>2024</v>
      </c>
      <c r="N319" s="9" t="s">
        <v>781</v>
      </c>
      <c r="O319" s="10" t="s">
        <v>782</v>
      </c>
      <c r="P319" s="9" t="s">
        <v>783</v>
      </c>
      <c r="Q319" s="9" t="s">
        <v>264</v>
      </c>
      <c r="R319" s="9" t="s">
        <v>1344</v>
      </c>
      <c r="S319" s="9" t="s">
        <v>1656</v>
      </c>
    </row>
    <row r="320" spans="2:19" x14ac:dyDescent="0.35">
      <c r="B320" s="18" t="s">
        <v>800</v>
      </c>
      <c r="C320" s="9" t="s">
        <v>803</v>
      </c>
      <c r="D320" s="9" t="s">
        <v>799</v>
      </c>
      <c r="E320" s="9" t="s">
        <v>39</v>
      </c>
      <c r="F320" s="17">
        <v>0.16800000000000001</v>
      </c>
      <c r="G320" s="17"/>
      <c r="H320" s="17"/>
      <c r="I320" s="17"/>
      <c r="J320" s="17">
        <v>0.16800000000000001</v>
      </c>
      <c r="K320" s="9" t="s">
        <v>1343</v>
      </c>
      <c r="L320" s="9" t="s">
        <v>804</v>
      </c>
      <c r="M320" s="9">
        <v>2022</v>
      </c>
      <c r="N320" s="9" t="s">
        <v>781</v>
      </c>
      <c r="O320" s="10" t="s">
        <v>782</v>
      </c>
      <c r="P320" s="9" t="s">
        <v>783</v>
      </c>
      <c r="Q320" s="9" t="s">
        <v>264</v>
      </c>
      <c r="R320" s="9" t="s">
        <v>1344</v>
      </c>
      <c r="S320" s="9" t="s">
        <v>1657</v>
      </c>
    </row>
    <row r="321" spans="2:19" x14ac:dyDescent="0.35">
      <c r="B321" s="18" t="s">
        <v>800</v>
      </c>
      <c r="C321" s="9" t="s">
        <v>803</v>
      </c>
      <c r="D321" s="9" t="s">
        <v>799</v>
      </c>
      <c r="E321" s="9" t="s">
        <v>39</v>
      </c>
      <c r="F321" s="17">
        <v>0.16839999999999999</v>
      </c>
      <c r="G321" s="17"/>
      <c r="H321" s="17"/>
      <c r="I321" s="17"/>
      <c r="J321" s="17">
        <v>0.16839999999999999</v>
      </c>
      <c r="K321" s="9" t="s">
        <v>1343</v>
      </c>
      <c r="L321" s="9" t="s">
        <v>804</v>
      </c>
      <c r="M321" s="9">
        <v>2023</v>
      </c>
      <c r="N321" s="9" t="s">
        <v>781</v>
      </c>
      <c r="O321" s="10" t="s">
        <v>782</v>
      </c>
      <c r="P321" s="9" t="s">
        <v>783</v>
      </c>
      <c r="Q321" s="9" t="s">
        <v>264</v>
      </c>
      <c r="R321" s="9" t="s">
        <v>1344</v>
      </c>
      <c r="S321" s="9" t="s">
        <v>1658</v>
      </c>
    </row>
    <row r="322" spans="2:19" x14ac:dyDescent="0.35">
      <c r="B322" s="18" t="s">
        <v>258</v>
      </c>
      <c r="C322" s="9" t="s">
        <v>259</v>
      </c>
      <c r="D322" s="9" t="s">
        <v>799</v>
      </c>
      <c r="E322" s="9" t="s">
        <v>39</v>
      </c>
      <c r="F322" s="17">
        <v>0.31869999999999998</v>
      </c>
      <c r="G322" s="17">
        <v>0.3145</v>
      </c>
      <c r="H322" s="17">
        <v>1.2999999999999999E-3</v>
      </c>
      <c r="I322" s="17">
        <v>2.8999999999999998E-3</v>
      </c>
      <c r="J322" s="17">
        <v>0</v>
      </c>
      <c r="K322" s="9" t="s">
        <v>1343</v>
      </c>
      <c r="L322" s="9" t="s">
        <v>260</v>
      </c>
      <c r="M322" s="9">
        <v>2024</v>
      </c>
      <c r="N322" s="9" t="s">
        <v>415</v>
      </c>
      <c r="O322" s="10" t="s">
        <v>416</v>
      </c>
      <c r="P322" s="9" t="s">
        <v>417</v>
      </c>
      <c r="Q322" s="9" t="s">
        <v>264</v>
      </c>
      <c r="R322" s="9" t="s">
        <v>1344</v>
      </c>
      <c r="S322" s="9" t="s">
        <v>1659</v>
      </c>
    </row>
    <row r="323" spans="2:19" x14ac:dyDescent="0.35">
      <c r="B323" s="18" t="s">
        <v>258</v>
      </c>
      <c r="C323" s="9" t="s">
        <v>259</v>
      </c>
      <c r="D323" s="9" t="s">
        <v>799</v>
      </c>
      <c r="E323" s="9" t="s">
        <v>39</v>
      </c>
      <c r="F323" s="17">
        <v>0.45810000000000001</v>
      </c>
      <c r="G323" s="17">
        <v>0.45390000000000003</v>
      </c>
      <c r="H323" s="17">
        <v>1.2999999999999999E-3</v>
      </c>
      <c r="I323" s="17">
        <v>2.8999999999999998E-3</v>
      </c>
      <c r="J323" s="17">
        <v>0</v>
      </c>
      <c r="K323" s="9" t="s">
        <v>1343</v>
      </c>
      <c r="L323" s="9" t="s">
        <v>260</v>
      </c>
      <c r="M323" s="9">
        <v>2023</v>
      </c>
      <c r="N323" s="9" t="s">
        <v>415</v>
      </c>
      <c r="O323" s="10" t="s">
        <v>416</v>
      </c>
      <c r="P323" s="9" t="s">
        <v>417</v>
      </c>
      <c r="Q323" s="9" t="s">
        <v>264</v>
      </c>
      <c r="R323" s="9" t="s">
        <v>1344</v>
      </c>
      <c r="S323" s="9" t="s">
        <v>1660</v>
      </c>
    </row>
    <row r="324" spans="2:19" x14ac:dyDescent="0.35">
      <c r="B324" s="18" t="s">
        <v>258</v>
      </c>
      <c r="C324" s="9" t="s">
        <v>259</v>
      </c>
      <c r="D324" s="9" t="s">
        <v>799</v>
      </c>
      <c r="E324" s="9" t="s">
        <v>39</v>
      </c>
      <c r="F324" s="17">
        <v>0.65600000000000003</v>
      </c>
      <c r="G324" s="17">
        <v>0.6522</v>
      </c>
      <c r="H324" s="17">
        <v>8.0000000000000004E-4</v>
      </c>
      <c r="I324" s="17">
        <v>3.0000000000000001E-3</v>
      </c>
      <c r="J324" s="17">
        <v>0</v>
      </c>
      <c r="K324" s="9" t="s">
        <v>1343</v>
      </c>
      <c r="L324" s="9" t="s">
        <v>260</v>
      </c>
      <c r="M324" s="9">
        <v>2022</v>
      </c>
      <c r="N324" s="9" t="s">
        <v>415</v>
      </c>
      <c r="O324" s="10" t="s">
        <v>416</v>
      </c>
      <c r="P324" s="9" t="s">
        <v>417</v>
      </c>
      <c r="Q324" s="9" t="s">
        <v>264</v>
      </c>
      <c r="R324" s="9" t="s">
        <v>1344</v>
      </c>
      <c r="S324" s="9" t="s">
        <v>1661</v>
      </c>
    </row>
    <row r="325" spans="2:19" x14ac:dyDescent="0.35">
      <c r="B325" s="18" t="s">
        <v>258</v>
      </c>
      <c r="C325" s="9" t="s">
        <v>259</v>
      </c>
      <c r="D325" s="9" t="s">
        <v>799</v>
      </c>
      <c r="E325" s="9" t="s">
        <v>39</v>
      </c>
      <c r="F325" s="17">
        <v>6.8599999999999994E-2</v>
      </c>
      <c r="G325" s="17">
        <v>6.83E-2</v>
      </c>
      <c r="H325" s="17"/>
      <c r="I325" s="17">
        <v>2.9999999999999997E-4</v>
      </c>
      <c r="J325" s="17">
        <v>0</v>
      </c>
      <c r="K325" s="9" t="s">
        <v>1343</v>
      </c>
      <c r="L325" s="9" t="s">
        <v>260</v>
      </c>
      <c r="M325" s="9">
        <v>2022</v>
      </c>
      <c r="N325" s="9" t="s">
        <v>496</v>
      </c>
      <c r="O325" s="10" t="s">
        <v>497</v>
      </c>
      <c r="P325" s="9" t="s">
        <v>498</v>
      </c>
      <c r="Q325" s="9" t="s">
        <v>264</v>
      </c>
      <c r="R325" s="9" t="s">
        <v>1344</v>
      </c>
      <c r="S325" s="9" t="s">
        <v>1662</v>
      </c>
    </row>
    <row r="326" spans="2:19" x14ac:dyDescent="0.35">
      <c r="B326" s="18" t="s">
        <v>258</v>
      </c>
      <c r="C326" s="9" t="s">
        <v>259</v>
      </c>
      <c r="D326" s="9" t="s">
        <v>799</v>
      </c>
      <c r="E326" s="9" t="s">
        <v>39</v>
      </c>
      <c r="F326" s="17">
        <v>6.9099999999999995E-2</v>
      </c>
      <c r="G326" s="17">
        <v>6.88E-2</v>
      </c>
      <c r="H326" s="17"/>
      <c r="I326" s="17">
        <v>2.9999999999999997E-4</v>
      </c>
      <c r="J326" s="17">
        <v>0</v>
      </c>
      <c r="K326" s="9" t="s">
        <v>1343</v>
      </c>
      <c r="L326" s="9" t="s">
        <v>260</v>
      </c>
      <c r="M326" s="9">
        <v>2023</v>
      </c>
      <c r="N326" s="9" t="s">
        <v>496</v>
      </c>
      <c r="O326" s="10" t="s">
        <v>497</v>
      </c>
      <c r="P326" s="9" t="s">
        <v>498</v>
      </c>
      <c r="Q326" s="9" t="s">
        <v>264</v>
      </c>
      <c r="R326" s="9" t="s">
        <v>1344</v>
      </c>
      <c r="S326" s="9" t="s">
        <v>1663</v>
      </c>
    </row>
    <row r="327" spans="2:19" x14ac:dyDescent="0.35">
      <c r="B327" s="18" t="s">
        <v>800</v>
      </c>
      <c r="C327" s="9" t="s">
        <v>801</v>
      </c>
      <c r="D327" s="9" t="s">
        <v>799</v>
      </c>
      <c r="E327" s="9" t="s">
        <v>39</v>
      </c>
      <c r="F327" s="17">
        <v>8.8000000000000005E-3</v>
      </c>
      <c r="G327" s="17"/>
      <c r="H327" s="17"/>
      <c r="I327" s="17"/>
      <c r="J327" s="17">
        <v>8.8000000000000005E-3</v>
      </c>
      <c r="K327" s="9" t="s">
        <v>1343</v>
      </c>
      <c r="L327" s="9" t="s">
        <v>802</v>
      </c>
      <c r="M327" s="9">
        <v>2022</v>
      </c>
      <c r="N327" s="9" t="s">
        <v>496</v>
      </c>
      <c r="O327" s="10" t="s">
        <v>497</v>
      </c>
      <c r="P327" s="9" t="s">
        <v>498</v>
      </c>
      <c r="Q327" s="9" t="s">
        <v>264</v>
      </c>
      <c r="R327" s="9" t="s">
        <v>1344</v>
      </c>
      <c r="S327" s="9" t="s">
        <v>1664</v>
      </c>
    </row>
    <row r="328" spans="2:19" x14ac:dyDescent="0.35">
      <c r="B328" s="18" t="s">
        <v>800</v>
      </c>
      <c r="C328" s="9" t="s">
        <v>801</v>
      </c>
      <c r="D328" s="9" t="s">
        <v>799</v>
      </c>
      <c r="E328" s="9" t="s">
        <v>39</v>
      </c>
      <c r="F328" s="17">
        <v>1.01E-2</v>
      </c>
      <c r="G328" s="17"/>
      <c r="H328" s="17"/>
      <c r="I328" s="17"/>
      <c r="J328" s="17">
        <v>1.01E-2</v>
      </c>
      <c r="K328" s="9" t="s">
        <v>1343</v>
      </c>
      <c r="L328" s="9" t="s">
        <v>802</v>
      </c>
      <c r="M328" s="9">
        <v>2023</v>
      </c>
      <c r="N328" s="9" t="s">
        <v>496</v>
      </c>
      <c r="O328" s="10" t="s">
        <v>497</v>
      </c>
      <c r="P328" s="9" t="s">
        <v>498</v>
      </c>
      <c r="Q328" s="9" t="s">
        <v>264</v>
      </c>
      <c r="R328" s="9" t="s">
        <v>1344</v>
      </c>
      <c r="S328" s="9" t="s">
        <v>1665</v>
      </c>
    </row>
    <row r="329" spans="2:19" x14ac:dyDescent="0.35">
      <c r="B329" s="18" t="s">
        <v>800</v>
      </c>
      <c r="C329" s="9" t="s">
        <v>803</v>
      </c>
      <c r="D329" s="9" t="s">
        <v>799</v>
      </c>
      <c r="E329" s="9" t="s">
        <v>39</v>
      </c>
      <c r="F329" s="17">
        <v>2.53E-2</v>
      </c>
      <c r="G329" s="17"/>
      <c r="H329" s="17"/>
      <c r="I329" s="17"/>
      <c r="J329" s="17">
        <v>2.53E-2</v>
      </c>
      <c r="K329" s="9" t="s">
        <v>1343</v>
      </c>
      <c r="L329" s="9" t="s">
        <v>804</v>
      </c>
      <c r="M329" s="9">
        <v>2022</v>
      </c>
      <c r="N329" s="9" t="s">
        <v>496</v>
      </c>
      <c r="O329" s="10" t="s">
        <v>497</v>
      </c>
      <c r="P329" s="9" t="s">
        <v>498</v>
      </c>
      <c r="Q329" s="9" t="s">
        <v>264</v>
      </c>
      <c r="R329" s="9" t="s">
        <v>1344</v>
      </c>
      <c r="S329" s="9" t="s">
        <v>1666</v>
      </c>
    </row>
    <row r="330" spans="2:19" x14ac:dyDescent="0.35">
      <c r="B330" s="18" t="s">
        <v>800</v>
      </c>
      <c r="C330" s="9" t="s">
        <v>803</v>
      </c>
      <c r="D330" s="9" t="s">
        <v>799</v>
      </c>
      <c r="E330" s="9" t="s">
        <v>39</v>
      </c>
      <c r="F330" s="17">
        <v>2.86E-2</v>
      </c>
      <c r="G330" s="17"/>
      <c r="H330" s="17"/>
      <c r="I330" s="17"/>
      <c r="J330" s="17">
        <v>2.86E-2</v>
      </c>
      <c r="K330" s="9" t="s">
        <v>1343</v>
      </c>
      <c r="L330" s="9" t="s">
        <v>804</v>
      </c>
      <c r="M330" s="9">
        <v>2023</v>
      </c>
      <c r="N330" s="9" t="s">
        <v>496</v>
      </c>
      <c r="O330" s="10" t="s">
        <v>497</v>
      </c>
      <c r="P330" s="9" t="s">
        <v>498</v>
      </c>
      <c r="Q330" s="9" t="s">
        <v>264</v>
      </c>
      <c r="R330" s="9" t="s">
        <v>1344</v>
      </c>
      <c r="S330" s="9" t="s">
        <v>1667</v>
      </c>
    </row>
    <row r="331" spans="2:19" x14ac:dyDescent="0.35">
      <c r="B331" s="18" t="s">
        <v>258</v>
      </c>
      <c r="C331" s="9" t="s">
        <v>259</v>
      </c>
      <c r="D331" s="9" t="s">
        <v>799</v>
      </c>
      <c r="E331" s="9" t="s">
        <v>39</v>
      </c>
      <c r="F331" s="17">
        <v>1E-4</v>
      </c>
      <c r="G331" s="17">
        <v>1E-4</v>
      </c>
      <c r="H331" s="17"/>
      <c r="I331" s="17"/>
      <c r="J331" s="17">
        <v>0</v>
      </c>
      <c r="K331" s="9" t="s">
        <v>1343</v>
      </c>
      <c r="L331" s="9" t="s">
        <v>260</v>
      </c>
      <c r="M331" s="9">
        <v>2022</v>
      </c>
      <c r="N331" s="9" t="s">
        <v>778</v>
      </c>
      <c r="O331" s="10" t="s">
        <v>779</v>
      </c>
      <c r="P331" s="9" t="s">
        <v>780</v>
      </c>
      <c r="Q331" s="9" t="s">
        <v>264</v>
      </c>
      <c r="R331" s="9" t="s">
        <v>1344</v>
      </c>
      <c r="S331" s="9" t="s">
        <v>1668</v>
      </c>
    </row>
    <row r="332" spans="2:19" x14ac:dyDescent="0.35">
      <c r="B332" s="18" t="s">
        <v>258</v>
      </c>
      <c r="C332" s="9" t="s">
        <v>259</v>
      </c>
      <c r="D332" s="9" t="s">
        <v>799</v>
      </c>
      <c r="E332" s="9" t="s">
        <v>39</v>
      </c>
      <c r="F332" s="17">
        <v>1E-4</v>
      </c>
      <c r="G332" s="17">
        <v>1E-4</v>
      </c>
      <c r="H332" s="17"/>
      <c r="I332" s="17"/>
      <c r="J332" s="17">
        <v>0</v>
      </c>
      <c r="K332" s="9" t="s">
        <v>1343</v>
      </c>
      <c r="L332" s="9" t="s">
        <v>260</v>
      </c>
      <c r="M332" s="9">
        <v>2023</v>
      </c>
      <c r="N332" s="9" t="s">
        <v>778</v>
      </c>
      <c r="O332" s="10" t="s">
        <v>779</v>
      </c>
      <c r="P332" s="9" t="s">
        <v>780</v>
      </c>
      <c r="Q332" s="9" t="s">
        <v>264</v>
      </c>
      <c r="R332" s="9" t="s">
        <v>1344</v>
      </c>
      <c r="S332" s="9" t="s">
        <v>1669</v>
      </c>
    </row>
    <row r="333" spans="2:19" x14ac:dyDescent="0.35">
      <c r="B333" s="18" t="s">
        <v>800</v>
      </c>
      <c r="C333" s="9" t="s">
        <v>801</v>
      </c>
      <c r="D333" s="9" t="s">
        <v>799</v>
      </c>
      <c r="E333" s="9" t="s">
        <v>39</v>
      </c>
      <c r="F333" s="17">
        <v>8.9999999999999998E-4</v>
      </c>
      <c r="G333" s="17"/>
      <c r="H333" s="17"/>
      <c r="I333" s="17"/>
      <c r="J333" s="17">
        <v>8.9999999999999998E-4</v>
      </c>
      <c r="K333" s="9" t="s">
        <v>1343</v>
      </c>
      <c r="L333" s="9" t="s">
        <v>802</v>
      </c>
      <c r="M333" s="9">
        <v>2022</v>
      </c>
      <c r="N333" s="9" t="s">
        <v>778</v>
      </c>
      <c r="O333" s="10" t="s">
        <v>779</v>
      </c>
      <c r="P333" s="9" t="s">
        <v>780</v>
      </c>
      <c r="Q333" s="9" t="s">
        <v>264</v>
      </c>
      <c r="R333" s="9" t="s">
        <v>1344</v>
      </c>
      <c r="S333" s="9" t="s">
        <v>1670</v>
      </c>
    </row>
    <row r="334" spans="2:19" x14ac:dyDescent="0.35">
      <c r="B334" s="18" t="s">
        <v>800</v>
      </c>
      <c r="C334" s="9" t="s">
        <v>801</v>
      </c>
      <c r="D334" s="9" t="s">
        <v>799</v>
      </c>
      <c r="E334" s="9" t="s">
        <v>39</v>
      </c>
      <c r="F334" s="17">
        <v>8.9999999999999998E-4</v>
      </c>
      <c r="G334" s="17"/>
      <c r="H334" s="17"/>
      <c r="I334" s="17"/>
      <c r="J334" s="17">
        <v>8.9999999999999998E-4</v>
      </c>
      <c r="K334" s="9" t="s">
        <v>1343</v>
      </c>
      <c r="L334" s="9" t="s">
        <v>802</v>
      </c>
      <c r="M334" s="9">
        <v>2023</v>
      </c>
      <c r="N334" s="9" t="s">
        <v>778</v>
      </c>
      <c r="O334" s="10" t="s">
        <v>779</v>
      </c>
      <c r="P334" s="9" t="s">
        <v>780</v>
      </c>
      <c r="Q334" s="9" t="s">
        <v>264</v>
      </c>
      <c r="R334" s="9" t="s">
        <v>1344</v>
      </c>
      <c r="S334" s="9" t="s">
        <v>1671</v>
      </c>
    </row>
    <row r="335" spans="2:19" x14ac:dyDescent="0.35">
      <c r="B335" s="18" t="s">
        <v>800</v>
      </c>
      <c r="C335" s="9" t="s">
        <v>803</v>
      </c>
      <c r="D335" s="9" t="s">
        <v>799</v>
      </c>
      <c r="E335" s="9" t="s">
        <v>39</v>
      </c>
      <c r="F335" s="17">
        <v>4.4000000000000003E-3</v>
      </c>
      <c r="G335" s="17"/>
      <c r="H335" s="17"/>
      <c r="I335" s="17"/>
      <c r="J335" s="17">
        <v>4.4000000000000003E-3</v>
      </c>
      <c r="K335" s="9" t="s">
        <v>1343</v>
      </c>
      <c r="L335" s="9" t="s">
        <v>804</v>
      </c>
      <c r="M335" s="9">
        <v>2022</v>
      </c>
      <c r="N335" s="9" t="s">
        <v>778</v>
      </c>
      <c r="O335" s="10" t="s">
        <v>779</v>
      </c>
      <c r="P335" s="9" t="s">
        <v>780</v>
      </c>
      <c r="Q335" s="9" t="s">
        <v>264</v>
      </c>
      <c r="R335" s="9" t="s">
        <v>1344</v>
      </c>
      <c r="S335" s="9" t="s">
        <v>1672</v>
      </c>
    </row>
    <row r="336" spans="2:19" x14ac:dyDescent="0.35">
      <c r="B336" s="18" t="s">
        <v>800</v>
      </c>
      <c r="C336" s="9" t="s">
        <v>803</v>
      </c>
      <c r="D336" s="9" t="s">
        <v>799</v>
      </c>
      <c r="E336" s="9" t="s">
        <v>39</v>
      </c>
      <c r="F336" s="17">
        <v>4.4000000000000003E-3</v>
      </c>
      <c r="G336" s="17"/>
      <c r="H336" s="17"/>
      <c r="I336" s="17"/>
      <c r="J336" s="17">
        <v>4.4000000000000003E-3</v>
      </c>
      <c r="K336" s="9" t="s">
        <v>1343</v>
      </c>
      <c r="L336" s="9" t="s">
        <v>804</v>
      </c>
      <c r="M336" s="9">
        <v>2023</v>
      </c>
      <c r="N336" s="9" t="s">
        <v>778</v>
      </c>
      <c r="O336" s="10" t="s">
        <v>779</v>
      </c>
      <c r="P336" s="9" t="s">
        <v>780</v>
      </c>
      <c r="Q336" s="9" t="s">
        <v>264</v>
      </c>
      <c r="R336" s="9" t="s">
        <v>1344</v>
      </c>
      <c r="S336" s="9" t="s">
        <v>1673</v>
      </c>
    </row>
    <row r="337" spans="2:19" x14ac:dyDescent="0.35">
      <c r="B337" s="18" t="s">
        <v>258</v>
      </c>
      <c r="C337" s="9" t="s">
        <v>259</v>
      </c>
      <c r="D337" s="9" t="s">
        <v>799</v>
      </c>
      <c r="E337" s="9" t="s">
        <v>39</v>
      </c>
      <c r="F337" s="17">
        <v>0.27160000000000001</v>
      </c>
      <c r="G337" s="17">
        <v>0.27050000000000002</v>
      </c>
      <c r="H337" s="17">
        <v>2.9999999999999997E-4</v>
      </c>
      <c r="I337" s="17">
        <v>8.0000000000000004E-4</v>
      </c>
      <c r="J337" s="17">
        <v>0</v>
      </c>
      <c r="K337" s="9" t="s">
        <v>1343</v>
      </c>
      <c r="L337" s="9" t="s">
        <v>260</v>
      </c>
      <c r="M337" s="9">
        <v>2023</v>
      </c>
      <c r="N337" s="9" t="s">
        <v>354</v>
      </c>
      <c r="O337" s="10" t="s">
        <v>354</v>
      </c>
      <c r="P337" s="9" t="s">
        <v>355</v>
      </c>
      <c r="Q337" s="9" t="s">
        <v>264</v>
      </c>
      <c r="R337" s="9" t="s">
        <v>1344</v>
      </c>
      <c r="S337" s="9" t="s">
        <v>1674</v>
      </c>
    </row>
    <row r="338" spans="2:19" x14ac:dyDescent="0.35">
      <c r="B338" s="18" t="s">
        <v>258</v>
      </c>
      <c r="C338" s="9" t="s">
        <v>259</v>
      </c>
      <c r="D338" s="9" t="s">
        <v>799</v>
      </c>
      <c r="E338" s="9" t="s">
        <v>39</v>
      </c>
      <c r="F338" s="17">
        <v>0.29220000000000002</v>
      </c>
      <c r="G338" s="17">
        <v>0.29099999999999998</v>
      </c>
      <c r="H338" s="17">
        <v>2.9999999999999997E-4</v>
      </c>
      <c r="I338" s="17">
        <v>8.9999999999999998E-4</v>
      </c>
      <c r="J338" s="17">
        <v>0</v>
      </c>
      <c r="K338" s="9" t="s">
        <v>1343</v>
      </c>
      <c r="L338" s="9" t="s">
        <v>260</v>
      </c>
      <c r="M338" s="9">
        <v>2022</v>
      </c>
      <c r="N338" s="9" t="s">
        <v>354</v>
      </c>
      <c r="O338" s="10" t="s">
        <v>354</v>
      </c>
      <c r="P338" s="9" t="s">
        <v>355</v>
      </c>
      <c r="Q338" s="9" t="s">
        <v>264</v>
      </c>
      <c r="R338" s="9" t="s">
        <v>1344</v>
      </c>
      <c r="S338" s="9" t="s">
        <v>1675</v>
      </c>
    </row>
    <row r="339" spans="2:19" x14ac:dyDescent="0.35">
      <c r="B339" s="18" t="s">
        <v>258</v>
      </c>
      <c r="C339" s="9" t="s">
        <v>259</v>
      </c>
      <c r="D339" s="9" t="s">
        <v>799</v>
      </c>
      <c r="E339" s="9" t="s">
        <v>39</v>
      </c>
      <c r="F339" s="17">
        <v>0.17949999999999999</v>
      </c>
      <c r="G339" s="17">
        <v>0.17860000000000001</v>
      </c>
      <c r="H339" s="17">
        <v>2.0000000000000001E-4</v>
      </c>
      <c r="I339" s="17">
        <v>6.9999999999999999E-4</v>
      </c>
      <c r="J339" s="17">
        <v>0</v>
      </c>
      <c r="K339" s="9" t="s">
        <v>1343</v>
      </c>
      <c r="L339" s="9" t="s">
        <v>260</v>
      </c>
      <c r="M339" s="9">
        <v>2024</v>
      </c>
      <c r="N339" s="9" t="s">
        <v>334</v>
      </c>
      <c r="O339" s="10" t="s">
        <v>334</v>
      </c>
      <c r="P339" s="9" t="s">
        <v>335</v>
      </c>
      <c r="Q339" s="9" t="s">
        <v>264</v>
      </c>
      <c r="R339" s="9" t="s">
        <v>1344</v>
      </c>
      <c r="S339" s="9" t="s">
        <v>1676</v>
      </c>
    </row>
    <row r="340" spans="2:19" x14ac:dyDescent="0.35">
      <c r="B340" s="18" t="s">
        <v>258</v>
      </c>
      <c r="C340" s="9" t="s">
        <v>259</v>
      </c>
      <c r="D340" s="9" t="s">
        <v>799</v>
      </c>
      <c r="E340" s="9" t="s">
        <v>39</v>
      </c>
      <c r="F340" s="17">
        <v>0.20039999999999999</v>
      </c>
      <c r="G340" s="17">
        <v>0.19950000000000001</v>
      </c>
      <c r="H340" s="17">
        <v>2.0000000000000001E-4</v>
      </c>
      <c r="I340" s="17">
        <v>6.9999999999999999E-4</v>
      </c>
      <c r="J340" s="17">
        <v>0</v>
      </c>
      <c r="K340" s="9" t="s">
        <v>1343</v>
      </c>
      <c r="L340" s="9" t="s">
        <v>260</v>
      </c>
      <c r="M340" s="9">
        <v>2023</v>
      </c>
      <c r="N340" s="9" t="s">
        <v>334</v>
      </c>
      <c r="O340" s="10" t="s">
        <v>334</v>
      </c>
      <c r="P340" s="9" t="s">
        <v>335</v>
      </c>
      <c r="Q340" s="9" t="s">
        <v>264</v>
      </c>
      <c r="R340" s="9" t="s">
        <v>1344</v>
      </c>
      <c r="S340" s="9" t="s">
        <v>1677</v>
      </c>
    </row>
    <row r="341" spans="2:19" x14ac:dyDescent="0.35">
      <c r="B341" s="18" t="s">
        <v>258</v>
      </c>
      <c r="C341" s="9" t="s">
        <v>259</v>
      </c>
      <c r="D341" s="9" t="s">
        <v>799</v>
      </c>
      <c r="E341" s="9" t="s">
        <v>39</v>
      </c>
      <c r="F341" s="17">
        <v>0.24940000000000001</v>
      </c>
      <c r="G341" s="17">
        <v>0.2482</v>
      </c>
      <c r="H341" s="17">
        <v>2.9999999999999997E-4</v>
      </c>
      <c r="I341" s="17">
        <v>8.9999999999999998E-4</v>
      </c>
      <c r="J341" s="17">
        <v>0</v>
      </c>
      <c r="K341" s="9" t="s">
        <v>1343</v>
      </c>
      <c r="L341" s="9" t="s">
        <v>260</v>
      </c>
      <c r="M341" s="9">
        <v>2022</v>
      </c>
      <c r="N341" s="9" t="s">
        <v>334</v>
      </c>
      <c r="O341" s="10" t="s">
        <v>334</v>
      </c>
      <c r="P341" s="9" t="s">
        <v>335</v>
      </c>
      <c r="Q341" s="9" t="s">
        <v>264</v>
      </c>
      <c r="R341" s="9" t="s">
        <v>1344</v>
      </c>
      <c r="S341" s="9" t="s">
        <v>1678</v>
      </c>
    </row>
    <row r="342" spans="2:19" x14ac:dyDescent="0.35">
      <c r="B342" s="18" t="s">
        <v>258</v>
      </c>
      <c r="C342" s="9" t="s">
        <v>259</v>
      </c>
      <c r="D342" s="9" t="s">
        <v>799</v>
      </c>
      <c r="E342" s="9" t="s">
        <v>39</v>
      </c>
      <c r="F342" s="17">
        <v>0.17699999999999999</v>
      </c>
      <c r="G342" s="17">
        <v>0.17599999999999999</v>
      </c>
      <c r="H342" s="17">
        <v>2.9999999999999997E-4</v>
      </c>
      <c r="I342" s="17">
        <v>6.9999999999999999E-4</v>
      </c>
      <c r="J342" s="17">
        <v>0</v>
      </c>
      <c r="K342" s="9" t="s">
        <v>1343</v>
      </c>
      <c r="L342" s="9" t="s">
        <v>260</v>
      </c>
      <c r="M342" s="9">
        <v>2024</v>
      </c>
      <c r="N342" s="9" t="s">
        <v>336</v>
      </c>
      <c r="O342" s="10" t="s">
        <v>336</v>
      </c>
      <c r="P342" s="9" t="s">
        <v>337</v>
      </c>
      <c r="Q342" s="9" t="s">
        <v>264</v>
      </c>
      <c r="R342" s="9" t="s">
        <v>1344</v>
      </c>
      <c r="S342" s="9" t="s">
        <v>1679</v>
      </c>
    </row>
    <row r="343" spans="2:19" x14ac:dyDescent="0.35">
      <c r="B343" s="18" t="s">
        <v>258</v>
      </c>
      <c r="C343" s="9" t="s">
        <v>259</v>
      </c>
      <c r="D343" s="9" t="s">
        <v>799</v>
      </c>
      <c r="E343" s="9" t="s">
        <v>39</v>
      </c>
      <c r="F343" s="17">
        <v>0.1981</v>
      </c>
      <c r="G343" s="17">
        <v>0.1971</v>
      </c>
      <c r="H343" s="17">
        <v>2.9999999999999997E-4</v>
      </c>
      <c r="I343" s="17">
        <v>6.9999999999999999E-4</v>
      </c>
      <c r="J343" s="17">
        <v>0</v>
      </c>
      <c r="K343" s="9" t="s">
        <v>1343</v>
      </c>
      <c r="L343" s="9" t="s">
        <v>260</v>
      </c>
      <c r="M343" s="9">
        <v>2023</v>
      </c>
      <c r="N343" s="9" t="s">
        <v>336</v>
      </c>
      <c r="O343" s="10" t="s">
        <v>336</v>
      </c>
      <c r="P343" s="9" t="s">
        <v>337</v>
      </c>
      <c r="Q343" s="9" t="s">
        <v>264</v>
      </c>
      <c r="R343" s="9" t="s">
        <v>1344</v>
      </c>
      <c r="S343" s="9" t="s">
        <v>1680</v>
      </c>
    </row>
    <row r="344" spans="2:19" x14ac:dyDescent="0.35">
      <c r="B344" s="18" t="s">
        <v>258</v>
      </c>
      <c r="C344" s="9" t="s">
        <v>259</v>
      </c>
      <c r="D344" s="9" t="s">
        <v>799</v>
      </c>
      <c r="E344" s="9" t="s">
        <v>39</v>
      </c>
      <c r="F344" s="17">
        <v>0.2437</v>
      </c>
      <c r="G344" s="17">
        <v>0.24249999999999999</v>
      </c>
      <c r="H344" s="17">
        <v>2.9999999999999997E-4</v>
      </c>
      <c r="I344" s="17">
        <v>8.9999999999999998E-4</v>
      </c>
      <c r="J344" s="17">
        <v>0</v>
      </c>
      <c r="K344" s="9" t="s">
        <v>1343</v>
      </c>
      <c r="L344" s="9" t="s">
        <v>260</v>
      </c>
      <c r="M344" s="9">
        <v>2022</v>
      </c>
      <c r="N344" s="9" t="s">
        <v>336</v>
      </c>
      <c r="O344" s="10" t="s">
        <v>336</v>
      </c>
      <c r="P344" s="9" t="s">
        <v>337</v>
      </c>
      <c r="Q344" s="9" t="s">
        <v>264</v>
      </c>
      <c r="R344" s="9" t="s">
        <v>1344</v>
      </c>
      <c r="S344" s="9" t="s">
        <v>1681</v>
      </c>
    </row>
    <row r="345" spans="2:19" x14ac:dyDescent="0.35">
      <c r="B345" s="18" t="s">
        <v>258</v>
      </c>
      <c r="C345" s="9" t="s">
        <v>259</v>
      </c>
      <c r="D345" s="9" t="s">
        <v>799</v>
      </c>
      <c r="E345" s="9" t="s">
        <v>39</v>
      </c>
      <c r="F345" s="17">
        <v>3.1399999999999997E-2</v>
      </c>
      <c r="G345" s="17">
        <v>3.1300000000000001E-2</v>
      </c>
      <c r="H345" s="17"/>
      <c r="I345" s="17">
        <v>1E-4</v>
      </c>
      <c r="J345" s="17">
        <v>0</v>
      </c>
      <c r="K345" s="9" t="s">
        <v>1343</v>
      </c>
      <c r="L345" s="9" t="s">
        <v>260</v>
      </c>
      <c r="M345" s="9">
        <v>2024</v>
      </c>
      <c r="N345" s="9" t="s">
        <v>298</v>
      </c>
      <c r="O345" s="10" t="s">
        <v>299</v>
      </c>
      <c r="P345" s="9" t="s">
        <v>300</v>
      </c>
      <c r="Q345" s="9" t="s">
        <v>264</v>
      </c>
      <c r="R345" s="9" t="s">
        <v>1344</v>
      </c>
      <c r="S345" s="9" t="s">
        <v>1682</v>
      </c>
    </row>
    <row r="346" spans="2:19" x14ac:dyDescent="0.35">
      <c r="B346" s="18" t="s">
        <v>258</v>
      </c>
      <c r="C346" s="9" t="s">
        <v>259</v>
      </c>
      <c r="D346" s="9" t="s">
        <v>799</v>
      </c>
      <c r="E346" s="9" t="s">
        <v>39</v>
      </c>
      <c r="F346" s="17">
        <v>4.1599999999999998E-2</v>
      </c>
      <c r="G346" s="17">
        <v>4.1500000000000002E-2</v>
      </c>
      <c r="H346" s="17"/>
      <c r="I346" s="17">
        <v>1E-4</v>
      </c>
      <c r="J346" s="17">
        <v>0</v>
      </c>
      <c r="K346" s="9" t="s">
        <v>1343</v>
      </c>
      <c r="L346" s="9" t="s">
        <v>260</v>
      </c>
      <c r="M346" s="9">
        <v>2023</v>
      </c>
      <c r="N346" s="9" t="s">
        <v>298</v>
      </c>
      <c r="O346" s="10" t="s">
        <v>299</v>
      </c>
      <c r="P346" s="9" t="s">
        <v>300</v>
      </c>
      <c r="Q346" s="9" t="s">
        <v>264</v>
      </c>
      <c r="R346" s="9" t="s">
        <v>1344</v>
      </c>
      <c r="S346" s="9" t="s">
        <v>1683</v>
      </c>
    </row>
    <row r="347" spans="2:19" x14ac:dyDescent="0.35">
      <c r="B347" s="18" t="s">
        <v>258</v>
      </c>
      <c r="C347" s="9" t="s">
        <v>259</v>
      </c>
      <c r="D347" s="9" t="s">
        <v>799</v>
      </c>
      <c r="E347" s="9" t="s">
        <v>39</v>
      </c>
      <c r="F347" s="17">
        <v>7.0000000000000007E-2</v>
      </c>
      <c r="G347" s="17">
        <v>6.9699999999999998E-2</v>
      </c>
      <c r="H347" s="17">
        <v>1E-4</v>
      </c>
      <c r="I347" s="17">
        <v>2.0000000000000001E-4</v>
      </c>
      <c r="J347" s="17">
        <v>0</v>
      </c>
      <c r="K347" s="9" t="s">
        <v>1343</v>
      </c>
      <c r="L347" s="9" t="s">
        <v>260</v>
      </c>
      <c r="M347" s="9">
        <v>2022</v>
      </c>
      <c r="N347" s="9" t="s">
        <v>298</v>
      </c>
      <c r="O347" s="10" t="s">
        <v>299</v>
      </c>
      <c r="P347" s="9" t="s">
        <v>300</v>
      </c>
      <c r="Q347" s="9" t="s">
        <v>264</v>
      </c>
      <c r="R347" s="9" t="s">
        <v>1344</v>
      </c>
      <c r="S347" s="9" t="s">
        <v>1684</v>
      </c>
    </row>
    <row r="348" spans="2:19" x14ac:dyDescent="0.35">
      <c r="B348" s="18" t="s">
        <v>800</v>
      </c>
      <c r="C348" s="9" t="s">
        <v>801</v>
      </c>
      <c r="D348" s="9" t="s">
        <v>799</v>
      </c>
      <c r="E348" s="9" t="s">
        <v>39</v>
      </c>
      <c r="F348" s="17">
        <v>2.0999999999999999E-3</v>
      </c>
      <c r="G348" s="17"/>
      <c r="H348" s="17"/>
      <c r="I348" s="17"/>
      <c r="J348" s="17">
        <v>2.0999999999999999E-3</v>
      </c>
      <c r="K348" s="9" t="s">
        <v>1343</v>
      </c>
      <c r="L348" s="9" t="s">
        <v>802</v>
      </c>
      <c r="M348" s="9">
        <v>2023</v>
      </c>
      <c r="N348" s="9" t="s">
        <v>298</v>
      </c>
      <c r="O348" s="10" t="s">
        <v>299</v>
      </c>
      <c r="P348" s="9" t="s">
        <v>300</v>
      </c>
      <c r="Q348" s="9" t="s">
        <v>264</v>
      </c>
      <c r="R348" s="9" t="s">
        <v>1344</v>
      </c>
      <c r="S348" s="9" t="s">
        <v>1685</v>
      </c>
    </row>
    <row r="349" spans="2:19" x14ac:dyDescent="0.35">
      <c r="B349" s="18" t="s">
        <v>800</v>
      </c>
      <c r="C349" s="9" t="s">
        <v>801</v>
      </c>
      <c r="D349" s="9" t="s">
        <v>799</v>
      </c>
      <c r="E349" s="9" t="s">
        <v>39</v>
      </c>
      <c r="F349" s="17">
        <v>3.2000000000000002E-3</v>
      </c>
      <c r="G349" s="17"/>
      <c r="H349" s="17"/>
      <c r="I349" s="17"/>
      <c r="J349" s="17">
        <v>3.2000000000000002E-3</v>
      </c>
      <c r="K349" s="9" t="s">
        <v>1343</v>
      </c>
      <c r="L349" s="9" t="s">
        <v>802</v>
      </c>
      <c r="M349" s="9">
        <v>2022</v>
      </c>
      <c r="N349" s="9" t="s">
        <v>298</v>
      </c>
      <c r="O349" s="10" t="s">
        <v>299</v>
      </c>
      <c r="P349" s="9" t="s">
        <v>300</v>
      </c>
      <c r="Q349" s="9" t="s">
        <v>264</v>
      </c>
      <c r="R349" s="9" t="s">
        <v>1344</v>
      </c>
      <c r="S349" s="9" t="s">
        <v>1686</v>
      </c>
    </row>
    <row r="350" spans="2:19" x14ac:dyDescent="0.35">
      <c r="B350" s="18" t="s">
        <v>800</v>
      </c>
      <c r="C350" s="9" t="s">
        <v>803</v>
      </c>
      <c r="D350" s="9" t="s">
        <v>799</v>
      </c>
      <c r="E350" s="9" t="s">
        <v>39</v>
      </c>
      <c r="F350" s="17">
        <v>2.0799999999999999E-2</v>
      </c>
      <c r="G350" s="17"/>
      <c r="H350" s="17"/>
      <c r="I350" s="17"/>
      <c r="J350" s="17">
        <v>2.0799999999999999E-2</v>
      </c>
      <c r="K350" s="9" t="s">
        <v>1343</v>
      </c>
      <c r="L350" s="9" t="s">
        <v>804</v>
      </c>
      <c r="M350" s="9">
        <v>2024</v>
      </c>
      <c r="N350" s="9" t="s">
        <v>298</v>
      </c>
      <c r="O350" s="10" t="s">
        <v>299</v>
      </c>
      <c r="P350" s="9" t="s">
        <v>300</v>
      </c>
      <c r="Q350" s="9" t="s">
        <v>264</v>
      </c>
      <c r="R350" s="9" t="s">
        <v>1344</v>
      </c>
      <c r="S350" s="9" t="s">
        <v>1687</v>
      </c>
    </row>
    <row r="351" spans="2:19" x14ac:dyDescent="0.35">
      <c r="B351" s="18" t="s">
        <v>800</v>
      </c>
      <c r="C351" s="9" t="s">
        <v>803</v>
      </c>
      <c r="D351" s="9" t="s">
        <v>799</v>
      </c>
      <c r="E351" s="9" t="s">
        <v>39</v>
      </c>
      <c r="F351" s="17">
        <v>2.3099999999999999E-2</v>
      </c>
      <c r="G351" s="17"/>
      <c r="H351" s="17"/>
      <c r="I351" s="17"/>
      <c r="J351" s="17">
        <v>2.3099999999999999E-2</v>
      </c>
      <c r="K351" s="9" t="s">
        <v>1343</v>
      </c>
      <c r="L351" s="9" t="s">
        <v>804</v>
      </c>
      <c r="M351" s="9">
        <v>2023</v>
      </c>
      <c r="N351" s="9" t="s">
        <v>298</v>
      </c>
      <c r="O351" s="10" t="s">
        <v>299</v>
      </c>
      <c r="P351" s="9" t="s">
        <v>300</v>
      </c>
      <c r="Q351" s="9" t="s">
        <v>264</v>
      </c>
      <c r="R351" s="9" t="s">
        <v>1344</v>
      </c>
      <c r="S351" s="9" t="s">
        <v>1688</v>
      </c>
    </row>
    <row r="352" spans="2:19" x14ac:dyDescent="0.35">
      <c r="B352" s="18" t="s">
        <v>800</v>
      </c>
      <c r="C352" s="9" t="s">
        <v>803</v>
      </c>
      <c r="D352" s="9" t="s">
        <v>799</v>
      </c>
      <c r="E352" s="9" t="s">
        <v>39</v>
      </c>
      <c r="F352" s="17">
        <v>3.1600000000000003E-2</v>
      </c>
      <c r="G352" s="17"/>
      <c r="H352" s="17"/>
      <c r="I352" s="17"/>
      <c r="J352" s="17">
        <v>3.1600000000000003E-2</v>
      </c>
      <c r="K352" s="9" t="s">
        <v>1343</v>
      </c>
      <c r="L352" s="9" t="s">
        <v>804</v>
      </c>
      <c r="M352" s="9">
        <v>2022</v>
      </c>
      <c r="N352" s="9" t="s">
        <v>298</v>
      </c>
      <c r="O352" s="10" t="s">
        <v>299</v>
      </c>
      <c r="P352" s="9" t="s">
        <v>300</v>
      </c>
      <c r="Q352" s="9" t="s">
        <v>264</v>
      </c>
      <c r="R352" s="9" t="s">
        <v>1344</v>
      </c>
      <c r="S352" s="9" t="s">
        <v>1689</v>
      </c>
    </row>
    <row r="353" spans="2:19" x14ac:dyDescent="0.35">
      <c r="B353" s="18" t="s">
        <v>258</v>
      </c>
      <c r="C353" s="9" t="s">
        <v>259</v>
      </c>
      <c r="D353" s="9" t="s">
        <v>799</v>
      </c>
      <c r="E353" s="9" t="s">
        <v>39</v>
      </c>
      <c r="F353" s="17">
        <v>0.50929999999999997</v>
      </c>
      <c r="G353" s="17">
        <v>0.50719999999999998</v>
      </c>
      <c r="H353" s="17">
        <v>2.0000000000000001E-4</v>
      </c>
      <c r="I353" s="17">
        <v>1.9E-3</v>
      </c>
      <c r="J353" s="17">
        <v>0</v>
      </c>
      <c r="K353" s="9" t="s">
        <v>1343</v>
      </c>
      <c r="L353" s="9" t="s">
        <v>260</v>
      </c>
      <c r="M353" s="9">
        <v>2023</v>
      </c>
      <c r="N353" s="9" t="s">
        <v>393</v>
      </c>
      <c r="O353" s="10" t="s">
        <v>394</v>
      </c>
      <c r="P353" s="9" t="s">
        <v>395</v>
      </c>
      <c r="Q353" s="9" t="s">
        <v>264</v>
      </c>
      <c r="R353" s="9" t="s">
        <v>1344</v>
      </c>
      <c r="S353" s="9" t="s">
        <v>1690</v>
      </c>
    </row>
    <row r="354" spans="2:19" x14ac:dyDescent="0.35">
      <c r="B354" s="18" t="s">
        <v>258</v>
      </c>
      <c r="C354" s="9" t="s">
        <v>259</v>
      </c>
      <c r="D354" s="9" t="s">
        <v>799</v>
      </c>
      <c r="E354" s="9" t="s">
        <v>39</v>
      </c>
      <c r="F354" s="17">
        <v>0.6</v>
      </c>
      <c r="G354" s="17">
        <v>0.59760000000000002</v>
      </c>
      <c r="H354" s="17">
        <v>2.0000000000000001E-4</v>
      </c>
      <c r="I354" s="17">
        <v>2.2000000000000001E-3</v>
      </c>
      <c r="J354" s="17">
        <v>0</v>
      </c>
      <c r="K354" s="9" t="s">
        <v>1343</v>
      </c>
      <c r="L354" s="9" t="s">
        <v>260</v>
      </c>
      <c r="M354" s="9">
        <v>2022</v>
      </c>
      <c r="N354" s="9" t="s">
        <v>393</v>
      </c>
      <c r="O354" s="10" t="s">
        <v>394</v>
      </c>
      <c r="P354" s="9" t="s">
        <v>395</v>
      </c>
      <c r="Q354" s="9" t="s">
        <v>264</v>
      </c>
      <c r="R354" s="9" t="s">
        <v>1344</v>
      </c>
      <c r="S354" s="9" t="s">
        <v>1691</v>
      </c>
    </row>
    <row r="355" spans="2:19" x14ac:dyDescent="0.35">
      <c r="B355" s="18" t="s">
        <v>258</v>
      </c>
      <c r="C355" s="9" t="s">
        <v>259</v>
      </c>
      <c r="D355" s="9" t="s">
        <v>799</v>
      </c>
      <c r="E355" s="9" t="s">
        <v>39</v>
      </c>
      <c r="F355" s="17">
        <v>3.0599999999999999E-2</v>
      </c>
      <c r="G355" s="17">
        <v>3.0300000000000001E-2</v>
      </c>
      <c r="H355" s="17">
        <v>1E-4</v>
      </c>
      <c r="I355" s="17">
        <v>2.0000000000000001E-4</v>
      </c>
      <c r="J355" s="17">
        <v>0</v>
      </c>
      <c r="K355" s="9" t="s">
        <v>1343</v>
      </c>
      <c r="L355" s="9" t="s">
        <v>260</v>
      </c>
      <c r="M355" s="9">
        <v>2024</v>
      </c>
      <c r="N355" s="9" t="s">
        <v>438</v>
      </c>
      <c r="O355" s="10" t="s">
        <v>439</v>
      </c>
      <c r="P355" s="9" t="s">
        <v>440</v>
      </c>
      <c r="Q355" s="9" t="s">
        <v>264</v>
      </c>
      <c r="R355" s="9" t="s">
        <v>1344</v>
      </c>
      <c r="S355" s="9" t="s">
        <v>1692</v>
      </c>
    </row>
    <row r="356" spans="2:19" x14ac:dyDescent="0.35">
      <c r="B356" s="18" t="s">
        <v>258</v>
      </c>
      <c r="C356" s="9" t="s">
        <v>259</v>
      </c>
      <c r="D356" s="9" t="s">
        <v>799</v>
      </c>
      <c r="E356" s="9" t="s">
        <v>39</v>
      </c>
      <c r="F356" s="17">
        <v>4.1599999999999998E-2</v>
      </c>
      <c r="G356" s="17">
        <v>4.1300000000000003E-2</v>
      </c>
      <c r="H356" s="17">
        <v>1E-4</v>
      </c>
      <c r="I356" s="17">
        <v>2.0000000000000001E-4</v>
      </c>
      <c r="J356" s="17">
        <v>0</v>
      </c>
      <c r="K356" s="9" t="s">
        <v>1343</v>
      </c>
      <c r="L356" s="9" t="s">
        <v>260</v>
      </c>
      <c r="M356" s="9">
        <v>2023</v>
      </c>
      <c r="N356" s="9" t="s">
        <v>438</v>
      </c>
      <c r="O356" s="10" t="s">
        <v>439</v>
      </c>
      <c r="P356" s="9" t="s">
        <v>440</v>
      </c>
      <c r="Q356" s="9" t="s">
        <v>264</v>
      </c>
      <c r="R356" s="9" t="s">
        <v>1344</v>
      </c>
      <c r="S356" s="9" t="s">
        <v>1693</v>
      </c>
    </row>
    <row r="357" spans="2:19" x14ac:dyDescent="0.35">
      <c r="B357" s="18" t="s">
        <v>258</v>
      </c>
      <c r="C357" s="9" t="s">
        <v>259</v>
      </c>
      <c r="D357" s="9" t="s">
        <v>799</v>
      </c>
      <c r="E357" s="9" t="s">
        <v>39</v>
      </c>
      <c r="F357" s="17">
        <v>6.3E-2</v>
      </c>
      <c r="G357" s="17">
        <v>6.2700000000000006E-2</v>
      </c>
      <c r="H357" s="17">
        <v>1E-4</v>
      </c>
      <c r="I357" s="17">
        <v>2.0000000000000001E-4</v>
      </c>
      <c r="J357" s="17">
        <v>0</v>
      </c>
      <c r="K357" s="9" t="s">
        <v>1343</v>
      </c>
      <c r="L357" s="9" t="s">
        <v>260</v>
      </c>
      <c r="M357" s="9">
        <v>2022</v>
      </c>
      <c r="N357" s="9" t="s">
        <v>438</v>
      </c>
      <c r="O357" s="10" t="s">
        <v>439</v>
      </c>
      <c r="P357" s="9" t="s">
        <v>440</v>
      </c>
      <c r="Q357" s="9" t="s">
        <v>264</v>
      </c>
      <c r="R357" s="9" t="s">
        <v>1344</v>
      </c>
      <c r="S357" s="9" t="s">
        <v>1694</v>
      </c>
    </row>
    <row r="358" spans="2:19" x14ac:dyDescent="0.35">
      <c r="B358" s="18" t="s">
        <v>800</v>
      </c>
      <c r="C358" s="9" t="s">
        <v>801</v>
      </c>
      <c r="D358" s="9" t="s">
        <v>799</v>
      </c>
      <c r="E358" s="9" t="s">
        <v>39</v>
      </c>
      <c r="F358" s="17">
        <v>4.1999999999999997E-3</v>
      </c>
      <c r="G358" s="17"/>
      <c r="H358" s="17"/>
      <c r="I358" s="17"/>
      <c r="J358" s="17">
        <v>4.1999999999999997E-3</v>
      </c>
      <c r="K358" s="9" t="s">
        <v>1343</v>
      </c>
      <c r="L358" s="9" t="s">
        <v>802</v>
      </c>
      <c r="M358" s="9">
        <v>2023</v>
      </c>
      <c r="N358" s="9" t="s">
        <v>438</v>
      </c>
      <c r="O358" s="10" t="s">
        <v>439</v>
      </c>
      <c r="P358" s="9" t="s">
        <v>440</v>
      </c>
      <c r="Q358" s="9" t="s">
        <v>264</v>
      </c>
      <c r="R358" s="9" t="s">
        <v>1344</v>
      </c>
      <c r="S358" s="9" t="s">
        <v>1695</v>
      </c>
    </row>
    <row r="359" spans="2:19" x14ac:dyDescent="0.35">
      <c r="B359" s="18" t="s">
        <v>800</v>
      </c>
      <c r="C359" s="9" t="s">
        <v>801</v>
      </c>
      <c r="D359" s="9" t="s">
        <v>799</v>
      </c>
      <c r="E359" s="9" t="s">
        <v>39</v>
      </c>
      <c r="F359" s="17">
        <v>6.0000000000000001E-3</v>
      </c>
      <c r="G359" s="17"/>
      <c r="H359" s="17"/>
      <c r="I359" s="17"/>
      <c r="J359" s="17">
        <v>6.0000000000000001E-3</v>
      </c>
      <c r="K359" s="9" t="s">
        <v>1343</v>
      </c>
      <c r="L359" s="9" t="s">
        <v>802</v>
      </c>
      <c r="M359" s="9">
        <v>2022</v>
      </c>
      <c r="N359" s="9" t="s">
        <v>438</v>
      </c>
      <c r="O359" s="10" t="s">
        <v>439</v>
      </c>
      <c r="P359" s="9" t="s">
        <v>440</v>
      </c>
      <c r="Q359" s="9" t="s">
        <v>264</v>
      </c>
      <c r="R359" s="9" t="s">
        <v>1344</v>
      </c>
      <c r="S359" s="9" t="s">
        <v>1696</v>
      </c>
    </row>
    <row r="360" spans="2:19" x14ac:dyDescent="0.35">
      <c r="B360" s="18" t="s">
        <v>800</v>
      </c>
      <c r="C360" s="9" t="s">
        <v>803</v>
      </c>
      <c r="D360" s="9" t="s">
        <v>799</v>
      </c>
      <c r="E360" s="9" t="s">
        <v>39</v>
      </c>
      <c r="F360" s="17">
        <v>1.6199999999999999E-2</v>
      </c>
      <c r="G360" s="17"/>
      <c r="H360" s="17"/>
      <c r="I360" s="17"/>
      <c r="J360" s="17">
        <v>1.6199999999999999E-2</v>
      </c>
      <c r="K360" s="9" t="s">
        <v>1343</v>
      </c>
      <c r="L360" s="9" t="s">
        <v>804</v>
      </c>
      <c r="M360" s="9">
        <v>2024</v>
      </c>
      <c r="N360" s="9" t="s">
        <v>438</v>
      </c>
      <c r="O360" s="10" t="s">
        <v>439</v>
      </c>
      <c r="P360" s="9" t="s">
        <v>440</v>
      </c>
      <c r="Q360" s="9" t="s">
        <v>264</v>
      </c>
      <c r="R360" s="9" t="s">
        <v>1344</v>
      </c>
      <c r="S360" s="9" t="s">
        <v>1697</v>
      </c>
    </row>
    <row r="361" spans="2:19" x14ac:dyDescent="0.35">
      <c r="B361" s="18" t="s">
        <v>800</v>
      </c>
      <c r="C361" s="9" t="s">
        <v>803</v>
      </c>
      <c r="D361" s="9" t="s">
        <v>799</v>
      </c>
      <c r="E361" s="9" t="s">
        <v>39</v>
      </c>
      <c r="F361" s="17">
        <v>1.8200000000000001E-2</v>
      </c>
      <c r="G361" s="17"/>
      <c r="H361" s="17"/>
      <c r="I361" s="17"/>
      <c r="J361" s="17">
        <v>1.8200000000000001E-2</v>
      </c>
      <c r="K361" s="9" t="s">
        <v>1343</v>
      </c>
      <c r="L361" s="9" t="s">
        <v>804</v>
      </c>
      <c r="M361" s="9">
        <v>2023</v>
      </c>
      <c r="N361" s="9" t="s">
        <v>438</v>
      </c>
      <c r="O361" s="10" t="s">
        <v>439</v>
      </c>
      <c r="P361" s="9" t="s">
        <v>440</v>
      </c>
      <c r="Q361" s="9" t="s">
        <v>264</v>
      </c>
      <c r="R361" s="9" t="s">
        <v>1344</v>
      </c>
      <c r="S361" s="9" t="s">
        <v>1698</v>
      </c>
    </row>
    <row r="362" spans="2:19" x14ac:dyDescent="0.35">
      <c r="B362" s="18" t="s">
        <v>800</v>
      </c>
      <c r="C362" s="9" t="s">
        <v>803</v>
      </c>
      <c r="D362" s="9" t="s">
        <v>799</v>
      </c>
      <c r="E362" s="9" t="s">
        <v>39</v>
      </c>
      <c r="F362" s="17">
        <v>2.1600000000000001E-2</v>
      </c>
      <c r="G362" s="17"/>
      <c r="H362" s="17"/>
      <c r="I362" s="17"/>
      <c r="J362" s="17">
        <v>2.1600000000000001E-2</v>
      </c>
      <c r="K362" s="9" t="s">
        <v>1343</v>
      </c>
      <c r="L362" s="9" t="s">
        <v>804</v>
      </c>
      <c r="M362" s="9">
        <v>2022</v>
      </c>
      <c r="N362" s="9" t="s">
        <v>438</v>
      </c>
      <c r="O362" s="10" t="s">
        <v>439</v>
      </c>
      <c r="P362" s="9" t="s">
        <v>440</v>
      </c>
      <c r="Q362" s="9" t="s">
        <v>264</v>
      </c>
      <c r="R362" s="9" t="s">
        <v>1344</v>
      </c>
      <c r="S362" s="9" t="s">
        <v>1699</v>
      </c>
    </row>
    <row r="363" spans="2:19" x14ac:dyDescent="0.35">
      <c r="B363" s="18" t="s">
        <v>258</v>
      </c>
      <c r="C363" s="9" t="s">
        <v>259</v>
      </c>
      <c r="D363" s="9" t="s">
        <v>799</v>
      </c>
      <c r="E363" s="9" t="s">
        <v>39</v>
      </c>
      <c r="F363" s="17">
        <v>0.46450000000000002</v>
      </c>
      <c r="G363" s="17">
        <v>0.4632</v>
      </c>
      <c r="H363" s="17">
        <v>5.0000000000000001E-4</v>
      </c>
      <c r="I363" s="17">
        <v>8.0000000000000004E-4</v>
      </c>
      <c r="J363" s="17">
        <v>0</v>
      </c>
      <c r="K363" s="9" t="s">
        <v>1343</v>
      </c>
      <c r="L363" s="9" t="s">
        <v>260</v>
      </c>
      <c r="M363" s="9">
        <v>2022</v>
      </c>
      <c r="N363" s="9" t="s">
        <v>622</v>
      </c>
      <c r="O363" s="10" t="s">
        <v>623</v>
      </c>
      <c r="P363" s="9" t="s">
        <v>624</v>
      </c>
      <c r="Q363" s="9" t="s">
        <v>264</v>
      </c>
      <c r="R363" s="9" t="s">
        <v>1344</v>
      </c>
      <c r="S363" s="9" t="s">
        <v>1700</v>
      </c>
    </row>
    <row r="364" spans="2:19" x14ac:dyDescent="0.35">
      <c r="B364" s="18" t="s">
        <v>258</v>
      </c>
      <c r="C364" s="9" t="s">
        <v>259</v>
      </c>
      <c r="D364" s="9" t="s">
        <v>799</v>
      </c>
      <c r="E364" s="9" t="s">
        <v>39</v>
      </c>
      <c r="F364" s="17">
        <v>0.4778</v>
      </c>
      <c r="G364" s="17">
        <v>0.47649999999999998</v>
      </c>
      <c r="H364" s="17">
        <v>5.0000000000000001E-4</v>
      </c>
      <c r="I364" s="17">
        <v>8.0000000000000004E-4</v>
      </c>
      <c r="J364" s="17">
        <v>0</v>
      </c>
      <c r="K364" s="9" t="s">
        <v>1343</v>
      </c>
      <c r="L364" s="9" t="s">
        <v>260</v>
      </c>
      <c r="M364" s="9">
        <v>2023</v>
      </c>
      <c r="N364" s="9" t="s">
        <v>622</v>
      </c>
      <c r="O364" s="10" t="s">
        <v>623</v>
      </c>
      <c r="P364" s="9" t="s">
        <v>624</v>
      </c>
      <c r="Q364" s="9" t="s">
        <v>264</v>
      </c>
      <c r="R364" s="9" t="s">
        <v>1344</v>
      </c>
      <c r="S364" s="9" t="s">
        <v>1701</v>
      </c>
    </row>
    <row r="365" spans="2:19" x14ac:dyDescent="0.35">
      <c r="B365" s="18" t="s">
        <v>800</v>
      </c>
      <c r="C365" s="9" t="s">
        <v>801</v>
      </c>
      <c r="D365" s="9" t="s">
        <v>799</v>
      </c>
      <c r="E365" s="9" t="s">
        <v>39</v>
      </c>
      <c r="F365" s="17">
        <v>0.107</v>
      </c>
      <c r="G365" s="17"/>
      <c r="H365" s="17"/>
      <c r="I365" s="17"/>
      <c r="J365" s="17">
        <v>0.107</v>
      </c>
      <c r="K365" s="9" t="s">
        <v>1343</v>
      </c>
      <c r="L365" s="9" t="s">
        <v>802</v>
      </c>
      <c r="M365" s="9">
        <v>2022</v>
      </c>
      <c r="N365" s="9" t="s">
        <v>622</v>
      </c>
      <c r="O365" s="10" t="s">
        <v>623</v>
      </c>
      <c r="P365" s="9" t="s">
        <v>624</v>
      </c>
      <c r="Q365" s="9" t="s">
        <v>264</v>
      </c>
      <c r="R365" s="9" t="s">
        <v>1344</v>
      </c>
      <c r="S365" s="9" t="s">
        <v>1702</v>
      </c>
    </row>
    <row r="366" spans="2:19" x14ac:dyDescent="0.35">
      <c r="B366" s="18" t="s">
        <v>800</v>
      </c>
      <c r="C366" s="9" t="s">
        <v>801</v>
      </c>
      <c r="D366" s="9" t="s">
        <v>799</v>
      </c>
      <c r="E366" s="9" t="s">
        <v>39</v>
      </c>
      <c r="F366" s="17">
        <v>0.10970000000000001</v>
      </c>
      <c r="G366" s="17"/>
      <c r="H366" s="17"/>
      <c r="I366" s="17"/>
      <c r="J366" s="17">
        <v>0.10970000000000001</v>
      </c>
      <c r="K366" s="9" t="s">
        <v>1343</v>
      </c>
      <c r="L366" s="9" t="s">
        <v>802</v>
      </c>
      <c r="M366" s="9">
        <v>2023</v>
      </c>
      <c r="N366" s="9" t="s">
        <v>622</v>
      </c>
      <c r="O366" s="10" t="s">
        <v>623</v>
      </c>
      <c r="P366" s="9" t="s">
        <v>624</v>
      </c>
      <c r="Q366" s="9" t="s">
        <v>264</v>
      </c>
      <c r="R366" s="9" t="s">
        <v>1344</v>
      </c>
      <c r="S366" s="9" t="s">
        <v>1703</v>
      </c>
    </row>
    <row r="367" spans="2:19" x14ac:dyDescent="0.35">
      <c r="B367" s="18" t="s">
        <v>800</v>
      </c>
      <c r="C367" s="9" t="s">
        <v>803</v>
      </c>
      <c r="D367" s="9" t="s">
        <v>799</v>
      </c>
      <c r="E367" s="9" t="s">
        <v>39</v>
      </c>
      <c r="F367" s="17">
        <v>8.2000000000000003E-2</v>
      </c>
      <c r="G367" s="17"/>
      <c r="H367" s="17"/>
      <c r="I367" s="17"/>
      <c r="J367" s="17">
        <v>8.2000000000000003E-2</v>
      </c>
      <c r="K367" s="9" t="s">
        <v>1343</v>
      </c>
      <c r="L367" s="9" t="s">
        <v>804</v>
      </c>
      <c r="M367" s="9">
        <v>2022</v>
      </c>
      <c r="N367" s="9" t="s">
        <v>622</v>
      </c>
      <c r="O367" s="10" t="s">
        <v>623</v>
      </c>
      <c r="P367" s="9" t="s">
        <v>624</v>
      </c>
      <c r="Q367" s="9" t="s">
        <v>264</v>
      </c>
      <c r="R367" s="9" t="s">
        <v>1344</v>
      </c>
      <c r="S367" s="9" t="s">
        <v>1704</v>
      </c>
    </row>
    <row r="368" spans="2:19" x14ac:dyDescent="0.35">
      <c r="B368" s="18" t="s">
        <v>800</v>
      </c>
      <c r="C368" s="9" t="s">
        <v>803</v>
      </c>
      <c r="D368" s="9" t="s">
        <v>799</v>
      </c>
      <c r="E368" s="9" t="s">
        <v>39</v>
      </c>
      <c r="F368" s="17">
        <v>8.2699999999999996E-2</v>
      </c>
      <c r="G368" s="17"/>
      <c r="H368" s="17"/>
      <c r="I368" s="17"/>
      <c r="J368" s="17">
        <v>8.2699999999999996E-2</v>
      </c>
      <c r="K368" s="9" t="s">
        <v>1343</v>
      </c>
      <c r="L368" s="9" t="s">
        <v>804</v>
      </c>
      <c r="M368" s="9">
        <v>2023</v>
      </c>
      <c r="N368" s="9" t="s">
        <v>622</v>
      </c>
      <c r="O368" s="10" t="s">
        <v>623</v>
      </c>
      <c r="P368" s="9" t="s">
        <v>624</v>
      </c>
      <c r="Q368" s="9" t="s">
        <v>264</v>
      </c>
      <c r="R368" s="9" t="s">
        <v>1344</v>
      </c>
      <c r="S368" s="9" t="s">
        <v>1705</v>
      </c>
    </row>
    <row r="369" spans="2:19" x14ac:dyDescent="0.35">
      <c r="B369" s="18" t="s">
        <v>258</v>
      </c>
      <c r="C369" s="9" t="s">
        <v>259</v>
      </c>
      <c r="D369" s="9" t="s">
        <v>799</v>
      </c>
      <c r="E369" s="9" t="s">
        <v>39</v>
      </c>
      <c r="F369" s="17">
        <v>8.6999999999999994E-2</v>
      </c>
      <c r="G369" s="17">
        <v>8.6900000000000005E-2</v>
      </c>
      <c r="H369" s="17">
        <v>1E-4</v>
      </c>
      <c r="I369" s="17"/>
      <c r="J369" s="17">
        <v>0</v>
      </c>
      <c r="K369" s="9" t="s">
        <v>1343</v>
      </c>
      <c r="L369" s="9" t="s">
        <v>260</v>
      </c>
      <c r="M369" s="9">
        <v>2024</v>
      </c>
      <c r="N369" s="9" t="s">
        <v>706</v>
      </c>
      <c r="O369" s="10" t="s">
        <v>707</v>
      </c>
      <c r="P369" s="9" t="s">
        <v>708</v>
      </c>
      <c r="Q369" s="9" t="s">
        <v>264</v>
      </c>
      <c r="R369" s="9" t="s">
        <v>1344</v>
      </c>
      <c r="S369" s="9" t="s">
        <v>1706</v>
      </c>
    </row>
    <row r="370" spans="2:19" x14ac:dyDescent="0.35">
      <c r="B370" s="18" t="s">
        <v>258</v>
      </c>
      <c r="C370" s="9" t="s">
        <v>259</v>
      </c>
      <c r="D370" s="9" t="s">
        <v>799</v>
      </c>
      <c r="E370" s="9" t="s">
        <v>39</v>
      </c>
      <c r="F370" s="17">
        <v>0.1051</v>
      </c>
      <c r="G370" s="17">
        <v>0.105</v>
      </c>
      <c r="H370" s="17">
        <v>1E-4</v>
      </c>
      <c r="I370" s="17"/>
      <c r="J370" s="17">
        <v>0</v>
      </c>
      <c r="K370" s="9" t="s">
        <v>1343</v>
      </c>
      <c r="L370" s="9" t="s">
        <v>260</v>
      </c>
      <c r="M370" s="9">
        <v>2022</v>
      </c>
      <c r="N370" s="9" t="s">
        <v>706</v>
      </c>
      <c r="O370" s="10" t="s">
        <v>707</v>
      </c>
      <c r="P370" s="9" t="s">
        <v>708</v>
      </c>
      <c r="Q370" s="9" t="s">
        <v>264</v>
      </c>
      <c r="R370" s="9" t="s">
        <v>1344</v>
      </c>
      <c r="S370" s="9" t="s">
        <v>1707</v>
      </c>
    </row>
    <row r="371" spans="2:19" x14ac:dyDescent="0.35">
      <c r="B371" s="18" t="s">
        <v>258</v>
      </c>
      <c r="C371" s="9" t="s">
        <v>259</v>
      </c>
      <c r="D371" s="9" t="s">
        <v>799</v>
      </c>
      <c r="E371" s="9" t="s">
        <v>39</v>
      </c>
      <c r="F371" s="17">
        <v>0.10539999999999999</v>
      </c>
      <c r="G371" s="17">
        <v>0.1053</v>
      </c>
      <c r="H371" s="17">
        <v>1E-4</v>
      </c>
      <c r="I371" s="17"/>
      <c r="J371" s="17">
        <v>0</v>
      </c>
      <c r="K371" s="9" t="s">
        <v>1343</v>
      </c>
      <c r="L371" s="9" t="s">
        <v>260</v>
      </c>
      <c r="M371" s="9">
        <v>2023</v>
      </c>
      <c r="N371" s="9" t="s">
        <v>706</v>
      </c>
      <c r="O371" s="10" t="s">
        <v>707</v>
      </c>
      <c r="P371" s="9" t="s">
        <v>708</v>
      </c>
      <c r="Q371" s="9" t="s">
        <v>264</v>
      </c>
      <c r="R371" s="9" t="s">
        <v>1344</v>
      </c>
      <c r="S371" s="9" t="s">
        <v>1708</v>
      </c>
    </row>
    <row r="372" spans="2:19" x14ac:dyDescent="0.35">
      <c r="B372" s="18" t="s">
        <v>800</v>
      </c>
      <c r="C372" s="9" t="s">
        <v>801</v>
      </c>
      <c r="D372" s="9" t="s">
        <v>799</v>
      </c>
      <c r="E372" s="9" t="s">
        <v>39</v>
      </c>
      <c r="F372" s="17">
        <v>8.3000000000000001E-3</v>
      </c>
      <c r="G372" s="17"/>
      <c r="H372" s="17"/>
      <c r="I372" s="17"/>
      <c r="J372" s="17">
        <v>8.3000000000000001E-3</v>
      </c>
      <c r="K372" s="9" t="s">
        <v>1343</v>
      </c>
      <c r="L372" s="9" t="s">
        <v>802</v>
      </c>
      <c r="M372" s="9">
        <v>2022</v>
      </c>
      <c r="N372" s="9" t="s">
        <v>706</v>
      </c>
      <c r="O372" s="10" t="s">
        <v>707</v>
      </c>
      <c r="P372" s="9" t="s">
        <v>708</v>
      </c>
      <c r="Q372" s="9" t="s">
        <v>264</v>
      </c>
      <c r="R372" s="9" t="s">
        <v>1344</v>
      </c>
      <c r="S372" s="9" t="s">
        <v>1709</v>
      </c>
    </row>
    <row r="373" spans="2:19" x14ac:dyDescent="0.35">
      <c r="B373" s="18" t="s">
        <v>800</v>
      </c>
      <c r="C373" s="9" t="s">
        <v>801</v>
      </c>
      <c r="D373" s="9" t="s">
        <v>799</v>
      </c>
      <c r="E373" s="9" t="s">
        <v>39</v>
      </c>
      <c r="F373" s="17">
        <v>8.6E-3</v>
      </c>
      <c r="G373" s="17"/>
      <c r="H373" s="17"/>
      <c r="I373" s="17"/>
      <c r="J373" s="17">
        <v>8.6E-3</v>
      </c>
      <c r="K373" s="9" t="s">
        <v>1343</v>
      </c>
      <c r="L373" s="9" t="s">
        <v>802</v>
      </c>
      <c r="M373" s="9">
        <v>2023</v>
      </c>
      <c r="N373" s="9" t="s">
        <v>706</v>
      </c>
      <c r="O373" s="10" t="s">
        <v>707</v>
      </c>
      <c r="P373" s="9" t="s">
        <v>708</v>
      </c>
      <c r="Q373" s="9" t="s">
        <v>264</v>
      </c>
      <c r="R373" s="9" t="s">
        <v>1344</v>
      </c>
      <c r="S373" s="9" t="s">
        <v>1710</v>
      </c>
    </row>
    <row r="374" spans="2:19" x14ac:dyDescent="0.35">
      <c r="B374" s="18" t="s">
        <v>800</v>
      </c>
      <c r="C374" s="9" t="s">
        <v>803</v>
      </c>
      <c r="D374" s="9" t="s">
        <v>799</v>
      </c>
      <c r="E374" s="9" t="s">
        <v>39</v>
      </c>
      <c r="F374" s="17">
        <v>2.7099999999999999E-2</v>
      </c>
      <c r="G374" s="17"/>
      <c r="H374" s="17"/>
      <c r="I374" s="17"/>
      <c r="J374" s="17">
        <v>2.7099999999999999E-2</v>
      </c>
      <c r="K374" s="9" t="s">
        <v>1343</v>
      </c>
      <c r="L374" s="9" t="s">
        <v>804</v>
      </c>
      <c r="M374" s="9">
        <v>2024</v>
      </c>
      <c r="N374" s="9" t="s">
        <v>706</v>
      </c>
      <c r="O374" s="10" t="s">
        <v>707</v>
      </c>
      <c r="P374" s="9" t="s">
        <v>708</v>
      </c>
      <c r="Q374" s="9" t="s">
        <v>264</v>
      </c>
      <c r="R374" s="9" t="s">
        <v>1344</v>
      </c>
      <c r="S374" s="9" t="s">
        <v>1711</v>
      </c>
    </row>
    <row r="375" spans="2:19" x14ac:dyDescent="0.35">
      <c r="B375" s="18" t="s">
        <v>800</v>
      </c>
      <c r="C375" s="9" t="s">
        <v>803</v>
      </c>
      <c r="D375" s="9" t="s">
        <v>799</v>
      </c>
      <c r="E375" s="9" t="s">
        <v>39</v>
      </c>
      <c r="F375" s="17">
        <v>3.1099999999999999E-2</v>
      </c>
      <c r="G375" s="17"/>
      <c r="H375" s="17"/>
      <c r="I375" s="17"/>
      <c r="J375" s="17">
        <v>3.1099999999999999E-2</v>
      </c>
      <c r="K375" s="9" t="s">
        <v>1343</v>
      </c>
      <c r="L375" s="9" t="s">
        <v>804</v>
      </c>
      <c r="M375" s="9">
        <v>2022</v>
      </c>
      <c r="N375" s="9" t="s">
        <v>706</v>
      </c>
      <c r="O375" s="10" t="s">
        <v>707</v>
      </c>
      <c r="P375" s="9" t="s">
        <v>708</v>
      </c>
      <c r="Q375" s="9" t="s">
        <v>264</v>
      </c>
      <c r="R375" s="9" t="s">
        <v>1344</v>
      </c>
      <c r="S375" s="9" t="s">
        <v>1712</v>
      </c>
    </row>
    <row r="376" spans="2:19" x14ac:dyDescent="0.35">
      <c r="B376" s="18" t="s">
        <v>800</v>
      </c>
      <c r="C376" s="9" t="s">
        <v>803</v>
      </c>
      <c r="D376" s="9" t="s">
        <v>799</v>
      </c>
      <c r="E376" s="9" t="s">
        <v>39</v>
      </c>
      <c r="F376" s="17">
        <v>3.1300000000000001E-2</v>
      </c>
      <c r="G376" s="17"/>
      <c r="H376" s="17"/>
      <c r="I376" s="17"/>
      <c r="J376" s="17">
        <v>3.1300000000000001E-2</v>
      </c>
      <c r="K376" s="9" t="s">
        <v>1343</v>
      </c>
      <c r="L376" s="9" t="s">
        <v>804</v>
      </c>
      <c r="M376" s="9">
        <v>2023</v>
      </c>
      <c r="N376" s="9" t="s">
        <v>706</v>
      </c>
      <c r="O376" s="10" t="s">
        <v>707</v>
      </c>
      <c r="P376" s="9" t="s">
        <v>708</v>
      </c>
      <c r="Q376" s="9" t="s">
        <v>264</v>
      </c>
      <c r="R376" s="9" t="s">
        <v>1344</v>
      </c>
      <c r="S376" s="9" t="s">
        <v>1713</v>
      </c>
    </row>
    <row r="377" spans="2:19" x14ac:dyDescent="0.35">
      <c r="B377" s="18" t="s">
        <v>258</v>
      </c>
      <c r="C377" s="9" t="s">
        <v>259</v>
      </c>
      <c r="D377" s="9" t="s">
        <v>799</v>
      </c>
      <c r="E377" s="9" t="s">
        <v>39</v>
      </c>
      <c r="F377" s="17">
        <v>0.3145</v>
      </c>
      <c r="G377" s="17">
        <v>0.31280000000000002</v>
      </c>
      <c r="H377" s="17">
        <v>4.0000000000000002E-4</v>
      </c>
      <c r="I377" s="17">
        <v>1.2999999999999999E-3</v>
      </c>
      <c r="J377" s="17">
        <v>0</v>
      </c>
      <c r="K377" s="9" t="s">
        <v>1343</v>
      </c>
      <c r="L377" s="9" t="s">
        <v>260</v>
      </c>
      <c r="M377" s="9">
        <v>2024</v>
      </c>
      <c r="N377" s="9" t="s">
        <v>304</v>
      </c>
      <c r="O377" s="10" t="s">
        <v>305</v>
      </c>
      <c r="P377" s="9" t="s">
        <v>306</v>
      </c>
      <c r="Q377" s="9" t="s">
        <v>264</v>
      </c>
      <c r="R377" s="9" t="s">
        <v>1344</v>
      </c>
      <c r="S377" s="9" t="s">
        <v>1714</v>
      </c>
    </row>
    <row r="378" spans="2:19" x14ac:dyDescent="0.35">
      <c r="B378" s="18" t="s">
        <v>258</v>
      </c>
      <c r="C378" s="9" t="s">
        <v>259</v>
      </c>
      <c r="D378" s="9" t="s">
        <v>799</v>
      </c>
      <c r="E378" s="9" t="s">
        <v>39</v>
      </c>
      <c r="F378" s="17">
        <v>0.33300000000000002</v>
      </c>
      <c r="G378" s="17">
        <v>0.33129999999999998</v>
      </c>
      <c r="H378" s="17">
        <v>4.0000000000000002E-4</v>
      </c>
      <c r="I378" s="17">
        <v>1.2999999999999999E-3</v>
      </c>
      <c r="J378" s="17">
        <v>0</v>
      </c>
      <c r="K378" s="9" t="s">
        <v>1343</v>
      </c>
      <c r="L378" s="9" t="s">
        <v>260</v>
      </c>
      <c r="M378" s="9">
        <v>2023</v>
      </c>
      <c r="N378" s="9" t="s">
        <v>304</v>
      </c>
      <c r="O378" s="10" t="s">
        <v>305</v>
      </c>
      <c r="P378" s="9" t="s">
        <v>306</v>
      </c>
      <c r="Q378" s="9" t="s">
        <v>264</v>
      </c>
      <c r="R378" s="9" t="s">
        <v>1344</v>
      </c>
      <c r="S378" s="9" t="s">
        <v>1715</v>
      </c>
    </row>
    <row r="379" spans="2:19" x14ac:dyDescent="0.35">
      <c r="B379" s="18" t="s">
        <v>258</v>
      </c>
      <c r="C379" s="9" t="s">
        <v>259</v>
      </c>
      <c r="D379" s="9" t="s">
        <v>799</v>
      </c>
      <c r="E379" s="9" t="s">
        <v>39</v>
      </c>
      <c r="F379" s="17">
        <v>0.3679</v>
      </c>
      <c r="G379" s="17">
        <v>0.36609999999999998</v>
      </c>
      <c r="H379" s="17">
        <v>4.0000000000000002E-4</v>
      </c>
      <c r="I379" s="17">
        <v>1.4E-3</v>
      </c>
      <c r="J379" s="17">
        <v>0</v>
      </c>
      <c r="K379" s="9" t="s">
        <v>1343</v>
      </c>
      <c r="L379" s="9" t="s">
        <v>260</v>
      </c>
      <c r="M379" s="9">
        <v>2022</v>
      </c>
      <c r="N379" s="9" t="s">
        <v>304</v>
      </c>
      <c r="O379" s="10" t="s">
        <v>305</v>
      </c>
      <c r="P379" s="9" t="s">
        <v>306</v>
      </c>
      <c r="Q379" s="9" t="s">
        <v>264</v>
      </c>
      <c r="R379" s="9" t="s">
        <v>1344</v>
      </c>
      <c r="S379" s="9" t="s">
        <v>1716</v>
      </c>
    </row>
    <row r="380" spans="2:19" x14ac:dyDescent="0.35">
      <c r="B380" s="18" t="s">
        <v>800</v>
      </c>
      <c r="C380" s="9" t="s">
        <v>801</v>
      </c>
      <c r="D380" s="9" t="s">
        <v>799</v>
      </c>
      <c r="E380" s="9" t="s">
        <v>39</v>
      </c>
      <c r="F380" s="17">
        <v>1.8599999999999998E-2</v>
      </c>
      <c r="G380" s="17"/>
      <c r="H380" s="17"/>
      <c r="I380" s="17"/>
      <c r="J380" s="17">
        <v>1.8599999999999998E-2</v>
      </c>
      <c r="K380" s="9" t="s">
        <v>1343</v>
      </c>
      <c r="L380" s="9" t="s">
        <v>802</v>
      </c>
      <c r="M380" s="9">
        <v>2023</v>
      </c>
      <c r="N380" s="9" t="s">
        <v>304</v>
      </c>
      <c r="O380" s="10" t="s">
        <v>305</v>
      </c>
      <c r="P380" s="9" t="s">
        <v>306</v>
      </c>
      <c r="Q380" s="9" t="s">
        <v>264</v>
      </c>
      <c r="R380" s="9" t="s">
        <v>1344</v>
      </c>
      <c r="S380" s="9" t="s">
        <v>1717</v>
      </c>
    </row>
    <row r="381" spans="2:19" x14ac:dyDescent="0.35">
      <c r="B381" s="18" t="s">
        <v>800</v>
      </c>
      <c r="C381" s="9" t="s">
        <v>801</v>
      </c>
      <c r="D381" s="9" t="s">
        <v>799</v>
      </c>
      <c r="E381" s="9" t="s">
        <v>39</v>
      </c>
      <c r="F381" s="17">
        <v>1.95E-2</v>
      </c>
      <c r="G381" s="17"/>
      <c r="H381" s="17"/>
      <c r="I381" s="17"/>
      <c r="J381" s="17">
        <v>1.95E-2</v>
      </c>
      <c r="K381" s="9" t="s">
        <v>1343</v>
      </c>
      <c r="L381" s="9" t="s">
        <v>802</v>
      </c>
      <c r="M381" s="9">
        <v>2022</v>
      </c>
      <c r="N381" s="9" t="s">
        <v>304</v>
      </c>
      <c r="O381" s="10" t="s">
        <v>305</v>
      </c>
      <c r="P381" s="9" t="s">
        <v>306</v>
      </c>
      <c r="Q381" s="9" t="s">
        <v>264</v>
      </c>
      <c r="R381" s="9" t="s">
        <v>1344</v>
      </c>
      <c r="S381" s="9" t="s">
        <v>1718</v>
      </c>
    </row>
    <row r="382" spans="2:19" x14ac:dyDescent="0.35">
      <c r="B382" s="18" t="s">
        <v>800</v>
      </c>
      <c r="C382" s="9" t="s">
        <v>803</v>
      </c>
      <c r="D382" s="9" t="s">
        <v>799</v>
      </c>
      <c r="E382" s="9" t="s">
        <v>39</v>
      </c>
      <c r="F382" s="17">
        <v>6.3100000000000003E-2</v>
      </c>
      <c r="G382" s="17"/>
      <c r="H382" s="17"/>
      <c r="I382" s="17"/>
      <c r="J382" s="17">
        <v>6.3100000000000003E-2</v>
      </c>
      <c r="K382" s="9" t="s">
        <v>1343</v>
      </c>
      <c r="L382" s="9" t="s">
        <v>804</v>
      </c>
      <c r="M382" s="9">
        <v>2024</v>
      </c>
      <c r="N382" s="9" t="s">
        <v>304</v>
      </c>
      <c r="O382" s="10" t="s">
        <v>305</v>
      </c>
      <c r="P382" s="9" t="s">
        <v>306</v>
      </c>
      <c r="Q382" s="9" t="s">
        <v>264</v>
      </c>
      <c r="R382" s="9" t="s">
        <v>1344</v>
      </c>
      <c r="S382" s="9" t="s">
        <v>1719</v>
      </c>
    </row>
    <row r="383" spans="2:19" x14ac:dyDescent="0.35">
      <c r="B383" s="18" t="s">
        <v>800</v>
      </c>
      <c r="C383" s="9" t="s">
        <v>803</v>
      </c>
      <c r="D383" s="9" t="s">
        <v>799</v>
      </c>
      <c r="E383" s="9" t="s">
        <v>39</v>
      </c>
      <c r="F383" s="17">
        <v>6.59E-2</v>
      </c>
      <c r="G383" s="17"/>
      <c r="H383" s="17"/>
      <c r="I383" s="17"/>
      <c r="J383" s="17">
        <v>6.59E-2</v>
      </c>
      <c r="K383" s="9" t="s">
        <v>1343</v>
      </c>
      <c r="L383" s="9" t="s">
        <v>804</v>
      </c>
      <c r="M383" s="9">
        <v>2023</v>
      </c>
      <c r="N383" s="9" t="s">
        <v>304</v>
      </c>
      <c r="O383" s="10" t="s">
        <v>305</v>
      </c>
      <c r="P383" s="9" t="s">
        <v>306</v>
      </c>
      <c r="Q383" s="9" t="s">
        <v>264</v>
      </c>
      <c r="R383" s="9" t="s">
        <v>1344</v>
      </c>
      <c r="S383" s="9" t="s">
        <v>1720</v>
      </c>
    </row>
    <row r="384" spans="2:19" x14ac:dyDescent="0.35">
      <c r="B384" s="18" t="s">
        <v>800</v>
      </c>
      <c r="C384" s="9" t="s">
        <v>803</v>
      </c>
      <c r="D384" s="9" t="s">
        <v>799</v>
      </c>
      <c r="E384" s="9" t="s">
        <v>39</v>
      </c>
      <c r="F384" s="17">
        <v>7.2800000000000004E-2</v>
      </c>
      <c r="G384" s="17"/>
      <c r="H384" s="17"/>
      <c r="I384" s="17"/>
      <c r="J384" s="17">
        <v>7.2800000000000004E-2</v>
      </c>
      <c r="K384" s="9" t="s">
        <v>1343</v>
      </c>
      <c r="L384" s="9" t="s">
        <v>804</v>
      </c>
      <c r="M384" s="9">
        <v>2022</v>
      </c>
      <c r="N384" s="9" t="s">
        <v>304</v>
      </c>
      <c r="O384" s="10" t="s">
        <v>305</v>
      </c>
      <c r="P384" s="9" t="s">
        <v>306</v>
      </c>
      <c r="Q384" s="9" t="s">
        <v>264</v>
      </c>
      <c r="R384" s="9" t="s">
        <v>1344</v>
      </c>
      <c r="S384" s="9" t="s">
        <v>1721</v>
      </c>
    </row>
    <row r="385" spans="2:19" x14ac:dyDescent="0.35">
      <c r="B385" s="18" t="s">
        <v>258</v>
      </c>
      <c r="C385" s="9" t="s">
        <v>259</v>
      </c>
      <c r="D385" s="9" t="s">
        <v>799</v>
      </c>
      <c r="E385" s="9" t="s">
        <v>39</v>
      </c>
      <c r="F385" s="17">
        <v>0.29239999999999999</v>
      </c>
      <c r="G385" s="17">
        <v>0.29199999999999998</v>
      </c>
      <c r="H385" s="17">
        <v>2.0000000000000001E-4</v>
      </c>
      <c r="I385" s="17">
        <v>2.0000000000000001E-4</v>
      </c>
      <c r="J385" s="17">
        <v>0</v>
      </c>
      <c r="K385" s="9" t="s">
        <v>1343</v>
      </c>
      <c r="L385" s="9" t="s">
        <v>260</v>
      </c>
      <c r="M385" s="9">
        <v>2024</v>
      </c>
      <c r="N385" s="9" t="s">
        <v>316</v>
      </c>
      <c r="O385" s="10" t="s">
        <v>317</v>
      </c>
      <c r="P385" s="9" t="s">
        <v>318</v>
      </c>
      <c r="Q385" s="9" t="s">
        <v>264</v>
      </c>
      <c r="R385" s="9" t="s">
        <v>1344</v>
      </c>
      <c r="S385" s="9" t="s">
        <v>1722</v>
      </c>
    </row>
    <row r="386" spans="2:19" x14ac:dyDescent="0.35">
      <c r="B386" s="18" t="s">
        <v>258</v>
      </c>
      <c r="C386" s="9" t="s">
        <v>259</v>
      </c>
      <c r="D386" s="9" t="s">
        <v>799</v>
      </c>
      <c r="E386" s="9" t="s">
        <v>39</v>
      </c>
      <c r="F386" s="17">
        <v>0.29709999999999998</v>
      </c>
      <c r="G386" s="17">
        <v>0.29670000000000002</v>
      </c>
      <c r="H386" s="17">
        <v>2.0000000000000001E-4</v>
      </c>
      <c r="I386" s="17">
        <v>2.0000000000000001E-4</v>
      </c>
      <c r="J386" s="17">
        <v>0</v>
      </c>
      <c r="K386" s="9" t="s">
        <v>1343</v>
      </c>
      <c r="L386" s="9" t="s">
        <v>260</v>
      </c>
      <c r="M386" s="9">
        <v>2023</v>
      </c>
      <c r="N386" s="9" t="s">
        <v>316</v>
      </c>
      <c r="O386" s="10" t="s">
        <v>317</v>
      </c>
      <c r="P386" s="9" t="s">
        <v>318</v>
      </c>
      <c r="Q386" s="9" t="s">
        <v>264</v>
      </c>
      <c r="R386" s="9" t="s">
        <v>1344</v>
      </c>
      <c r="S386" s="9" t="s">
        <v>1723</v>
      </c>
    </row>
    <row r="387" spans="2:19" x14ac:dyDescent="0.35">
      <c r="B387" s="18" t="s">
        <v>258</v>
      </c>
      <c r="C387" s="9" t="s">
        <v>259</v>
      </c>
      <c r="D387" s="9" t="s">
        <v>799</v>
      </c>
      <c r="E387" s="9" t="s">
        <v>39</v>
      </c>
      <c r="F387" s="17">
        <v>0.30359999999999998</v>
      </c>
      <c r="G387" s="17">
        <v>0.30320000000000003</v>
      </c>
      <c r="H387" s="17">
        <v>2.0000000000000001E-4</v>
      </c>
      <c r="I387" s="17">
        <v>2.0000000000000001E-4</v>
      </c>
      <c r="J387" s="17">
        <v>0</v>
      </c>
      <c r="K387" s="9" t="s">
        <v>1343</v>
      </c>
      <c r="L387" s="9" t="s">
        <v>260</v>
      </c>
      <c r="M387" s="9">
        <v>2022</v>
      </c>
      <c r="N387" s="9" t="s">
        <v>316</v>
      </c>
      <c r="O387" s="10" t="s">
        <v>317</v>
      </c>
      <c r="P387" s="9" t="s">
        <v>318</v>
      </c>
      <c r="Q387" s="9" t="s">
        <v>264</v>
      </c>
      <c r="R387" s="9" t="s">
        <v>1344</v>
      </c>
      <c r="S387" s="9" t="s">
        <v>1724</v>
      </c>
    </row>
    <row r="388" spans="2:19" x14ac:dyDescent="0.35">
      <c r="B388" s="18" t="s">
        <v>800</v>
      </c>
      <c r="C388" s="9" t="s">
        <v>801</v>
      </c>
      <c r="D388" s="9" t="s">
        <v>799</v>
      </c>
      <c r="E388" s="9" t="s">
        <v>39</v>
      </c>
      <c r="F388" s="17">
        <v>4.0800000000000003E-2</v>
      </c>
      <c r="G388" s="17"/>
      <c r="H388" s="17"/>
      <c r="I388" s="17"/>
      <c r="J388" s="17">
        <v>4.0800000000000003E-2</v>
      </c>
      <c r="K388" s="9" t="s">
        <v>1343</v>
      </c>
      <c r="L388" s="9" t="s">
        <v>802</v>
      </c>
      <c r="M388" s="9">
        <v>2023</v>
      </c>
      <c r="N388" s="9" t="s">
        <v>316</v>
      </c>
      <c r="O388" s="10" t="s">
        <v>317</v>
      </c>
      <c r="P388" s="9" t="s">
        <v>318</v>
      </c>
      <c r="Q388" s="9" t="s">
        <v>264</v>
      </c>
      <c r="R388" s="9" t="s">
        <v>1344</v>
      </c>
      <c r="S388" s="9" t="s">
        <v>1725</v>
      </c>
    </row>
    <row r="389" spans="2:19" x14ac:dyDescent="0.35">
      <c r="B389" s="18" t="s">
        <v>800</v>
      </c>
      <c r="C389" s="9" t="s">
        <v>801</v>
      </c>
      <c r="D389" s="9" t="s">
        <v>799</v>
      </c>
      <c r="E389" s="9" t="s">
        <v>39</v>
      </c>
      <c r="F389" s="17">
        <v>4.3999999999999997E-2</v>
      </c>
      <c r="G389" s="17"/>
      <c r="H389" s="17"/>
      <c r="I389" s="17"/>
      <c r="J389" s="17">
        <v>4.3999999999999997E-2</v>
      </c>
      <c r="K389" s="9" t="s">
        <v>1343</v>
      </c>
      <c r="L389" s="9" t="s">
        <v>802</v>
      </c>
      <c r="M389" s="9">
        <v>2022</v>
      </c>
      <c r="N389" s="9" t="s">
        <v>316</v>
      </c>
      <c r="O389" s="10" t="s">
        <v>317</v>
      </c>
      <c r="P389" s="9" t="s">
        <v>318</v>
      </c>
      <c r="Q389" s="9" t="s">
        <v>264</v>
      </c>
      <c r="R389" s="9" t="s">
        <v>1344</v>
      </c>
      <c r="S389" s="9" t="s">
        <v>1726</v>
      </c>
    </row>
    <row r="390" spans="2:19" x14ac:dyDescent="0.35">
      <c r="B390" s="18" t="s">
        <v>800</v>
      </c>
      <c r="C390" s="9" t="s">
        <v>803</v>
      </c>
      <c r="D390" s="9" t="s">
        <v>799</v>
      </c>
      <c r="E390" s="9" t="s">
        <v>39</v>
      </c>
      <c r="F390" s="17">
        <v>6.1699999999999998E-2</v>
      </c>
      <c r="G390" s="17"/>
      <c r="H390" s="17"/>
      <c r="I390" s="17"/>
      <c r="J390" s="17">
        <v>6.1699999999999998E-2</v>
      </c>
      <c r="K390" s="9" t="s">
        <v>1343</v>
      </c>
      <c r="L390" s="9" t="s">
        <v>804</v>
      </c>
      <c r="M390" s="9">
        <v>2024</v>
      </c>
      <c r="N390" s="9" t="s">
        <v>316</v>
      </c>
      <c r="O390" s="10" t="s">
        <v>317</v>
      </c>
      <c r="P390" s="9" t="s">
        <v>318</v>
      </c>
      <c r="Q390" s="9" t="s">
        <v>264</v>
      </c>
      <c r="R390" s="9" t="s">
        <v>1344</v>
      </c>
      <c r="S390" s="9" t="s">
        <v>1727</v>
      </c>
    </row>
    <row r="391" spans="2:19" x14ac:dyDescent="0.35">
      <c r="B391" s="18" t="s">
        <v>800</v>
      </c>
      <c r="C391" s="9" t="s">
        <v>803</v>
      </c>
      <c r="D391" s="9" t="s">
        <v>799</v>
      </c>
      <c r="E391" s="9" t="s">
        <v>39</v>
      </c>
      <c r="F391" s="17">
        <v>6.3500000000000001E-2</v>
      </c>
      <c r="G391" s="17"/>
      <c r="H391" s="17"/>
      <c r="I391" s="17"/>
      <c r="J391" s="17">
        <v>6.3500000000000001E-2</v>
      </c>
      <c r="K391" s="9" t="s">
        <v>1343</v>
      </c>
      <c r="L391" s="9" t="s">
        <v>804</v>
      </c>
      <c r="M391" s="9">
        <v>2023</v>
      </c>
      <c r="N391" s="9" t="s">
        <v>316</v>
      </c>
      <c r="O391" s="10" t="s">
        <v>317</v>
      </c>
      <c r="P391" s="9" t="s">
        <v>318</v>
      </c>
      <c r="Q391" s="9" t="s">
        <v>264</v>
      </c>
      <c r="R391" s="9" t="s">
        <v>1344</v>
      </c>
      <c r="S391" s="9" t="s">
        <v>1728</v>
      </c>
    </row>
    <row r="392" spans="2:19" x14ac:dyDescent="0.35">
      <c r="B392" s="18" t="s">
        <v>800</v>
      </c>
      <c r="C392" s="9" t="s">
        <v>803</v>
      </c>
      <c r="D392" s="9" t="s">
        <v>799</v>
      </c>
      <c r="E392" s="9" t="s">
        <v>39</v>
      </c>
      <c r="F392" s="17">
        <v>6.4899999999999999E-2</v>
      </c>
      <c r="G392" s="17"/>
      <c r="H392" s="17"/>
      <c r="I392" s="17"/>
      <c r="J392" s="17">
        <v>6.4899999999999999E-2</v>
      </c>
      <c r="K392" s="9" t="s">
        <v>1343</v>
      </c>
      <c r="L392" s="9" t="s">
        <v>804</v>
      </c>
      <c r="M392" s="9">
        <v>2022</v>
      </c>
      <c r="N392" s="9" t="s">
        <v>316</v>
      </c>
      <c r="O392" s="10" t="s">
        <v>317</v>
      </c>
      <c r="P392" s="9" t="s">
        <v>318</v>
      </c>
      <c r="Q392" s="9" t="s">
        <v>264</v>
      </c>
      <c r="R392" s="9" t="s">
        <v>1344</v>
      </c>
      <c r="S392" s="9" t="s">
        <v>1729</v>
      </c>
    </row>
    <row r="393" spans="2:19" x14ac:dyDescent="0.35">
      <c r="B393" s="18" t="s">
        <v>258</v>
      </c>
      <c r="C393" s="9" t="s">
        <v>259</v>
      </c>
      <c r="D393" s="9" t="s">
        <v>799</v>
      </c>
      <c r="E393" s="9" t="s">
        <v>39</v>
      </c>
      <c r="F393" s="17">
        <v>0.50700000000000001</v>
      </c>
      <c r="G393" s="17">
        <v>0.50619999999999998</v>
      </c>
      <c r="H393" s="17">
        <v>2.9999999999999997E-4</v>
      </c>
      <c r="I393" s="17">
        <v>5.0000000000000001E-4</v>
      </c>
      <c r="J393" s="17">
        <v>0</v>
      </c>
      <c r="K393" s="9" t="s">
        <v>1343</v>
      </c>
      <c r="L393" s="9" t="s">
        <v>260</v>
      </c>
      <c r="M393" s="9">
        <v>2022</v>
      </c>
      <c r="N393" s="9" t="s">
        <v>715</v>
      </c>
      <c r="O393" s="10" t="s">
        <v>716</v>
      </c>
      <c r="P393" s="9" t="s">
        <v>717</v>
      </c>
      <c r="Q393" s="9" t="s">
        <v>264</v>
      </c>
      <c r="R393" s="9" t="s">
        <v>1344</v>
      </c>
      <c r="S393" s="9" t="s">
        <v>1730</v>
      </c>
    </row>
    <row r="394" spans="2:19" x14ac:dyDescent="0.35">
      <c r="B394" s="18" t="s">
        <v>258</v>
      </c>
      <c r="C394" s="9" t="s">
        <v>259</v>
      </c>
      <c r="D394" s="9" t="s">
        <v>799</v>
      </c>
      <c r="E394" s="9" t="s">
        <v>39</v>
      </c>
      <c r="F394" s="17">
        <v>0.50880000000000003</v>
      </c>
      <c r="G394" s="17">
        <v>0.50800000000000001</v>
      </c>
      <c r="H394" s="17">
        <v>2.9999999999999997E-4</v>
      </c>
      <c r="I394" s="17">
        <v>5.0000000000000001E-4</v>
      </c>
      <c r="J394" s="17">
        <v>0</v>
      </c>
      <c r="K394" s="9" t="s">
        <v>1343</v>
      </c>
      <c r="L394" s="9" t="s">
        <v>260</v>
      </c>
      <c r="M394" s="9">
        <v>2023</v>
      </c>
      <c r="N394" s="9" t="s">
        <v>715</v>
      </c>
      <c r="O394" s="10" t="s">
        <v>716</v>
      </c>
      <c r="P394" s="9" t="s">
        <v>717</v>
      </c>
      <c r="Q394" s="9" t="s">
        <v>264</v>
      </c>
      <c r="R394" s="9" t="s">
        <v>1344</v>
      </c>
      <c r="S394" s="9" t="s">
        <v>1731</v>
      </c>
    </row>
    <row r="395" spans="2:19" x14ac:dyDescent="0.35">
      <c r="B395" s="18" t="s">
        <v>800</v>
      </c>
      <c r="C395" s="9" t="s">
        <v>801</v>
      </c>
      <c r="D395" s="9" t="s">
        <v>799</v>
      </c>
      <c r="E395" s="9" t="s">
        <v>39</v>
      </c>
      <c r="F395" s="17">
        <v>0.1095</v>
      </c>
      <c r="G395" s="17"/>
      <c r="H395" s="17"/>
      <c r="I395" s="17"/>
      <c r="J395" s="17">
        <v>0.1095</v>
      </c>
      <c r="K395" s="9" t="s">
        <v>1343</v>
      </c>
      <c r="L395" s="9" t="s">
        <v>802</v>
      </c>
      <c r="M395" s="9">
        <v>2022</v>
      </c>
      <c r="N395" s="9" t="s">
        <v>715</v>
      </c>
      <c r="O395" s="10" t="s">
        <v>716</v>
      </c>
      <c r="P395" s="9" t="s">
        <v>717</v>
      </c>
      <c r="Q395" s="9" t="s">
        <v>264</v>
      </c>
      <c r="R395" s="9" t="s">
        <v>1344</v>
      </c>
      <c r="S395" s="9" t="s">
        <v>1732</v>
      </c>
    </row>
    <row r="396" spans="2:19" x14ac:dyDescent="0.35">
      <c r="B396" s="18" t="s">
        <v>800</v>
      </c>
      <c r="C396" s="9" t="s">
        <v>801</v>
      </c>
      <c r="D396" s="9" t="s">
        <v>799</v>
      </c>
      <c r="E396" s="9" t="s">
        <v>39</v>
      </c>
      <c r="F396" s="17">
        <v>0.1103</v>
      </c>
      <c r="G396" s="17"/>
      <c r="H396" s="17"/>
      <c r="I396" s="17"/>
      <c r="J396" s="17">
        <v>0.1103</v>
      </c>
      <c r="K396" s="9" t="s">
        <v>1343</v>
      </c>
      <c r="L396" s="9" t="s">
        <v>802</v>
      </c>
      <c r="M396" s="9">
        <v>2023</v>
      </c>
      <c r="N396" s="9" t="s">
        <v>715</v>
      </c>
      <c r="O396" s="10" t="s">
        <v>716</v>
      </c>
      <c r="P396" s="9" t="s">
        <v>717</v>
      </c>
      <c r="Q396" s="9" t="s">
        <v>264</v>
      </c>
      <c r="R396" s="9" t="s">
        <v>1344</v>
      </c>
      <c r="S396" s="9" t="s">
        <v>1733</v>
      </c>
    </row>
    <row r="397" spans="2:19" x14ac:dyDescent="0.35">
      <c r="B397" s="18" t="s">
        <v>800</v>
      </c>
      <c r="C397" s="9" t="s">
        <v>803</v>
      </c>
      <c r="D397" s="9" t="s">
        <v>799</v>
      </c>
      <c r="E397" s="9" t="s">
        <v>39</v>
      </c>
      <c r="F397" s="17">
        <v>0.14710000000000001</v>
      </c>
      <c r="G397" s="17"/>
      <c r="H397" s="17"/>
      <c r="I397" s="17"/>
      <c r="J397" s="17">
        <v>0.14710000000000001</v>
      </c>
      <c r="K397" s="9" t="s">
        <v>1343</v>
      </c>
      <c r="L397" s="9" t="s">
        <v>804</v>
      </c>
      <c r="M397" s="9">
        <v>2022</v>
      </c>
      <c r="N397" s="9" t="s">
        <v>715</v>
      </c>
      <c r="O397" s="10" t="s">
        <v>716</v>
      </c>
      <c r="P397" s="9" t="s">
        <v>717</v>
      </c>
      <c r="Q397" s="9" t="s">
        <v>264</v>
      </c>
      <c r="R397" s="9" t="s">
        <v>1344</v>
      </c>
      <c r="S397" s="9" t="s">
        <v>1734</v>
      </c>
    </row>
    <row r="398" spans="2:19" x14ac:dyDescent="0.35">
      <c r="B398" s="18" t="s">
        <v>800</v>
      </c>
      <c r="C398" s="9" t="s">
        <v>803</v>
      </c>
      <c r="D398" s="9" t="s">
        <v>799</v>
      </c>
      <c r="E398" s="9" t="s">
        <v>39</v>
      </c>
      <c r="F398" s="17">
        <v>0.15079999999999999</v>
      </c>
      <c r="G398" s="17"/>
      <c r="H398" s="17"/>
      <c r="I398" s="17"/>
      <c r="J398" s="17">
        <v>0.15079999999999999</v>
      </c>
      <c r="K398" s="9" t="s">
        <v>1343</v>
      </c>
      <c r="L398" s="9" t="s">
        <v>804</v>
      </c>
      <c r="M398" s="9">
        <v>2023</v>
      </c>
      <c r="N398" s="9" t="s">
        <v>715</v>
      </c>
      <c r="O398" s="10" t="s">
        <v>716</v>
      </c>
      <c r="P398" s="9" t="s">
        <v>717</v>
      </c>
      <c r="Q398" s="9" t="s">
        <v>264</v>
      </c>
      <c r="R398" s="9" t="s">
        <v>1344</v>
      </c>
      <c r="S398" s="9" t="s">
        <v>1735</v>
      </c>
    </row>
    <row r="399" spans="2:19" x14ac:dyDescent="0.35">
      <c r="B399" s="18" t="s">
        <v>258</v>
      </c>
      <c r="C399" s="9" t="s">
        <v>259</v>
      </c>
      <c r="D399" s="9" t="s">
        <v>799</v>
      </c>
      <c r="E399" s="9" t="s">
        <v>39</v>
      </c>
      <c r="F399" s="17">
        <v>0.27929999999999999</v>
      </c>
      <c r="G399" s="17">
        <v>0.27850000000000003</v>
      </c>
      <c r="H399" s="17">
        <v>2.0000000000000001E-4</v>
      </c>
      <c r="I399" s="17">
        <v>5.9999999999999995E-4</v>
      </c>
      <c r="J399" s="17">
        <v>0</v>
      </c>
      <c r="K399" s="9" t="s">
        <v>1343</v>
      </c>
      <c r="L399" s="9" t="s">
        <v>260</v>
      </c>
      <c r="M399" s="9">
        <v>2024</v>
      </c>
      <c r="N399" s="9" t="s">
        <v>307</v>
      </c>
      <c r="O399" s="10" t="s">
        <v>308</v>
      </c>
      <c r="P399" s="9" t="s">
        <v>309</v>
      </c>
      <c r="Q399" s="9" t="s">
        <v>264</v>
      </c>
      <c r="R399" s="9" t="s">
        <v>1344</v>
      </c>
      <c r="S399" s="9" t="s">
        <v>1736</v>
      </c>
    </row>
    <row r="400" spans="2:19" x14ac:dyDescent="0.35">
      <c r="B400" s="18" t="s">
        <v>258</v>
      </c>
      <c r="C400" s="9" t="s">
        <v>259</v>
      </c>
      <c r="D400" s="9" t="s">
        <v>799</v>
      </c>
      <c r="E400" s="9" t="s">
        <v>39</v>
      </c>
      <c r="F400" s="17">
        <v>0.29549999999999998</v>
      </c>
      <c r="G400" s="17">
        <v>0.29470000000000002</v>
      </c>
      <c r="H400" s="17">
        <v>2.0000000000000001E-4</v>
      </c>
      <c r="I400" s="17">
        <v>5.9999999999999995E-4</v>
      </c>
      <c r="J400" s="17">
        <v>0</v>
      </c>
      <c r="K400" s="9" t="s">
        <v>1343</v>
      </c>
      <c r="L400" s="9" t="s">
        <v>260</v>
      </c>
      <c r="M400" s="9">
        <v>2023</v>
      </c>
      <c r="N400" s="9" t="s">
        <v>307</v>
      </c>
      <c r="O400" s="10" t="s">
        <v>308</v>
      </c>
      <c r="P400" s="9" t="s">
        <v>309</v>
      </c>
      <c r="Q400" s="9" t="s">
        <v>264</v>
      </c>
      <c r="R400" s="9" t="s">
        <v>1344</v>
      </c>
      <c r="S400" s="9" t="s">
        <v>1737</v>
      </c>
    </row>
    <row r="401" spans="2:19" x14ac:dyDescent="0.35">
      <c r="B401" s="18" t="s">
        <v>258</v>
      </c>
      <c r="C401" s="9" t="s">
        <v>259</v>
      </c>
      <c r="D401" s="9" t="s">
        <v>799</v>
      </c>
      <c r="E401" s="9" t="s">
        <v>39</v>
      </c>
      <c r="F401" s="17">
        <v>0.34029999999999999</v>
      </c>
      <c r="G401" s="17">
        <v>0.33939999999999998</v>
      </c>
      <c r="H401" s="17">
        <v>2.0000000000000001E-4</v>
      </c>
      <c r="I401" s="17">
        <v>6.9999999999999999E-4</v>
      </c>
      <c r="J401" s="17">
        <v>0</v>
      </c>
      <c r="K401" s="9" t="s">
        <v>1343</v>
      </c>
      <c r="L401" s="9" t="s">
        <v>260</v>
      </c>
      <c r="M401" s="9">
        <v>2022</v>
      </c>
      <c r="N401" s="9" t="s">
        <v>307</v>
      </c>
      <c r="O401" s="10" t="s">
        <v>308</v>
      </c>
      <c r="P401" s="9" t="s">
        <v>309</v>
      </c>
      <c r="Q401" s="9" t="s">
        <v>264</v>
      </c>
      <c r="R401" s="9" t="s">
        <v>1344</v>
      </c>
      <c r="S401" s="9" t="s">
        <v>1738</v>
      </c>
    </row>
    <row r="402" spans="2:19" x14ac:dyDescent="0.35">
      <c r="B402" s="18" t="s">
        <v>800</v>
      </c>
      <c r="C402" s="9" t="s">
        <v>801</v>
      </c>
      <c r="D402" s="9" t="s">
        <v>799</v>
      </c>
      <c r="E402" s="9" t="s">
        <v>39</v>
      </c>
      <c r="F402" s="17">
        <v>3.78E-2</v>
      </c>
      <c r="G402" s="17"/>
      <c r="H402" s="17"/>
      <c r="I402" s="17"/>
      <c r="J402" s="17">
        <v>3.78E-2</v>
      </c>
      <c r="K402" s="9" t="s">
        <v>1343</v>
      </c>
      <c r="L402" s="9" t="s">
        <v>802</v>
      </c>
      <c r="M402" s="9">
        <v>2023</v>
      </c>
      <c r="N402" s="9" t="s">
        <v>307</v>
      </c>
      <c r="O402" s="10" t="s">
        <v>308</v>
      </c>
      <c r="P402" s="9" t="s">
        <v>309</v>
      </c>
      <c r="Q402" s="9" t="s">
        <v>264</v>
      </c>
      <c r="R402" s="9" t="s">
        <v>1344</v>
      </c>
      <c r="S402" s="9" t="s">
        <v>1739</v>
      </c>
    </row>
    <row r="403" spans="2:19" x14ac:dyDescent="0.35">
      <c r="B403" s="18" t="s">
        <v>800</v>
      </c>
      <c r="C403" s="9" t="s">
        <v>801</v>
      </c>
      <c r="D403" s="9" t="s">
        <v>799</v>
      </c>
      <c r="E403" s="9" t="s">
        <v>39</v>
      </c>
      <c r="F403" s="17">
        <v>3.9899999999999998E-2</v>
      </c>
      <c r="G403" s="17"/>
      <c r="H403" s="17"/>
      <c r="I403" s="17"/>
      <c r="J403" s="17">
        <v>3.9899999999999998E-2</v>
      </c>
      <c r="K403" s="9" t="s">
        <v>1343</v>
      </c>
      <c r="L403" s="9" t="s">
        <v>802</v>
      </c>
      <c r="M403" s="9">
        <v>2022</v>
      </c>
      <c r="N403" s="9" t="s">
        <v>307</v>
      </c>
      <c r="O403" s="10" t="s">
        <v>308</v>
      </c>
      <c r="P403" s="9" t="s">
        <v>309</v>
      </c>
      <c r="Q403" s="9" t="s">
        <v>264</v>
      </c>
      <c r="R403" s="9" t="s">
        <v>1344</v>
      </c>
      <c r="S403" s="9" t="s">
        <v>1740</v>
      </c>
    </row>
    <row r="404" spans="2:19" x14ac:dyDescent="0.35">
      <c r="B404" s="18" t="s">
        <v>800</v>
      </c>
      <c r="C404" s="9" t="s">
        <v>803</v>
      </c>
      <c r="D404" s="9" t="s">
        <v>799</v>
      </c>
      <c r="E404" s="9" t="s">
        <v>39</v>
      </c>
      <c r="F404" s="17">
        <v>6.3100000000000003E-2</v>
      </c>
      <c r="G404" s="17"/>
      <c r="H404" s="17"/>
      <c r="I404" s="17"/>
      <c r="J404" s="17">
        <v>6.3100000000000003E-2</v>
      </c>
      <c r="K404" s="9" t="s">
        <v>1343</v>
      </c>
      <c r="L404" s="9" t="s">
        <v>804</v>
      </c>
      <c r="M404" s="9">
        <v>2024</v>
      </c>
      <c r="N404" s="9" t="s">
        <v>307</v>
      </c>
      <c r="O404" s="10" t="s">
        <v>308</v>
      </c>
      <c r="P404" s="9" t="s">
        <v>309</v>
      </c>
      <c r="Q404" s="9" t="s">
        <v>264</v>
      </c>
      <c r="R404" s="9" t="s">
        <v>1344</v>
      </c>
      <c r="S404" s="9" t="s">
        <v>1741</v>
      </c>
    </row>
    <row r="405" spans="2:19" x14ac:dyDescent="0.35">
      <c r="B405" s="18" t="s">
        <v>800</v>
      </c>
      <c r="C405" s="9" t="s">
        <v>803</v>
      </c>
      <c r="D405" s="9" t="s">
        <v>799</v>
      </c>
      <c r="E405" s="9" t="s">
        <v>39</v>
      </c>
      <c r="F405" s="17">
        <v>6.6199999999999995E-2</v>
      </c>
      <c r="G405" s="17"/>
      <c r="H405" s="17"/>
      <c r="I405" s="17"/>
      <c r="J405" s="17">
        <v>6.6199999999999995E-2</v>
      </c>
      <c r="K405" s="9" t="s">
        <v>1343</v>
      </c>
      <c r="L405" s="9" t="s">
        <v>804</v>
      </c>
      <c r="M405" s="9">
        <v>2023</v>
      </c>
      <c r="N405" s="9" t="s">
        <v>307</v>
      </c>
      <c r="O405" s="10" t="s">
        <v>308</v>
      </c>
      <c r="P405" s="9" t="s">
        <v>309</v>
      </c>
      <c r="Q405" s="9" t="s">
        <v>264</v>
      </c>
      <c r="R405" s="9" t="s">
        <v>1344</v>
      </c>
      <c r="S405" s="9" t="s">
        <v>1742</v>
      </c>
    </row>
    <row r="406" spans="2:19" x14ac:dyDescent="0.35">
      <c r="B406" s="18" t="s">
        <v>800</v>
      </c>
      <c r="C406" s="9" t="s">
        <v>803</v>
      </c>
      <c r="D406" s="9" t="s">
        <v>799</v>
      </c>
      <c r="E406" s="9" t="s">
        <v>39</v>
      </c>
      <c r="F406" s="17">
        <v>7.1099999999999997E-2</v>
      </c>
      <c r="G406" s="17"/>
      <c r="H406" s="17"/>
      <c r="I406" s="17"/>
      <c r="J406" s="17">
        <v>7.1099999999999997E-2</v>
      </c>
      <c r="K406" s="9" t="s">
        <v>1343</v>
      </c>
      <c r="L406" s="9" t="s">
        <v>804</v>
      </c>
      <c r="M406" s="9">
        <v>2022</v>
      </c>
      <c r="N406" s="9" t="s">
        <v>307</v>
      </c>
      <c r="O406" s="10" t="s">
        <v>308</v>
      </c>
      <c r="P406" s="9" t="s">
        <v>309</v>
      </c>
      <c r="Q406" s="9" t="s">
        <v>264</v>
      </c>
      <c r="R406" s="9" t="s">
        <v>1344</v>
      </c>
      <c r="S406" s="9" t="s">
        <v>1743</v>
      </c>
    </row>
    <row r="407" spans="2:19" x14ac:dyDescent="0.35">
      <c r="B407" s="18" t="s">
        <v>258</v>
      </c>
      <c r="C407" s="9" t="s">
        <v>259</v>
      </c>
      <c r="D407" s="9" t="s">
        <v>799</v>
      </c>
      <c r="E407" s="9" t="s">
        <v>39</v>
      </c>
      <c r="F407" s="17">
        <v>6.5000000000000002E-2</v>
      </c>
      <c r="G407" s="17">
        <v>6.4799999999999996E-2</v>
      </c>
      <c r="H407" s="17">
        <v>1E-4</v>
      </c>
      <c r="I407" s="17">
        <v>1E-4</v>
      </c>
      <c r="J407" s="17">
        <v>0</v>
      </c>
      <c r="K407" s="9" t="s">
        <v>1343</v>
      </c>
      <c r="L407" s="9" t="s">
        <v>260</v>
      </c>
      <c r="M407" s="9">
        <v>2022</v>
      </c>
      <c r="N407" s="9" t="s">
        <v>760</v>
      </c>
      <c r="O407" s="10" t="s">
        <v>761</v>
      </c>
      <c r="P407" s="9" t="s">
        <v>762</v>
      </c>
      <c r="Q407" s="9" t="s">
        <v>264</v>
      </c>
      <c r="R407" s="9" t="s">
        <v>1344</v>
      </c>
      <c r="S407" s="9" t="s">
        <v>1744</v>
      </c>
    </row>
    <row r="408" spans="2:19" x14ac:dyDescent="0.35">
      <c r="B408" s="18" t="s">
        <v>258</v>
      </c>
      <c r="C408" s="9" t="s">
        <v>259</v>
      </c>
      <c r="D408" s="9" t="s">
        <v>799</v>
      </c>
      <c r="E408" s="9" t="s">
        <v>39</v>
      </c>
      <c r="F408" s="17">
        <v>6.59E-2</v>
      </c>
      <c r="G408" s="17">
        <v>6.5699999999999995E-2</v>
      </c>
      <c r="H408" s="17">
        <v>1E-4</v>
      </c>
      <c r="I408" s="17">
        <v>1E-4</v>
      </c>
      <c r="J408" s="17">
        <v>0</v>
      </c>
      <c r="K408" s="9" t="s">
        <v>1343</v>
      </c>
      <c r="L408" s="9" t="s">
        <v>260</v>
      </c>
      <c r="M408" s="9">
        <v>2023</v>
      </c>
      <c r="N408" s="9" t="s">
        <v>760</v>
      </c>
      <c r="O408" s="10" t="s">
        <v>761</v>
      </c>
      <c r="P408" s="9" t="s">
        <v>762</v>
      </c>
      <c r="Q408" s="9" t="s">
        <v>264</v>
      </c>
      <c r="R408" s="9" t="s">
        <v>1344</v>
      </c>
      <c r="S408" s="9" t="s">
        <v>1745</v>
      </c>
    </row>
    <row r="409" spans="2:19" x14ac:dyDescent="0.35">
      <c r="B409" s="18" t="s">
        <v>258</v>
      </c>
      <c r="C409" s="9" t="s">
        <v>259</v>
      </c>
      <c r="D409" s="9" t="s">
        <v>799</v>
      </c>
      <c r="E409" s="9" t="s">
        <v>39</v>
      </c>
      <c r="F409" s="17">
        <v>0.31380000000000002</v>
      </c>
      <c r="G409" s="17">
        <v>0.31259999999999999</v>
      </c>
      <c r="H409" s="17">
        <v>2.9999999999999997E-4</v>
      </c>
      <c r="I409" s="17">
        <v>8.9999999999999998E-4</v>
      </c>
      <c r="J409" s="17">
        <v>0</v>
      </c>
      <c r="K409" s="9" t="s">
        <v>1343</v>
      </c>
      <c r="L409" s="9" t="s">
        <v>260</v>
      </c>
      <c r="M409" s="9">
        <v>2023</v>
      </c>
      <c r="N409" s="9" t="s">
        <v>367</v>
      </c>
      <c r="O409" s="10" t="s">
        <v>367</v>
      </c>
      <c r="P409" s="9" t="s">
        <v>368</v>
      </c>
      <c r="Q409" s="9" t="s">
        <v>264</v>
      </c>
      <c r="R409" s="9" t="s">
        <v>1344</v>
      </c>
      <c r="S409" s="9" t="s">
        <v>1746</v>
      </c>
    </row>
    <row r="410" spans="2:19" x14ac:dyDescent="0.35">
      <c r="B410" s="18" t="s">
        <v>258</v>
      </c>
      <c r="C410" s="9" t="s">
        <v>259</v>
      </c>
      <c r="D410" s="9" t="s">
        <v>799</v>
      </c>
      <c r="E410" s="9" t="s">
        <v>39</v>
      </c>
      <c r="F410" s="17">
        <v>0.33150000000000002</v>
      </c>
      <c r="G410" s="17">
        <v>0.33019999999999999</v>
      </c>
      <c r="H410" s="17">
        <v>2.9999999999999997E-4</v>
      </c>
      <c r="I410" s="17">
        <v>1E-3</v>
      </c>
      <c r="J410" s="17">
        <v>0</v>
      </c>
      <c r="K410" s="9" t="s">
        <v>1343</v>
      </c>
      <c r="L410" s="9" t="s">
        <v>260</v>
      </c>
      <c r="M410" s="9">
        <v>2022</v>
      </c>
      <c r="N410" s="9" t="s">
        <v>367</v>
      </c>
      <c r="O410" s="10" t="s">
        <v>367</v>
      </c>
      <c r="P410" s="9" t="s">
        <v>368</v>
      </c>
      <c r="Q410" s="9" t="s">
        <v>264</v>
      </c>
      <c r="R410" s="9" t="s">
        <v>1344</v>
      </c>
      <c r="S410" s="9" t="s">
        <v>1747</v>
      </c>
    </row>
    <row r="411" spans="2:19" x14ac:dyDescent="0.35">
      <c r="B411" s="18" t="s">
        <v>258</v>
      </c>
      <c r="C411" s="9" t="s">
        <v>259</v>
      </c>
      <c r="D411" s="9" t="s">
        <v>799</v>
      </c>
      <c r="E411" s="9" t="s">
        <v>39</v>
      </c>
      <c r="F411" s="17">
        <v>0.29039999999999999</v>
      </c>
      <c r="G411" s="17">
        <v>0.28920000000000001</v>
      </c>
      <c r="H411" s="17">
        <v>2.9999999999999997E-4</v>
      </c>
      <c r="I411" s="17">
        <v>8.9999999999999998E-4</v>
      </c>
      <c r="J411" s="17">
        <v>0</v>
      </c>
      <c r="K411" s="9" t="s">
        <v>1343</v>
      </c>
      <c r="L411" s="9" t="s">
        <v>260</v>
      </c>
      <c r="M411" s="9">
        <v>2024</v>
      </c>
      <c r="N411" s="9" t="s">
        <v>362</v>
      </c>
      <c r="O411" s="10" t="s">
        <v>362</v>
      </c>
      <c r="P411" s="9" t="s">
        <v>363</v>
      </c>
      <c r="Q411" s="9" t="s">
        <v>264</v>
      </c>
      <c r="R411" s="9" t="s">
        <v>1344</v>
      </c>
      <c r="S411" s="9" t="s">
        <v>1748</v>
      </c>
    </row>
    <row r="412" spans="2:19" x14ac:dyDescent="0.35">
      <c r="B412" s="18" t="s">
        <v>258</v>
      </c>
      <c r="C412" s="9" t="s">
        <v>259</v>
      </c>
      <c r="D412" s="9" t="s">
        <v>799</v>
      </c>
      <c r="E412" s="9" t="s">
        <v>39</v>
      </c>
      <c r="F412" s="17">
        <v>0.3014</v>
      </c>
      <c r="G412" s="17">
        <v>0.30020000000000002</v>
      </c>
      <c r="H412" s="17">
        <v>2.9999999999999997E-4</v>
      </c>
      <c r="I412" s="17">
        <v>8.9999999999999998E-4</v>
      </c>
      <c r="J412" s="17">
        <v>0</v>
      </c>
      <c r="K412" s="9" t="s">
        <v>1343</v>
      </c>
      <c r="L412" s="9" t="s">
        <v>260</v>
      </c>
      <c r="M412" s="9">
        <v>2023</v>
      </c>
      <c r="N412" s="9" t="s">
        <v>362</v>
      </c>
      <c r="O412" s="10" t="s">
        <v>362</v>
      </c>
      <c r="P412" s="9" t="s">
        <v>363</v>
      </c>
      <c r="Q412" s="9" t="s">
        <v>264</v>
      </c>
      <c r="R412" s="9" t="s">
        <v>1344</v>
      </c>
      <c r="S412" s="9" t="s">
        <v>1749</v>
      </c>
    </row>
    <row r="413" spans="2:19" x14ac:dyDescent="0.35">
      <c r="B413" s="18" t="s">
        <v>258</v>
      </c>
      <c r="C413" s="9" t="s">
        <v>259</v>
      </c>
      <c r="D413" s="9" t="s">
        <v>799</v>
      </c>
      <c r="E413" s="9" t="s">
        <v>39</v>
      </c>
      <c r="F413" s="17">
        <v>0.32519999999999999</v>
      </c>
      <c r="G413" s="17">
        <v>0.32390000000000002</v>
      </c>
      <c r="H413" s="17">
        <v>2.9999999999999997E-4</v>
      </c>
      <c r="I413" s="17">
        <v>1E-3</v>
      </c>
      <c r="J413" s="17">
        <v>0</v>
      </c>
      <c r="K413" s="9" t="s">
        <v>1343</v>
      </c>
      <c r="L413" s="9" t="s">
        <v>260</v>
      </c>
      <c r="M413" s="9">
        <v>2022</v>
      </c>
      <c r="N413" s="9" t="s">
        <v>362</v>
      </c>
      <c r="O413" s="10" t="s">
        <v>362</v>
      </c>
      <c r="P413" s="9" t="s">
        <v>363</v>
      </c>
      <c r="Q413" s="9" t="s">
        <v>264</v>
      </c>
      <c r="R413" s="9" t="s">
        <v>1344</v>
      </c>
      <c r="S413" s="9" t="s">
        <v>1750</v>
      </c>
    </row>
    <row r="414" spans="2:19" x14ac:dyDescent="0.35">
      <c r="B414" s="18" t="s">
        <v>258</v>
      </c>
      <c r="C414" s="9" t="s">
        <v>259</v>
      </c>
      <c r="D414" s="9" t="s">
        <v>799</v>
      </c>
      <c r="E414" s="9" t="s">
        <v>39</v>
      </c>
      <c r="F414" s="17">
        <v>0.46410000000000001</v>
      </c>
      <c r="G414" s="17">
        <v>0.46210000000000001</v>
      </c>
      <c r="H414" s="17">
        <v>2.9999999999999997E-4</v>
      </c>
      <c r="I414" s="17">
        <v>1.6999999999999999E-3</v>
      </c>
      <c r="J414" s="17">
        <v>0</v>
      </c>
      <c r="K414" s="9" t="s">
        <v>1343</v>
      </c>
      <c r="L414" s="9" t="s">
        <v>260</v>
      </c>
      <c r="M414" s="9">
        <v>2023</v>
      </c>
      <c r="N414" s="9" t="s">
        <v>466</v>
      </c>
      <c r="O414" s="10" t="s">
        <v>466</v>
      </c>
      <c r="P414" s="9" t="s">
        <v>467</v>
      </c>
      <c r="Q414" s="9" t="s">
        <v>264</v>
      </c>
      <c r="R414" s="9" t="s">
        <v>1344</v>
      </c>
      <c r="S414" s="9" t="s">
        <v>1751</v>
      </c>
    </row>
    <row r="415" spans="2:19" x14ac:dyDescent="0.35">
      <c r="B415" s="18" t="s">
        <v>258</v>
      </c>
      <c r="C415" s="9" t="s">
        <v>259</v>
      </c>
      <c r="D415" s="9" t="s">
        <v>799</v>
      </c>
      <c r="E415" s="9" t="s">
        <v>39</v>
      </c>
      <c r="F415" s="17">
        <v>0.46820000000000001</v>
      </c>
      <c r="G415" s="17">
        <v>0.4662</v>
      </c>
      <c r="H415" s="17">
        <v>2.9999999999999997E-4</v>
      </c>
      <c r="I415" s="17">
        <v>1.6999999999999999E-3</v>
      </c>
      <c r="J415" s="17">
        <v>0</v>
      </c>
      <c r="K415" s="9" t="s">
        <v>1343</v>
      </c>
      <c r="L415" s="9" t="s">
        <v>260</v>
      </c>
      <c r="M415" s="9">
        <v>2022</v>
      </c>
      <c r="N415" s="9" t="s">
        <v>466</v>
      </c>
      <c r="O415" s="10" t="s">
        <v>466</v>
      </c>
      <c r="P415" s="9" t="s">
        <v>467</v>
      </c>
      <c r="Q415" s="9" t="s">
        <v>264</v>
      </c>
      <c r="R415" s="9" t="s">
        <v>1344</v>
      </c>
      <c r="S415" s="9" t="s">
        <v>1752</v>
      </c>
    </row>
    <row r="416" spans="2:19" x14ac:dyDescent="0.35">
      <c r="B416" s="18" t="s">
        <v>258</v>
      </c>
      <c r="C416" s="9" t="s">
        <v>259</v>
      </c>
      <c r="D416" s="9" t="s">
        <v>799</v>
      </c>
      <c r="E416" s="9" t="s">
        <v>39</v>
      </c>
      <c r="F416" s="17">
        <v>0.2286</v>
      </c>
      <c r="G416" s="17">
        <v>0.2172</v>
      </c>
      <c r="H416" s="17">
        <v>4.7999999999999996E-3</v>
      </c>
      <c r="I416" s="17">
        <v>6.6E-3</v>
      </c>
      <c r="J416" s="17">
        <v>0</v>
      </c>
      <c r="K416" s="9" t="s">
        <v>1343</v>
      </c>
      <c r="L416" s="9" t="s">
        <v>260</v>
      </c>
      <c r="M416" s="9">
        <v>2022</v>
      </c>
      <c r="N416" s="9" t="s">
        <v>586</v>
      </c>
      <c r="O416" s="10" t="s">
        <v>587</v>
      </c>
      <c r="P416" s="9" t="s">
        <v>588</v>
      </c>
      <c r="Q416" s="9" t="s">
        <v>264</v>
      </c>
      <c r="R416" s="9" t="s">
        <v>1344</v>
      </c>
      <c r="S416" s="9" t="s">
        <v>1753</v>
      </c>
    </row>
    <row r="417" spans="2:19" x14ac:dyDescent="0.35">
      <c r="B417" s="18" t="s">
        <v>258</v>
      </c>
      <c r="C417" s="9" t="s">
        <v>259</v>
      </c>
      <c r="D417" s="9" t="s">
        <v>799</v>
      </c>
      <c r="E417" s="9" t="s">
        <v>39</v>
      </c>
      <c r="F417" s="17">
        <v>0.33610000000000001</v>
      </c>
      <c r="G417" s="17">
        <v>0.32290000000000002</v>
      </c>
      <c r="H417" s="17">
        <v>5.4999999999999997E-3</v>
      </c>
      <c r="I417" s="17">
        <v>7.7000000000000002E-3</v>
      </c>
      <c r="J417" s="17">
        <v>0</v>
      </c>
      <c r="K417" s="9" t="s">
        <v>1343</v>
      </c>
      <c r="L417" s="9" t="s">
        <v>260</v>
      </c>
      <c r="M417" s="9">
        <v>2023</v>
      </c>
      <c r="N417" s="9" t="s">
        <v>586</v>
      </c>
      <c r="O417" s="10" t="s">
        <v>587</v>
      </c>
      <c r="P417" s="9" t="s">
        <v>588</v>
      </c>
      <c r="Q417" s="9" t="s">
        <v>264</v>
      </c>
      <c r="R417" s="9" t="s">
        <v>1344</v>
      </c>
      <c r="S417" s="9" t="s">
        <v>1754</v>
      </c>
    </row>
    <row r="418" spans="2:19" x14ac:dyDescent="0.35">
      <c r="B418" s="18" t="s">
        <v>800</v>
      </c>
      <c r="C418" s="9" t="s">
        <v>801</v>
      </c>
      <c r="D418" s="9" t="s">
        <v>799</v>
      </c>
      <c r="E418" s="9" t="s">
        <v>39</v>
      </c>
      <c r="F418" s="17">
        <v>3.5799999999999998E-2</v>
      </c>
      <c r="G418" s="17"/>
      <c r="H418" s="17"/>
      <c r="I418" s="17"/>
      <c r="J418" s="17">
        <v>3.5799999999999998E-2</v>
      </c>
      <c r="K418" s="9" t="s">
        <v>1343</v>
      </c>
      <c r="L418" s="9" t="s">
        <v>802</v>
      </c>
      <c r="M418" s="9">
        <v>2022</v>
      </c>
      <c r="N418" s="9" t="s">
        <v>586</v>
      </c>
      <c r="O418" s="10" t="s">
        <v>587</v>
      </c>
      <c r="P418" s="9" t="s">
        <v>588</v>
      </c>
      <c r="Q418" s="9" t="s">
        <v>264</v>
      </c>
      <c r="R418" s="9" t="s">
        <v>1344</v>
      </c>
      <c r="S418" s="9" t="s">
        <v>1755</v>
      </c>
    </row>
    <row r="419" spans="2:19" x14ac:dyDescent="0.35">
      <c r="B419" s="18" t="s">
        <v>800</v>
      </c>
      <c r="C419" s="9" t="s">
        <v>801</v>
      </c>
      <c r="D419" s="9" t="s">
        <v>799</v>
      </c>
      <c r="E419" s="9" t="s">
        <v>39</v>
      </c>
      <c r="F419" s="17">
        <v>4.7899999999999998E-2</v>
      </c>
      <c r="G419" s="17"/>
      <c r="H419" s="17"/>
      <c r="I419" s="17"/>
      <c r="J419" s="17">
        <v>4.7899999999999998E-2</v>
      </c>
      <c r="K419" s="9" t="s">
        <v>1343</v>
      </c>
      <c r="L419" s="9" t="s">
        <v>802</v>
      </c>
      <c r="M419" s="9">
        <v>2023</v>
      </c>
      <c r="N419" s="9" t="s">
        <v>586</v>
      </c>
      <c r="O419" s="10" t="s">
        <v>587</v>
      </c>
      <c r="P419" s="9" t="s">
        <v>588</v>
      </c>
      <c r="Q419" s="9" t="s">
        <v>264</v>
      </c>
      <c r="R419" s="9" t="s">
        <v>1344</v>
      </c>
      <c r="S419" s="9" t="s">
        <v>1756</v>
      </c>
    </row>
    <row r="420" spans="2:19" x14ac:dyDescent="0.35">
      <c r="B420" s="18" t="s">
        <v>800</v>
      </c>
      <c r="C420" s="9" t="s">
        <v>803</v>
      </c>
      <c r="D420" s="9" t="s">
        <v>799</v>
      </c>
      <c r="E420" s="9" t="s">
        <v>39</v>
      </c>
      <c r="F420" s="17">
        <v>6.6400000000000001E-2</v>
      </c>
      <c r="G420" s="17"/>
      <c r="H420" s="17"/>
      <c r="I420" s="17"/>
      <c r="J420" s="17">
        <v>6.6400000000000001E-2</v>
      </c>
      <c r="K420" s="9" t="s">
        <v>1343</v>
      </c>
      <c r="L420" s="9" t="s">
        <v>804</v>
      </c>
      <c r="M420" s="9">
        <v>2022</v>
      </c>
      <c r="N420" s="9" t="s">
        <v>586</v>
      </c>
      <c r="O420" s="10" t="s">
        <v>587</v>
      </c>
      <c r="P420" s="9" t="s">
        <v>588</v>
      </c>
      <c r="Q420" s="9" t="s">
        <v>264</v>
      </c>
      <c r="R420" s="9" t="s">
        <v>1344</v>
      </c>
      <c r="S420" s="9" t="s">
        <v>1757</v>
      </c>
    </row>
    <row r="421" spans="2:19" x14ac:dyDescent="0.35">
      <c r="B421" s="18" t="s">
        <v>800</v>
      </c>
      <c r="C421" s="9" t="s">
        <v>803</v>
      </c>
      <c r="D421" s="9" t="s">
        <v>799</v>
      </c>
      <c r="E421" s="9" t="s">
        <v>39</v>
      </c>
      <c r="F421" s="17">
        <v>8.6900000000000005E-2</v>
      </c>
      <c r="G421" s="17"/>
      <c r="H421" s="17"/>
      <c r="I421" s="17"/>
      <c r="J421" s="17">
        <v>8.6900000000000005E-2</v>
      </c>
      <c r="K421" s="9" t="s">
        <v>1343</v>
      </c>
      <c r="L421" s="9" t="s">
        <v>804</v>
      </c>
      <c r="M421" s="9">
        <v>2023</v>
      </c>
      <c r="N421" s="9" t="s">
        <v>586</v>
      </c>
      <c r="O421" s="10" t="s">
        <v>587</v>
      </c>
      <c r="P421" s="9" t="s">
        <v>588</v>
      </c>
      <c r="Q421" s="9" t="s">
        <v>264</v>
      </c>
      <c r="R421" s="9" t="s">
        <v>1344</v>
      </c>
      <c r="S421" s="9" t="s">
        <v>1758</v>
      </c>
    </row>
    <row r="422" spans="2:19" x14ac:dyDescent="0.35">
      <c r="B422" s="18" t="s">
        <v>258</v>
      </c>
      <c r="C422" s="9" t="s">
        <v>259</v>
      </c>
      <c r="D422" s="9" t="s">
        <v>799</v>
      </c>
      <c r="E422" s="9" t="s">
        <v>39</v>
      </c>
      <c r="F422" s="17">
        <v>0.81559999999999999</v>
      </c>
      <c r="G422" s="17">
        <v>0.81279999999999997</v>
      </c>
      <c r="H422" s="17">
        <v>1E-3</v>
      </c>
      <c r="I422" s="17">
        <v>1.8E-3</v>
      </c>
      <c r="J422" s="17">
        <v>0</v>
      </c>
      <c r="K422" s="9" t="s">
        <v>1343</v>
      </c>
      <c r="L422" s="9" t="s">
        <v>260</v>
      </c>
      <c r="M422" s="9">
        <v>2023</v>
      </c>
      <c r="N422" s="9" t="s">
        <v>610</v>
      </c>
      <c r="O422" s="10" t="s">
        <v>611</v>
      </c>
      <c r="P422" s="9" t="s">
        <v>612</v>
      </c>
      <c r="Q422" s="9" t="s">
        <v>264</v>
      </c>
      <c r="R422" s="9" t="s">
        <v>1344</v>
      </c>
      <c r="S422" s="9" t="s">
        <v>1759</v>
      </c>
    </row>
    <row r="423" spans="2:19" x14ac:dyDescent="0.35">
      <c r="B423" s="18" t="s">
        <v>258</v>
      </c>
      <c r="C423" s="9" t="s">
        <v>259</v>
      </c>
      <c r="D423" s="9" t="s">
        <v>799</v>
      </c>
      <c r="E423" s="9" t="s">
        <v>39</v>
      </c>
      <c r="F423" s="17">
        <v>0.83</v>
      </c>
      <c r="G423" s="17">
        <v>0.82720000000000005</v>
      </c>
      <c r="H423" s="17">
        <v>1E-3</v>
      </c>
      <c r="I423" s="17">
        <v>1.8E-3</v>
      </c>
      <c r="J423" s="17">
        <v>0</v>
      </c>
      <c r="K423" s="9" t="s">
        <v>1343</v>
      </c>
      <c r="L423" s="9" t="s">
        <v>260</v>
      </c>
      <c r="M423" s="9">
        <v>2022</v>
      </c>
      <c r="N423" s="9" t="s">
        <v>610</v>
      </c>
      <c r="O423" s="10" t="s">
        <v>611</v>
      </c>
      <c r="P423" s="9" t="s">
        <v>612</v>
      </c>
      <c r="Q423" s="9" t="s">
        <v>264</v>
      </c>
      <c r="R423" s="9" t="s">
        <v>1344</v>
      </c>
      <c r="S423" s="9" t="s">
        <v>1760</v>
      </c>
    </row>
    <row r="424" spans="2:19" x14ac:dyDescent="0.35">
      <c r="B424" s="18" t="s">
        <v>800</v>
      </c>
      <c r="C424" s="9" t="s">
        <v>801</v>
      </c>
      <c r="D424" s="9" t="s">
        <v>799</v>
      </c>
      <c r="E424" s="9" t="s">
        <v>39</v>
      </c>
      <c r="F424" s="17">
        <v>0.21609999999999999</v>
      </c>
      <c r="G424" s="17"/>
      <c r="H424" s="17"/>
      <c r="I424" s="17"/>
      <c r="J424" s="17">
        <v>0.21609999999999999</v>
      </c>
      <c r="K424" s="9" t="s">
        <v>1343</v>
      </c>
      <c r="L424" s="9" t="s">
        <v>802</v>
      </c>
      <c r="M424" s="9">
        <v>2023</v>
      </c>
      <c r="N424" s="9" t="s">
        <v>610</v>
      </c>
      <c r="O424" s="10" t="s">
        <v>611</v>
      </c>
      <c r="P424" s="9" t="s">
        <v>612</v>
      </c>
      <c r="Q424" s="9" t="s">
        <v>264</v>
      </c>
      <c r="R424" s="9" t="s">
        <v>1344</v>
      </c>
      <c r="S424" s="9" t="s">
        <v>1761</v>
      </c>
    </row>
    <row r="425" spans="2:19" x14ac:dyDescent="0.35">
      <c r="B425" s="18" t="s">
        <v>800</v>
      </c>
      <c r="C425" s="9" t="s">
        <v>801</v>
      </c>
      <c r="D425" s="9" t="s">
        <v>799</v>
      </c>
      <c r="E425" s="9" t="s">
        <v>39</v>
      </c>
      <c r="F425" s="17">
        <v>0.2321</v>
      </c>
      <c r="G425" s="17"/>
      <c r="H425" s="17"/>
      <c r="I425" s="17"/>
      <c r="J425" s="17">
        <v>0.2321</v>
      </c>
      <c r="K425" s="9" t="s">
        <v>1343</v>
      </c>
      <c r="L425" s="9" t="s">
        <v>802</v>
      </c>
      <c r="M425" s="9">
        <v>2022</v>
      </c>
      <c r="N425" s="9" t="s">
        <v>610</v>
      </c>
      <c r="O425" s="10" t="s">
        <v>611</v>
      </c>
      <c r="P425" s="9" t="s">
        <v>612</v>
      </c>
      <c r="Q425" s="9" t="s">
        <v>264</v>
      </c>
      <c r="R425" s="9" t="s">
        <v>1344</v>
      </c>
      <c r="S425" s="9" t="s">
        <v>1762</v>
      </c>
    </row>
    <row r="426" spans="2:19" x14ac:dyDescent="0.35">
      <c r="B426" s="18" t="s">
        <v>800</v>
      </c>
      <c r="C426" s="9" t="s">
        <v>803</v>
      </c>
      <c r="D426" s="9" t="s">
        <v>799</v>
      </c>
      <c r="E426" s="9" t="s">
        <v>39</v>
      </c>
      <c r="F426" s="17">
        <v>0.22889999999999999</v>
      </c>
      <c r="G426" s="17"/>
      <c r="H426" s="17"/>
      <c r="I426" s="17"/>
      <c r="J426" s="17">
        <v>0.22889999999999999</v>
      </c>
      <c r="K426" s="9" t="s">
        <v>1343</v>
      </c>
      <c r="L426" s="9" t="s">
        <v>804</v>
      </c>
      <c r="M426" s="9">
        <v>2023</v>
      </c>
      <c r="N426" s="9" t="s">
        <v>610</v>
      </c>
      <c r="O426" s="10" t="s">
        <v>611</v>
      </c>
      <c r="P426" s="9" t="s">
        <v>612</v>
      </c>
      <c r="Q426" s="9" t="s">
        <v>264</v>
      </c>
      <c r="R426" s="9" t="s">
        <v>1344</v>
      </c>
      <c r="S426" s="9" t="s">
        <v>1763</v>
      </c>
    </row>
    <row r="427" spans="2:19" x14ac:dyDescent="0.35">
      <c r="B427" s="18" t="s">
        <v>800</v>
      </c>
      <c r="C427" s="9" t="s">
        <v>803</v>
      </c>
      <c r="D427" s="9" t="s">
        <v>799</v>
      </c>
      <c r="E427" s="9" t="s">
        <v>39</v>
      </c>
      <c r="F427" s="17">
        <v>0.23269999999999999</v>
      </c>
      <c r="G427" s="17"/>
      <c r="H427" s="17"/>
      <c r="I427" s="17"/>
      <c r="J427" s="17">
        <v>0.23269999999999999</v>
      </c>
      <c r="K427" s="9" t="s">
        <v>1343</v>
      </c>
      <c r="L427" s="9" t="s">
        <v>804</v>
      </c>
      <c r="M427" s="9">
        <v>2022</v>
      </c>
      <c r="N427" s="9" t="s">
        <v>610</v>
      </c>
      <c r="O427" s="10" t="s">
        <v>611</v>
      </c>
      <c r="P427" s="9" t="s">
        <v>612</v>
      </c>
      <c r="Q427" s="9" t="s">
        <v>264</v>
      </c>
      <c r="R427" s="9" t="s">
        <v>1344</v>
      </c>
      <c r="S427" s="9" t="s">
        <v>1764</v>
      </c>
    </row>
    <row r="428" spans="2:19" x14ac:dyDescent="0.35">
      <c r="B428" s="18" t="s">
        <v>258</v>
      </c>
      <c r="C428" s="9" t="s">
        <v>259</v>
      </c>
      <c r="D428" s="9" t="s">
        <v>799</v>
      </c>
      <c r="E428" s="9" t="s">
        <v>39</v>
      </c>
      <c r="F428" s="17">
        <v>0.57740000000000002</v>
      </c>
      <c r="G428" s="17">
        <v>0.5756</v>
      </c>
      <c r="H428" s="17">
        <v>5.9999999999999995E-4</v>
      </c>
      <c r="I428" s="17">
        <v>1.1999999999999999E-3</v>
      </c>
      <c r="J428" s="17">
        <v>0</v>
      </c>
      <c r="K428" s="9" t="s">
        <v>1343</v>
      </c>
      <c r="L428" s="9" t="s">
        <v>260</v>
      </c>
      <c r="M428" s="9">
        <v>2023</v>
      </c>
      <c r="N428" s="9" t="s">
        <v>766</v>
      </c>
      <c r="O428" s="10" t="s">
        <v>767</v>
      </c>
      <c r="P428" s="9" t="s">
        <v>768</v>
      </c>
      <c r="Q428" s="9" t="s">
        <v>264</v>
      </c>
      <c r="R428" s="9" t="s">
        <v>1344</v>
      </c>
      <c r="S428" s="9" t="s">
        <v>1765</v>
      </c>
    </row>
    <row r="429" spans="2:19" x14ac:dyDescent="0.35">
      <c r="B429" s="18" t="s">
        <v>258</v>
      </c>
      <c r="C429" s="9" t="s">
        <v>259</v>
      </c>
      <c r="D429" s="9" t="s">
        <v>799</v>
      </c>
      <c r="E429" s="9" t="s">
        <v>39</v>
      </c>
      <c r="F429" s="17">
        <v>0.64900000000000002</v>
      </c>
      <c r="G429" s="17">
        <v>0.64690000000000003</v>
      </c>
      <c r="H429" s="17">
        <v>6.9999999999999999E-4</v>
      </c>
      <c r="I429" s="17">
        <v>1.4E-3</v>
      </c>
      <c r="J429" s="17">
        <v>0</v>
      </c>
      <c r="K429" s="9" t="s">
        <v>1343</v>
      </c>
      <c r="L429" s="9" t="s">
        <v>260</v>
      </c>
      <c r="M429" s="9">
        <v>2022</v>
      </c>
      <c r="N429" s="9" t="s">
        <v>766</v>
      </c>
      <c r="O429" s="10" t="s">
        <v>767</v>
      </c>
      <c r="P429" s="9" t="s">
        <v>768</v>
      </c>
      <c r="Q429" s="9" t="s">
        <v>264</v>
      </c>
      <c r="R429" s="9" t="s">
        <v>1344</v>
      </c>
      <c r="S429" s="9" t="s">
        <v>1766</v>
      </c>
    </row>
    <row r="430" spans="2:19" x14ac:dyDescent="0.35">
      <c r="B430" s="18" t="s">
        <v>800</v>
      </c>
      <c r="C430" s="9" t="s">
        <v>801</v>
      </c>
      <c r="D430" s="9" t="s">
        <v>799</v>
      </c>
      <c r="E430" s="9" t="s">
        <v>39</v>
      </c>
      <c r="F430" s="17">
        <v>0.1168</v>
      </c>
      <c r="G430" s="17"/>
      <c r="H430" s="17"/>
      <c r="I430" s="17"/>
      <c r="J430" s="17">
        <v>0.1168</v>
      </c>
      <c r="K430" s="9" t="s">
        <v>1343</v>
      </c>
      <c r="L430" s="9" t="s">
        <v>802</v>
      </c>
      <c r="M430" s="9">
        <v>2023</v>
      </c>
      <c r="N430" s="9" t="s">
        <v>766</v>
      </c>
      <c r="O430" s="10" t="s">
        <v>767</v>
      </c>
      <c r="P430" s="9" t="s">
        <v>768</v>
      </c>
      <c r="Q430" s="9" t="s">
        <v>264</v>
      </c>
      <c r="R430" s="9" t="s">
        <v>1344</v>
      </c>
      <c r="S430" s="9" t="s">
        <v>1767</v>
      </c>
    </row>
    <row r="431" spans="2:19" x14ac:dyDescent="0.35">
      <c r="B431" s="18" t="s">
        <v>800</v>
      </c>
      <c r="C431" s="9" t="s">
        <v>801</v>
      </c>
      <c r="D431" s="9" t="s">
        <v>799</v>
      </c>
      <c r="E431" s="9" t="s">
        <v>39</v>
      </c>
      <c r="F431" s="17">
        <v>0.12709999999999999</v>
      </c>
      <c r="G431" s="17"/>
      <c r="H431" s="17"/>
      <c r="I431" s="17"/>
      <c r="J431" s="17">
        <v>0.12709999999999999</v>
      </c>
      <c r="K431" s="9" t="s">
        <v>1343</v>
      </c>
      <c r="L431" s="9" t="s">
        <v>802</v>
      </c>
      <c r="M431" s="9">
        <v>2022</v>
      </c>
      <c r="N431" s="9" t="s">
        <v>766</v>
      </c>
      <c r="O431" s="10" t="s">
        <v>767</v>
      </c>
      <c r="P431" s="9" t="s">
        <v>768</v>
      </c>
      <c r="Q431" s="9" t="s">
        <v>264</v>
      </c>
      <c r="R431" s="9" t="s">
        <v>1344</v>
      </c>
      <c r="S431" s="9" t="s">
        <v>1768</v>
      </c>
    </row>
    <row r="432" spans="2:19" x14ac:dyDescent="0.35">
      <c r="B432" s="18" t="s">
        <v>800</v>
      </c>
      <c r="C432" s="9" t="s">
        <v>803</v>
      </c>
      <c r="D432" s="9" t="s">
        <v>799</v>
      </c>
      <c r="E432" s="9" t="s">
        <v>39</v>
      </c>
      <c r="F432" s="17">
        <v>0.16969999999999999</v>
      </c>
      <c r="G432" s="17"/>
      <c r="H432" s="17"/>
      <c r="I432" s="17"/>
      <c r="J432" s="17">
        <v>0.16969999999999999</v>
      </c>
      <c r="K432" s="9" t="s">
        <v>1343</v>
      </c>
      <c r="L432" s="9" t="s">
        <v>804</v>
      </c>
      <c r="M432" s="9">
        <v>2023</v>
      </c>
      <c r="N432" s="9" t="s">
        <v>766</v>
      </c>
      <c r="O432" s="10" t="s">
        <v>767</v>
      </c>
      <c r="P432" s="9" t="s">
        <v>768</v>
      </c>
      <c r="Q432" s="9" t="s">
        <v>264</v>
      </c>
      <c r="R432" s="9" t="s">
        <v>1344</v>
      </c>
      <c r="S432" s="9" t="s">
        <v>1769</v>
      </c>
    </row>
    <row r="433" spans="2:19" x14ac:dyDescent="0.35">
      <c r="B433" s="18" t="s">
        <v>800</v>
      </c>
      <c r="C433" s="9" t="s">
        <v>803</v>
      </c>
      <c r="D433" s="9" t="s">
        <v>799</v>
      </c>
      <c r="E433" s="9" t="s">
        <v>39</v>
      </c>
      <c r="F433" s="17">
        <v>0.18890000000000001</v>
      </c>
      <c r="G433" s="17"/>
      <c r="H433" s="17"/>
      <c r="I433" s="17"/>
      <c r="J433" s="17">
        <v>0.18890000000000001</v>
      </c>
      <c r="K433" s="9" t="s">
        <v>1343</v>
      </c>
      <c r="L433" s="9" t="s">
        <v>804</v>
      </c>
      <c r="M433" s="9">
        <v>2022</v>
      </c>
      <c r="N433" s="9" t="s">
        <v>766</v>
      </c>
      <c r="O433" s="10" t="s">
        <v>767</v>
      </c>
      <c r="P433" s="9" t="s">
        <v>768</v>
      </c>
      <c r="Q433" s="9" t="s">
        <v>264</v>
      </c>
      <c r="R433" s="9" t="s">
        <v>1344</v>
      </c>
      <c r="S433" s="9" t="s">
        <v>1770</v>
      </c>
    </row>
    <row r="434" spans="2:19" x14ac:dyDescent="0.35">
      <c r="B434" s="18" t="s">
        <v>258</v>
      </c>
      <c r="C434" s="9" t="s">
        <v>259</v>
      </c>
      <c r="D434" s="9" t="s">
        <v>799</v>
      </c>
      <c r="E434" s="9" t="s">
        <v>39</v>
      </c>
      <c r="F434" s="17">
        <v>0.29380000000000001</v>
      </c>
      <c r="G434" s="17">
        <v>0.2903</v>
      </c>
      <c r="H434" s="17">
        <v>1.5E-3</v>
      </c>
      <c r="I434" s="17">
        <v>2E-3</v>
      </c>
      <c r="J434" s="17">
        <v>0</v>
      </c>
      <c r="K434" s="9" t="s">
        <v>1343</v>
      </c>
      <c r="L434" s="9" t="s">
        <v>260</v>
      </c>
      <c r="M434" s="9">
        <v>2022</v>
      </c>
      <c r="N434" s="9" t="s">
        <v>578</v>
      </c>
      <c r="O434" s="10" t="s">
        <v>579</v>
      </c>
      <c r="P434" s="9" t="s">
        <v>580</v>
      </c>
      <c r="Q434" s="9" t="s">
        <v>264</v>
      </c>
      <c r="R434" s="9" t="s">
        <v>1344</v>
      </c>
      <c r="S434" s="9" t="s">
        <v>1771</v>
      </c>
    </row>
    <row r="435" spans="2:19" x14ac:dyDescent="0.35">
      <c r="B435" s="18" t="s">
        <v>258</v>
      </c>
      <c r="C435" s="9" t="s">
        <v>259</v>
      </c>
      <c r="D435" s="9" t="s">
        <v>799</v>
      </c>
      <c r="E435" s="9" t="s">
        <v>39</v>
      </c>
      <c r="F435" s="17">
        <v>0.34620000000000001</v>
      </c>
      <c r="G435" s="17">
        <v>0.34260000000000002</v>
      </c>
      <c r="H435" s="17">
        <v>1.5E-3</v>
      </c>
      <c r="I435" s="17">
        <v>2.0999999999999999E-3</v>
      </c>
      <c r="J435" s="17">
        <v>0</v>
      </c>
      <c r="K435" s="9" t="s">
        <v>1343</v>
      </c>
      <c r="L435" s="9" t="s">
        <v>260</v>
      </c>
      <c r="M435" s="9">
        <v>2023</v>
      </c>
      <c r="N435" s="9" t="s">
        <v>578</v>
      </c>
      <c r="O435" s="10" t="s">
        <v>579</v>
      </c>
      <c r="P435" s="9" t="s">
        <v>580</v>
      </c>
      <c r="Q435" s="9" t="s">
        <v>264</v>
      </c>
      <c r="R435" s="9" t="s">
        <v>1344</v>
      </c>
      <c r="S435" s="9" t="s">
        <v>1772</v>
      </c>
    </row>
    <row r="436" spans="2:19" x14ac:dyDescent="0.35">
      <c r="B436" s="18" t="s">
        <v>800</v>
      </c>
      <c r="C436" s="9" t="s">
        <v>801</v>
      </c>
      <c r="D436" s="9" t="s">
        <v>799</v>
      </c>
      <c r="E436" s="9" t="s">
        <v>39</v>
      </c>
      <c r="F436" s="17">
        <v>0.1226</v>
      </c>
      <c r="G436" s="17"/>
      <c r="H436" s="17"/>
      <c r="I436" s="17"/>
      <c r="J436" s="17">
        <v>0.1226</v>
      </c>
      <c r="K436" s="9" t="s">
        <v>1343</v>
      </c>
      <c r="L436" s="9" t="s">
        <v>802</v>
      </c>
      <c r="M436" s="9">
        <v>2022</v>
      </c>
      <c r="N436" s="9" t="s">
        <v>578</v>
      </c>
      <c r="O436" s="10" t="s">
        <v>579</v>
      </c>
      <c r="P436" s="9" t="s">
        <v>580</v>
      </c>
      <c r="Q436" s="9" t="s">
        <v>264</v>
      </c>
      <c r="R436" s="9" t="s">
        <v>1344</v>
      </c>
      <c r="S436" s="9" t="s">
        <v>1773</v>
      </c>
    </row>
    <row r="437" spans="2:19" x14ac:dyDescent="0.35">
      <c r="B437" s="18" t="s">
        <v>800</v>
      </c>
      <c r="C437" s="9" t="s">
        <v>801</v>
      </c>
      <c r="D437" s="9" t="s">
        <v>799</v>
      </c>
      <c r="E437" s="9" t="s">
        <v>39</v>
      </c>
      <c r="F437" s="17">
        <v>0.15210000000000001</v>
      </c>
      <c r="G437" s="17"/>
      <c r="H437" s="17"/>
      <c r="I437" s="17"/>
      <c r="J437" s="17">
        <v>0.15210000000000001</v>
      </c>
      <c r="K437" s="9" t="s">
        <v>1343</v>
      </c>
      <c r="L437" s="9" t="s">
        <v>802</v>
      </c>
      <c r="M437" s="9">
        <v>2023</v>
      </c>
      <c r="N437" s="9" t="s">
        <v>578</v>
      </c>
      <c r="O437" s="10" t="s">
        <v>579</v>
      </c>
      <c r="P437" s="9" t="s">
        <v>580</v>
      </c>
      <c r="Q437" s="9" t="s">
        <v>264</v>
      </c>
      <c r="R437" s="9" t="s">
        <v>1344</v>
      </c>
      <c r="S437" s="9" t="s">
        <v>1774</v>
      </c>
    </row>
    <row r="438" spans="2:19" x14ac:dyDescent="0.35">
      <c r="B438" s="18" t="s">
        <v>800</v>
      </c>
      <c r="C438" s="9" t="s">
        <v>803</v>
      </c>
      <c r="D438" s="9" t="s">
        <v>799</v>
      </c>
      <c r="E438" s="9" t="s">
        <v>39</v>
      </c>
      <c r="F438" s="17">
        <v>8.9099999999999999E-2</v>
      </c>
      <c r="G438" s="17"/>
      <c r="H438" s="17"/>
      <c r="I438" s="17"/>
      <c r="J438" s="17">
        <v>8.9099999999999999E-2</v>
      </c>
      <c r="K438" s="9" t="s">
        <v>1343</v>
      </c>
      <c r="L438" s="9" t="s">
        <v>804</v>
      </c>
      <c r="M438" s="9">
        <v>2022</v>
      </c>
      <c r="N438" s="9" t="s">
        <v>578</v>
      </c>
      <c r="O438" s="10" t="s">
        <v>579</v>
      </c>
      <c r="P438" s="9" t="s">
        <v>580</v>
      </c>
      <c r="Q438" s="9" t="s">
        <v>264</v>
      </c>
      <c r="R438" s="9" t="s">
        <v>1344</v>
      </c>
      <c r="S438" s="9" t="s">
        <v>1775</v>
      </c>
    </row>
    <row r="439" spans="2:19" x14ac:dyDescent="0.35">
      <c r="B439" s="18" t="s">
        <v>800</v>
      </c>
      <c r="C439" s="9" t="s">
        <v>803</v>
      </c>
      <c r="D439" s="9" t="s">
        <v>799</v>
      </c>
      <c r="E439" s="9" t="s">
        <v>39</v>
      </c>
      <c r="F439" s="17">
        <v>0.1024</v>
      </c>
      <c r="G439" s="17"/>
      <c r="H439" s="17"/>
      <c r="I439" s="17"/>
      <c r="J439" s="17">
        <v>0.1024</v>
      </c>
      <c r="K439" s="9" t="s">
        <v>1343</v>
      </c>
      <c r="L439" s="9" t="s">
        <v>804</v>
      </c>
      <c r="M439" s="9">
        <v>2023</v>
      </c>
      <c r="N439" s="9" t="s">
        <v>578</v>
      </c>
      <c r="O439" s="10" t="s">
        <v>579</v>
      </c>
      <c r="P439" s="9" t="s">
        <v>580</v>
      </c>
      <c r="Q439" s="9" t="s">
        <v>264</v>
      </c>
      <c r="R439" s="9" t="s">
        <v>1344</v>
      </c>
      <c r="S439" s="9" t="s">
        <v>1776</v>
      </c>
    </row>
    <row r="440" spans="2:19" x14ac:dyDescent="0.35">
      <c r="B440" s="18" t="s">
        <v>258</v>
      </c>
      <c r="C440" s="9" t="s">
        <v>259</v>
      </c>
      <c r="D440" s="9" t="s">
        <v>799</v>
      </c>
      <c r="E440" s="9" t="s">
        <v>39</v>
      </c>
      <c r="F440" s="17">
        <v>0.60119999999999996</v>
      </c>
      <c r="G440" s="17">
        <v>0.59930000000000005</v>
      </c>
      <c r="H440" s="17">
        <v>2.0000000000000001E-4</v>
      </c>
      <c r="I440" s="17">
        <v>1.6999999999999999E-3</v>
      </c>
      <c r="J440" s="17">
        <v>0</v>
      </c>
      <c r="K440" s="9" t="s">
        <v>1343</v>
      </c>
      <c r="L440" s="9" t="s">
        <v>260</v>
      </c>
      <c r="M440" s="9">
        <v>2023</v>
      </c>
      <c r="N440" s="9" t="s">
        <v>380</v>
      </c>
      <c r="O440" s="10" t="s">
        <v>381</v>
      </c>
      <c r="P440" s="9" t="s">
        <v>382</v>
      </c>
      <c r="Q440" s="9" t="s">
        <v>264</v>
      </c>
      <c r="R440" s="9" t="s">
        <v>1344</v>
      </c>
      <c r="S440" s="9" t="s">
        <v>1777</v>
      </c>
    </row>
    <row r="441" spans="2:19" x14ac:dyDescent="0.35">
      <c r="B441" s="18" t="s">
        <v>258</v>
      </c>
      <c r="C441" s="9" t="s">
        <v>259</v>
      </c>
      <c r="D441" s="9" t="s">
        <v>799</v>
      </c>
      <c r="E441" s="9" t="s">
        <v>39</v>
      </c>
      <c r="F441" s="17">
        <v>0.64129999999999998</v>
      </c>
      <c r="G441" s="17">
        <v>0.63919999999999999</v>
      </c>
      <c r="H441" s="17">
        <v>2.9999999999999997E-4</v>
      </c>
      <c r="I441" s="17">
        <v>1.8E-3</v>
      </c>
      <c r="J441" s="17">
        <v>0</v>
      </c>
      <c r="K441" s="9" t="s">
        <v>1343</v>
      </c>
      <c r="L441" s="9" t="s">
        <v>260</v>
      </c>
      <c r="M441" s="9">
        <v>2022</v>
      </c>
      <c r="N441" s="9" t="s">
        <v>380</v>
      </c>
      <c r="O441" s="10" t="s">
        <v>381</v>
      </c>
      <c r="P441" s="9" t="s">
        <v>382</v>
      </c>
      <c r="Q441" s="9" t="s">
        <v>264</v>
      </c>
      <c r="R441" s="9" t="s">
        <v>1344</v>
      </c>
      <c r="S441" s="9" t="s">
        <v>1778</v>
      </c>
    </row>
    <row r="442" spans="2:19" x14ac:dyDescent="0.35">
      <c r="B442" s="18" t="s">
        <v>800</v>
      </c>
      <c r="C442" s="9" t="s">
        <v>801</v>
      </c>
      <c r="D442" s="9" t="s">
        <v>799</v>
      </c>
      <c r="E442" s="9" t="s">
        <v>39</v>
      </c>
      <c r="F442" s="17">
        <v>2.4899999999999999E-2</v>
      </c>
      <c r="G442" s="17"/>
      <c r="H442" s="17"/>
      <c r="I442" s="17"/>
      <c r="J442" s="17">
        <v>2.4899999999999999E-2</v>
      </c>
      <c r="K442" s="9" t="s">
        <v>1343</v>
      </c>
      <c r="L442" s="9" t="s">
        <v>802</v>
      </c>
      <c r="M442" s="9">
        <v>2023</v>
      </c>
      <c r="N442" s="9" t="s">
        <v>380</v>
      </c>
      <c r="O442" s="10" t="s">
        <v>381</v>
      </c>
      <c r="P442" s="9" t="s">
        <v>382</v>
      </c>
      <c r="Q442" s="9" t="s">
        <v>264</v>
      </c>
      <c r="R442" s="9" t="s">
        <v>1344</v>
      </c>
      <c r="S442" s="9" t="s">
        <v>1779</v>
      </c>
    </row>
    <row r="443" spans="2:19" x14ac:dyDescent="0.35">
      <c r="B443" s="18" t="s">
        <v>800</v>
      </c>
      <c r="C443" s="9" t="s">
        <v>801</v>
      </c>
      <c r="D443" s="9" t="s">
        <v>799</v>
      </c>
      <c r="E443" s="9" t="s">
        <v>39</v>
      </c>
      <c r="F443" s="17">
        <v>2.6800000000000001E-2</v>
      </c>
      <c r="G443" s="17"/>
      <c r="H443" s="17"/>
      <c r="I443" s="17"/>
      <c r="J443" s="17">
        <v>2.6800000000000001E-2</v>
      </c>
      <c r="K443" s="9" t="s">
        <v>1343</v>
      </c>
      <c r="L443" s="9" t="s">
        <v>802</v>
      </c>
      <c r="M443" s="9">
        <v>2022</v>
      </c>
      <c r="N443" s="9" t="s">
        <v>380</v>
      </c>
      <c r="O443" s="10" t="s">
        <v>381</v>
      </c>
      <c r="P443" s="9" t="s">
        <v>382</v>
      </c>
      <c r="Q443" s="9" t="s">
        <v>264</v>
      </c>
      <c r="R443" s="9" t="s">
        <v>1344</v>
      </c>
      <c r="S443" s="9" t="s">
        <v>1780</v>
      </c>
    </row>
    <row r="444" spans="2:19" x14ac:dyDescent="0.35">
      <c r="B444" s="18" t="s">
        <v>800</v>
      </c>
      <c r="C444" s="9" t="s">
        <v>803</v>
      </c>
      <c r="D444" s="9" t="s">
        <v>799</v>
      </c>
      <c r="E444" s="9" t="s">
        <v>39</v>
      </c>
      <c r="F444" s="17">
        <v>0.12939999999999999</v>
      </c>
      <c r="G444" s="17"/>
      <c r="H444" s="17"/>
      <c r="I444" s="17"/>
      <c r="J444" s="17">
        <v>0.12939999999999999</v>
      </c>
      <c r="K444" s="9" t="s">
        <v>1343</v>
      </c>
      <c r="L444" s="9" t="s">
        <v>804</v>
      </c>
      <c r="M444" s="9">
        <v>2023</v>
      </c>
      <c r="N444" s="9" t="s">
        <v>380</v>
      </c>
      <c r="O444" s="10" t="s">
        <v>381</v>
      </c>
      <c r="P444" s="9" t="s">
        <v>382</v>
      </c>
      <c r="Q444" s="9" t="s">
        <v>264</v>
      </c>
      <c r="R444" s="9" t="s">
        <v>1344</v>
      </c>
      <c r="S444" s="9" t="s">
        <v>1781</v>
      </c>
    </row>
    <row r="445" spans="2:19" x14ac:dyDescent="0.35">
      <c r="B445" s="18" t="s">
        <v>800</v>
      </c>
      <c r="C445" s="9" t="s">
        <v>803</v>
      </c>
      <c r="D445" s="9" t="s">
        <v>799</v>
      </c>
      <c r="E445" s="9" t="s">
        <v>39</v>
      </c>
      <c r="F445" s="17">
        <v>0.13450000000000001</v>
      </c>
      <c r="G445" s="17"/>
      <c r="H445" s="17"/>
      <c r="I445" s="17"/>
      <c r="J445" s="17">
        <v>0.13450000000000001</v>
      </c>
      <c r="K445" s="9" t="s">
        <v>1343</v>
      </c>
      <c r="L445" s="9" t="s">
        <v>804</v>
      </c>
      <c r="M445" s="9">
        <v>2022</v>
      </c>
      <c r="N445" s="9" t="s">
        <v>380</v>
      </c>
      <c r="O445" s="10" t="s">
        <v>381</v>
      </c>
      <c r="P445" s="9" t="s">
        <v>382</v>
      </c>
      <c r="Q445" s="9" t="s">
        <v>264</v>
      </c>
      <c r="R445" s="9" t="s">
        <v>1344</v>
      </c>
      <c r="S445" s="9" t="s">
        <v>1782</v>
      </c>
    </row>
    <row r="446" spans="2:19" x14ac:dyDescent="0.35">
      <c r="B446" s="18" t="s">
        <v>258</v>
      </c>
      <c r="C446" s="9" t="s">
        <v>259</v>
      </c>
      <c r="D446" s="9" t="s">
        <v>799</v>
      </c>
      <c r="E446" s="9" t="s">
        <v>39</v>
      </c>
      <c r="F446" s="17">
        <v>0.13919999999999999</v>
      </c>
      <c r="G446" s="17">
        <v>0.13850000000000001</v>
      </c>
      <c r="H446" s="17">
        <v>2.0000000000000001E-4</v>
      </c>
      <c r="I446" s="17">
        <v>5.0000000000000001E-4</v>
      </c>
      <c r="J446" s="17">
        <v>0</v>
      </c>
      <c r="K446" s="9" t="s">
        <v>1343</v>
      </c>
      <c r="L446" s="9" t="s">
        <v>260</v>
      </c>
      <c r="M446" s="9">
        <v>2024</v>
      </c>
      <c r="N446" s="9" t="s">
        <v>455</v>
      </c>
      <c r="O446" s="10" t="s">
        <v>456</v>
      </c>
      <c r="P446" s="9" t="s">
        <v>457</v>
      </c>
      <c r="Q446" s="9" t="s">
        <v>264</v>
      </c>
      <c r="R446" s="9" t="s">
        <v>1344</v>
      </c>
      <c r="S446" s="9" t="s">
        <v>1783</v>
      </c>
    </row>
    <row r="447" spans="2:19" x14ac:dyDescent="0.35">
      <c r="B447" s="18" t="s">
        <v>258</v>
      </c>
      <c r="C447" s="9" t="s">
        <v>259</v>
      </c>
      <c r="D447" s="9" t="s">
        <v>799</v>
      </c>
      <c r="E447" s="9" t="s">
        <v>39</v>
      </c>
      <c r="F447" s="17">
        <v>0.15359999999999999</v>
      </c>
      <c r="G447" s="17">
        <v>0.15290000000000001</v>
      </c>
      <c r="H447" s="17">
        <v>2.0000000000000001E-4</v>
      </c>
      <c r="I447" s="17">
        <v>5.0000000000000001E-4</v>
      </c>
      <c r="J447" s="17">
        <v>0</v>
      </c>
      <c r="K447" s="9" t="s">
        <v>1343</v>
      </c>
      <c r="L447" s="9" t="s">
        <v>260</v>
      </c>
      <c r="M447" s="9">
        <v>2023</v>
      </c>
      <c r="N447" s="9" t="s">
        <v>455</v>
      </c>
      <c r="O447" s="10" t="s">
        <v>456</v>
      </c>
      <c r="P447" s="9" t="s">
        <v>457</v>
      </c>
      <c r="Q447" s="9" t="s">
        <v>264</v>
      </c>
      <c r="R447" s="9" t="s">
        <v>1344</v>
      </c>
      <c r="S447" s="9" t="s">
        <v>1784</v>
      </c>
    </row>
    <row r="448" spans="2:19" x14ac:dyDescent="0.35">
      <c r="B448" s="18" t="s">
        <v>258</v>
      </c>
      <c r="C448" s="9" t="s">
        <v>259</v>
      </c>
      <c r="D448" s="9" t="s">
        <v>799</v>
      </c>
      <c r="E448" s="9" t="s">
        <v>39</v>
      </c>
      <c r="F448" s="17">
        <v>0.18579999999999999</v>
      </c>
      <c r="G448" s="17">
        <v>0.18479999999999999</v>
      </c>
      <c r="H448" s="17">
        <v>2.9999999999999997E-4</v>
      </c>
      <c r="I448" s="17">
        <v>6.9999999999999999E-4</v>
      </c>
      <c r="J448" s="17">
        <v>0</v>
      </c>
      <c r="K448" s="9" t="s">
        <v>1343</v>
      </c>
      <c r="L448" s="9" t="s">
        <v>260</v>
      </c>
      <c r="M448" s="9">
        <v>2022</v>
      </c>
      <c r="N448" s="9" t="s">
        <v>455</v>
      </c>
      <c r="O448" s="10" t="s">
        <v>456</v>
      </c>
      <c r="P448" s="9" t="s">
        <v>457</v>
      </c>
      <c r="Q448" s="9" t="s">
        <v>264</v>
      </c>
      <c r="R448" s="9" t="s">
        <v>1344</v>
      </c>
      <c r="S448" s="9" t="s">
        <v>1785</v>
      </c>
    </row>
    <row r="449" spans="2:19" x14ac:dyDescent="0.35">
      <c r="B449" s="18" t="s">
        <v>800</v>
      </c>
      <c r="C449" s="9" t="s">
        <v>801</v>
      </c>
      <c r="D449" s="9" t="s">
        <v>799</v>
      </c>
      <c r="E449" s="9" t="s">
        <v>39</v>
      </c>
      <c r="F449" s="17">
        <v>8.9999999999999993E-3</v>
      </c>
      <c r="G449" s="17"/>
      <c r="H449" s="17"/>
      <c r="I449" s="17"/>
      <c r="J449" s="17">
        <v>8.9999999999999993E-3</v>
      </c>
      <c r="K449" s="9" t="s">
        <v>1343</v>
      </c>
      <c r="L449" s="9" t="s">
        <v>802</v>
      </c>
      <c r="M449" s="9">
        <v>2023</v>
      </c>
      <c r="N449" s="9" t="s">
        <v>455</v>
      </c>
      <c r="O449" s="10" t="s">
        <v>456</v>
      </c>
      <c r="P449" s="9" t="s">
        <v>457</v>
      </c>
      <c r="Q449" s="9" t="s">
        <v>264</v>
      </c>
      <c r="R449" s="9" t="s">
        <v>1344</v>
      </c>
      <c r="S449" s="9" t="s">
        <v>1786</v>
      </c>
    </row>
    <row r="450" spans="2:19" x14ac:dyDescent="0.35">
      <c r="B450" s="18" t="s">
        <v>800</v>
      </c>
      <c r="C450" s="9" t="s">
        <v>801</v>
      </c>
      <c r="D450" s="9" t="s">
        <v>799</v>
      </c>
      <c r="E450" s="9" t="s">
        <v>39</v>
      </c>
      <c r="F450" s="17">
        <v>1.1599999999999999E-2</v>
      </c>
      <c r="G450" s="17"/>
      <c r="H450" s="17"/>
      <c r="I450" s="17"/>
      <c r="J450" s="17">
        <v>1.1599999999999999E-2</v>
      </c>
      <c r="K450" s="9" t="s">
        <v>1343</v>
      </c>
      <c r="L450" s="9" t="s">
        <v>802</v>
      </c>
      <c r="M450" s="9">
        <v>2022</v>
      </c>
      <c r="N450" s="9" t="s">
        <v>455</v>
      </c>
      <c r="O450" s="10" t="s">
        <v>456</v>
      </c>
      <c r="P450" s="9" t="s">
        <v>457</v>
      </c>
      <c r="Q450" s="9" t="s">
        <v>264</v>
      </c>
      <c r="R450" s="9" t="s">
        <v>1344</v>
      </c>
      <c r="S450" s="9" t="s">
        <v>1787</v>
      </c>
    </row>
    <row r="451" spans="2:19" x14ac:dyDescent="0.35">
      <c r="B451" s="18" t="s">
        <v>800</v>
      </c>
      <c r="C451" s="9" t="s">
        <v>803</v>
      </c>
      <c r="D451" s="9" t="s">
        <v>799</v>
      </c>
      <c r="E451" s="9" t="s">
        <v>39</v>
      </c>
      <c r="F451" s="17">
        <v>4.0300000000000002E-2</v>
      </c>
      <c r="G451" s="17"/>
      <c r="H451" s="17"/>
      <c r="I451" s="17"/>
      <c r="J451" s="17">
        <v>4.0300000000000002E-2</v>
      </c>
      <c r="K451" s="9" t="s">
        <v>1343</v>
      </c>
      <c r="L451" s="9" t="s">
        <v>804</v>
      </c>
      <c r="M451" s="9">
        <v>2024</v>
      </c>
      <c r="N451" s="9" t="s">
        <v>455</v>
      </c>
      <c r="O451" s="10" t="s">
        <v>456</v>
      </c>
      <c r="P451" s="9" t="s">
        <v>457</v>
      </c>
      <c r="Q451" s="9" t="s">
        <v>264</v>
      </c>
      <c r="R451" s="9" t="s">
        <v>1344</v>
      </c>
      <c r="S451" s="9" t="s">
        <v>1788</v>
      </c>
    </row>
    <row r="452" spans="2:19" x14ac:dyDescent="0.35">
      <c r="B452" s="18" t="s">
        <v>800</v>
      </c>
      <c r="C452" s="9" t="s">
        <v>803</v>
      </c>
      <c r="D452" s="9" t="s">
        <v>799</v>
      </c>
      <c r="E452" s="9" t="s">
        <v>39</v>
      </c>
      <c r="F452" s="17">
        <v>4.1200000000000001E-2</v>
      </c>
      <c r="G452" s="17"/>
      <c r="H452" s="17"/>
      <c r="I452" s="17"/>
      <c r="J452" s="17">
        <v>4.1200000000000001E-2</v>
      </c>
      <c r="K452" s="9" t="s">
        <v>1343</v>
      </c>
      <c r="L452" s="9" t="s">
        <v>804</v>
      </c>
      <c r="M452" s="9">
        <v>2023</v>
      </c>
      <c r="N452" s="9" t="s">
        <v>455</v>
      </c>
      <c r="O452" s="10" t="s">
        <v>456</v>
      </c>
      <c r="P452" s="9" t="s">
        <v>457</v>
      </c>
      <c r="Q452" s="9" t="s">
        <v>264</v>
      </c>
      <c r="R452" s="9" t="s">
        <v>1344</v>
      </c>
      <c r="S452" s="9" t="s">
        <v>1789</v>
      </c>
    </row>
    <row r="453" spans="2:19" x14ac:dyDescent="0.35">
      <c r="B453" s="18" t="s">
        <v>800</v>
      </c>
      <c r="C453" s="9" t="s">
        <v>803</v>
      </c>
      <c r="D453" s="9" t="s">
        <v>799</v>
      </c>
      <c r="E453" s="9" t="s">
        <v>39</v>
      </c>
      <c r="F453" s="17">
        <v>4.53E-2</v>
      </c>
      <c r="G453" s="17"/>
      <c r="H453" s="17"/>
      <c r="I453" s="17"/>
      <c r="J453" s="17">
        <v>4.53E-2</v>
      </c>
      <c r="K453" s="9" t="s">
        <v>1343</v>
      </c>
      <c r="L453" s="9" t="s">
        <v>804</v>
      </c>
      <c r="M453" s="9">
        <v>2022</v>
      </c>
      <c r="N453" s="9" t="s">
        <v>455</v>
      </c>
      <c r="O453" s="10" t="s">
        <v>456</v>
      </c>
      <c r="P453" s="9" t="s">
        <v>457</v>
      </c>
      <c r="Q453" s="9" t="s">
        <v>264</v>
      </c>
      <c r="R453" s="9" t="s">
        <v>1344</v>
      </c>
      <c r="S453" s="9" t="s">
        <v>1790</v>
      </c>
    </row>
    <row r="454" spans="2:19" x14ac:dyDescent="0.35">
      <c r="B454" s="18" t="s">
        <v>258</v>
      </c>
      <c r="C454" s="9" t="s">
        <v>259</v>
      </c>
      <c r="D454" s="9" t="s">
        <v>799</v>
      </c>
      <c r="E454" s="9" t="s">
        <v>39</v>
      </c>
      <c r="F454" s="17">
        <v>1E-4</v>
      </c>
      <c r="G454" s="17">
        <v>1E-4</v>
      </c>
      <c r="H454" s="17"/>
      <c r="I454" s="17"/>
      <c r="J454" s="17">
        <v>0</v>
      </c>
      <c r="K454" s="9" t="s">
        <v>1343</v>
      </c>
      <c r="L454" s="9" t="s">
        <v>260</v>
      </c>
      <c r="M454" s="9">
        <v>2022</v>
      </c>
      <c r="N454" s="9" t="s">
        <v>790</v>
      </c>
      <c r="O454" s="10" t="s">
        <v>791</v>
      </c>
      <c r="P454" s="9" t="s">
        <v>792</v>
      </c>
      <c r="Q454" s="9" t="s">
        <v>264</v>
      </c>
      <c r="R454" s="9" t="s">
        <v>1344</v>
      </c>
      <c r="S454" s="9" t="s">
        <v>1791</v>
      </c>
    </row>
    <row r="455" spans="2:19" x14ac:dyDescent="0.35">
      <c r="B455" s="18" t="s">
        <v>258</v>
      </c>
      <c r="C455" s="9" t="s">
        <v>259</v>
      </c>
      <c r="D455" s="9" t="s">
        <v>799</v>
      </c>
      <c r="E455" s="9" t="s">
        <v>39</v>
      </c>
      <c r="F455" s="17">
        <v>2.9999999999999997E-4</v>
      </c>
      <c r="G455" s="17">
        <v>2.9999999999999997E-4</v>
      </c>
      <c r="H455" s="17"/>
      <c r="I455" s="17"/>
      <c r="J455" s="17">
        <v>0</v>
      </c>
      <c r="K455" s="9" t="s">
        <v>1343</v>
      </c>
      <c r="L455" s="9" t="s">
        <v>260</v>
      </c>
      <c r="M455" s="9">
        <v>2023</v>
      </c>
      <c r="N455" s="9" t="s">
        <v>790</v>
      </c>
      <c r="O455" s="10" t="s">
        <v>791</v>
      </c>
      <c r="P455" s="9" t="s">
        <v>792</v>
      </c>
      <c r="Q455" s="9" t="s">
        <v>264</v>
      </c>
      <c r="R455" s="9" t="s">
        <v>1344</v>
      </c>
      <c r="S455" s="9" t="s">
        <v>1792</v>
      </c>
    </row>
    <row r="456" spans="2:19" x14ac:dyDescent="0.35">
      <c r="B456" s="18" t="s">
        <v>258</v>
      </c>
      <c r="C456" s="9" t="s">
        <v>259</v>
      </c>
      <c r="D456" s="9" t="s">
        <v>799</v>
      </c>
      <c r="E456" s="9" t="s">
        <v>39</v>
      </c>
      <c r="F456" s="17">
        <v>2.9999999999999997E-4</v>
      </c>
      <c r="G456" s="17">
        <v>2.9999999999999997E-4</v>
      </c>
      <c r="H456" s="17"/>
      <c r="I456" s="17"/>
      <c r="J456" s="17">
        <v>0</v>
      </c>
      <c r="K456" s="9" t="s">
        <v>1343</v>
      </c>
      <c r="L456" s="9" t="s">
        <v>260</v>
      </c>
      <c r="M456" s="9">
        <v>2024</v>
      </c>
      <c r="N456" s="9" t="s">
        <v>790</v>
      </c>
      <c r="O456" s="10" t="s">
        <v>791</v>
      </c>
      <c r="P456" s="9" t="s">
        <v>792</v>
      </c>
      <c r="Q456" s="9" t="s">
        <v>264</v>
      </c>
      <c r="R456" s="9" t="s">
        <v>1344</v>
      </c>
      <c r="S456" s="9" t="s">
        <v>1793</v>
      </c>
    </row>
    <row r="457" spans="2:19" x14ac:dyDescent="0.35">
      <c r="B457" s="18" t="s">
        <v>800</v>
      </c>
      <c r="C457" s="9" t="s">
        <v>801</v>
      </c>
      <c r="D457" s="9" t="s">
        <v>799</v>
      </c>
      <c r="E457" s="9" t="s">
        <v>39</v>
      </c>
      <c r="F457" s="17">
        <v>4.0000000000000002E-4</v>
      </c>
      <c r="G457" s="17"/>
      <c r="H457" s="17"/>
      <c r="I457" s="17"/>
      <c r="J457" s="17">
        <v>4.0000000000000002E-4</v>
      </c>
      <c r="K457" s="9" t="s">
        <v>1343</v>
      </c>
      <c r="L457" s="9" t="s">
        <v>802</v>
      </c>
      <c r="M457" s="9">
        <v>2022</v>
      </c>
      <c r="N457" s="9" t="s">
        <v>790</v>
      </c>
      <c r="O457" s="10" t="s">
        <v>791</v>
      </c>
      <c r="P457" s="9" t="s">
        <v>792</v>
      </c>
      <c r="Q457" s="9" t="s">
        <v>264</v>
      </c>
      <c r="R457" s="9" t="s">
        <v>1344</v>
      </c>
      <c r="S457" s="9" t="s">
        <v>1794</v>
      </c>
    </row>
    <row r="458" spans="2:19" x14ac:dyDescent="0.35">
      <c r="B458" s="18" t="s">
        <v>800</v>
      </c>
      <c r="C458" s="9" t="s">
        <v>801</v>
      </c>
      <c r="D458" s="9" t="s">
        <v>799</v>
      </c>
      <c r="E458" s="9" t="s">
        <v>39</v>
      </c>
      <c r="F458" s="17">
        <v>4.0000000000000002E-4</v>
      </c>
      <c r="G458" s="17"/>
      <c r="H458" s="17"/>
      <c r="I458" s="17"/>
      <c r="J458" s="17">
        <v>4.0000000000000002E-4</v>
      </c>
      <c r="K458" s="9" t="s">
        <v>1343</v>
      </c>
      <c r="L458" s="9" t="s">
        <v>802</v>
      </c>
      <c r="M458" s="9">
        <v>2023</v>
      </c>
      <c r="N458" s="9" t="s">
        <v>790</v>
      </c>
      <c r="O458" s="10" t="s">
        <v>791</v>
      </c>
      <c r="P458" s="9" t="s">
        <v>792</v>
      </c>
      <c r="Q458" s="9" t="s">
        <v>264</v>
      </c>
      <c r="R458" s="9" t="s">
        <v>1344</v>
      </c>
      <c r="S458" s="9" t="s">
        <v>1795</v>
      </c>
    </row>
    <row r="459" spans="2:19" x14ac:dyDescent="0.35">
      <c r="B459" s="18" t="s">
        <v>800</v>
      </c>
      <c r="C459" s="9" t="s">
        <v>803</v>
      </c>
      <c r="D459" s="9" t="s">
        <v>799</v>
      </c>
      <c r="E459" s="9" t="s">
        <v>39</v>
      </c>
      <c r="F459" s="17">
        <v>1.37E-2</v>
      </c>
      <c r="G459" s="17"/>
      <c r="H459" s="17"/>
      <c r="I459" s="17"/>
      <c r="J459" s="17">
        <v>1.37E-2</v>
      </c>
      <c r="K459" s="9" t="s">
        <v>1343</v>
      </c>
      <c r="L459" s="9" t="s">
        <v>804</v>
      </c>
      <c r="M459" s="9">
        <v>2022</v>
      </c>
      <c r="N459" s="9" t="s">
        <v>790</v>
      </c>
      <c r="O459" s="10" t="s">
        <v>791</v>
      </c>
      <c r="P459" s="9" t="s">
        <v>792</v>
      </c>
      <c r="Q459" s="9" t="s">
        <v>264</v>
      </c>
      <c r="R459" s="9" t="s">
        <v>1344</v>
      </c>
      <c r="S459" s="9" t="s">
        <v>1796</v>
      </c>
    </row>
    <row r="460" spans="2:19" x14ac:dyDescent="0.35">
      <c r="B460" s="18" t="s">
        <v>800</v>
      </c>
      <c r="C460" s="9" t="s">
        <v>803</v>
      </c>
      <c r="D460" s="9" t="s">
        <v>799</v>
      </c>
      <c r="E460" s="9" t="s">
        <v>39</v>
      </c>
      <c r="F460" s="17">
        <v>1.38E-2</v>
      </c>
      <c r="G460" s="17"/>
      <c r="H460" s="17"/>
      <c r="I460" s="17"/>
      <c r="J460" s="17">
        <v>1.38E-2</v>
      </c>
      <c r="K460" s="9" t="s">
        <v>1343</v>
      </c>
      <c r="L460" s="9" t="s">
        <v>804</v>
      </c>
      <c r="M460" s="9">
        <v>2023</v>
      </c>
      <c r="N460" s="9" t="s">
        <v>790</v>
      </c>
      <c r="O460" s="10" t="s">
        <v>791</v>
      </c>
      <c r="P460" s="9" t="s">
        <v>792</v>
      </c>
      <c r="Q460" s="9" t="s">
        <v>264</v>
      </c>
      <c r="R460" s="9" t="s">
        <v>1344</v>
      </c>
      <c r="S460" s="9" t="s">
        <v>1797</v>
      </c>
    </row>
    <row r="461" spans="2:19" x14ac:dyDescent="0.35">
      <c r="B461" s="18" t="s">
        <v>800</v>
      </c>
      <c r="C461" s="9" t="s">
        <v>803</v>
      </c>
      <c r="D461" s="9" t="s">
        <v>799</v>
      </c>
      <c r="E461" s="9" t="s">
        <v>39</v>
      </c>
      <c r="F461" s="17">
        <v>1.4500000000000001E-2</v>
      </c>
      <c r="G461" s="17"/>
      <c r="H461" s="17"/>
      <c r="I461" s="17"/>
      <c r="J461" s="17">
        <v>1.4500000000000001E-2</v>
      </c>
      <c r="K461" s="9" t="s">
        <v>1343</v>
      </c>
      <c r="L461" s="9" t="s">
        <v>804</v>
      </c>
      <c r="M461" s="9">
        <v>2024</v>
      </c>
      <c r="N461" s="9" t="s">
        <v>790</v>
      </c>
      <c r="O461" s="10" t="s">
        <v>791</v>
      </c>
      <c r="P461" s="9" t="s">
        <v>792</v>
      </c>
      <c r="Q461" s="9" t="s">
        <v>264</v>
      </c>
      <c r="R461" s="9" t="s">
        <v>1344</v>
      </c>
      <c r="S461" s="9" t="s">
        <v>1798</v>
      </c>
    </row>
    <row r="462" spans="2:19" x14ac:dyDescent="0.35">
      <c r="B462" s="18" t="s">
        <v>258</v>
      </c>
      <c r="C462" s="9" t="s">
        <v>259</v>
      </c>
      <c r="D462" s="9" t="s">
        <v>799</v>
      </c>
      <c r="E462" s="9" t="s">
        <v>39</v>
      </c>
      <c r="F462" s="17">
        <v>0.45950000000000002</v>
      </c>
      <c r="G462" s="17">
        <v>0.45729999999999998</v>
      </c>
      <c r="H462" s="17">
        <v>4.0000000000000002E-4</v>
      </c>
      <c r="I462" s="17">
        <v>1.8E-3</v>
      </c>
      <c r="J462" s="17">
        <v>0</v>
      </c>
      <c r="K462" s="9" t="s">
        <v>1343</v>
      </c>
      <c r="L462" s="9" t="s">
        <v>260</v>
      </c>
      <c r="M462" s="9">
        <v>2023</v>
      </c>
      <c r="N462" s="9" t="s">
        <v>479</v>
      </c>
      <c r="O462" s="10" t="s">
        <v>479</v>
      </c>
      <c r="P462" s="9" t="s">
        <v>480</v>
      </c>
      <c r="Q462" s="9" t="s">
        <v>264</v>
      </c>
      <c r="R462" s="9" t="s">
        <v>1344</v>
      </c>
      <c r="S462" s="9" t="s">
        <v>1799</v>
      </c>
    </row>
    <row r="463" spans="2:19" x14ac:dyDescent="0.35">
      <c r="B463" s="18" t="s">
        <v>258</v>
      </c>
      <c r="C463" s="9" t="s">
        <v>259</v>
      </c>
      <c r="D463" s="9" t="s">
        <v>799</v>
      </c>
      <c r="E463" s="9" t="s">
        <v>39</v>
      </c>
      <c r="F463" s="17">
        <v>0.46450000000000002</v>
      </c>
      <c r="G463" s="17">
        <v>0.46229999999999999</v>
      </c>
      <c r="H463" s="17">
        <v>4.0000000000000002E-4</v>
      </c>
      <c r="I463" s="17">
        <v>1.8E-3</v>
      </c>
      <c r="J463" s="17">
        <v>0</v>
      </c>
      <c r="K463" s="9" t="s">
        <v>1343</v>
      </c>
      <c r="L463" s="9" t="s">
        <v>260</v>
      </c>
      <c r="M463" s="9">
        <v>2022</v>
      </c>
      <c r="N463" s="9" t="s">
        <v>479</v>
      </c>
      <c r="O463" s="10" t="s">
        <v>479</v>
      </c>
      <c r="P463" s="9" t="s">
        <v>480</v>
      </c>
      <c r="Q463" s="9" t="s">
        <v>264</v>
      </c>
      <c r="R463" s="9" t="s">
        <v>1344</v>
      </c>
      <c r="S463" s="9" t="s">
        <v>1800</v>
      </c>
    </row>
    <row r="464" spans="2:19" x14ac:dyDescent="0.35">
      <c r="B464" s="18" t="s">
        <v>258</v>
      </c>
      <c r="C464" s="9" t="s">
        <v>259</v>
      </c>
      <c r="D464" s="9" t="s">
        <v>799</v>
      </c>
      <c r="E464" s="9" t="s">
        <v>39</v>
      </c>
      <c r="F464" s="17">
        <v>0.29330000000000001</v>
      </c>
      <c r="G464" s="17">
        <v>0.29210000000000003</v>
      </c>
      <c r="H464" s="17">
        <v>2.9999999999999997E-4</v>
      </c>
      <c r="I464" s="17">
        <v>8.9999999999999998E-4</v>
      </c>
      <c r="J464" s="17">
        <v>0</v>
      </c>
      <c r="K464" s="9" t="s">
        <v>1343</v>
      </c>
      <c r="L464" s="9" t="s">
        <v>260</v>
      </c>
      <c r="M464" s="9">
        <v>2024</v>
      </c>
      <c r="N464" s="9" t="s">
        <v>385</v>
      </c>
      <c r="O464" s="10" t="s">
        <v>385</v>
      </c>
      <c r="P464" s="9" t="s">
        <v>386</v>
      </c>
      <c r="Q464" s="9" t="s">
        <v>264</v>
      </c>
      <c r="R464" s="9" t="s">
        <v>1344</v>
      </c>
      <c r="S464" s="9" t="s">
        <v>1801</v>
      </c>
    </row>
    <row r="465" spans="2:19" x14ac:dyDescent="0.35">
      <c r="B465" s="18" t="s">
        <v>258</v>
      </c>
      <c r="C465" s="9" t="s">
        <v>259</v>
      </c>
      <c r="D465" s="9" t="s">
        <v>799</v>
      </c>
      <c r="E465" s="9" t="s">
        <v>39</v>
      </c>
      <c r="F465" s="17">
        <v>0.3049</v>
      </c>
      <c r="G465" s="17">
        <v>0.30370000000000003</v>
      </c>
      <c r="H465" s="17">
        <v>2.9999999999999997E-4</v>
      </c>
      <c r="I465" s="17">
        <v>8.9999999999999998E-4</v>
      </c>
      <c r="J465" s="17">
        <v>0</v>
      </c>
      <c r="K465" s="9" t="s">
        <v>1343</v>
      </c>
      <c r="L465" s="9" t="s">
        <v>260</v>
      </c>
      <c r="M465" s="9">
        <v>2023</v>
      </c>
      <c r="N465" s="9" t="s">
        <v>385</v>
      </c>
      <c r="O465" s="10" t="s">
        <v>385</v>
      </c>
      <c r="P465" s="9" t="s">
        <v>386</v>
      </c>
      <c r="Q465" s="9" t="s">
        <v>264</v>
      </c>
      <c r="R465" s="9" t="s">
        <v>1344</v>
      </c>
      <c r="S465" s="9" t="s">
        <v>1802</v>
      </c>
    </row>
    <row r="466" spans="2:19" x14ac:dyDescent="0.35">
      <c r="B466" s="18" t="s">
        <v>258</v>
      </c>
      <c r="C466" s="9" t="s">
        <v>259</v>
      </c>
      <c r="D466" s="9" t="s">
        <v>799</v>
      </c>
      <c r="E466" s="9" t="s">
        <v>39</v>
      </c>
      <c r="F466" s="17">
        <v>0.32740000000000002</v>
      </c>
      <c r="G466" s="17">
        <v>0.3261</v>
      </c>
      <c r="H466" s="17">
        <v>2.9999999999999997E-4</v>
      </c>
      <c r="I466" s="17">
        <v>1E-3</v>
      </c>
      <c r="J466" s="17">
        <v>0</v>
      </c>
      <c r="K466" s="9" t="s">
        <v>1343</v>
      </c>
      <c r="L466" s="9" t="s">
        <v>260</v>
      </c>
      <c r="M466" s="9">
        <v>2022</v>
      </c>
      <c r="N466" s="9" t="s">
        <v>385</v>
      </c>
      <c r="O466" s="10" t="s">
        <v>385</v>
      </c>
      <c r="P466" s="9" t="s">
        <v>386</v>
      </c>
      <c r="Q466" s="9" t="s">
        <v>264</v>
      </c>
      <c r="R466" s="9" t="s">
        <v>1344</v>
      </c>
      <c r="S466" s="9" t="s">
        <v>1803</v>
      </c>
    </row>
    <row r="467" spans="2:19" x14ac:dyDescent="0.35">
      <c r="B467" s="18" t="s">
        <v>258</v>
      </c>
      <c r="C467" s="9" t="s">
        <v>259</v>
      </c>
      <c r="D467" s="9" t="s">
        <v>799</v>
      </c>
      <c r="E467" s="9" t="s">
        <v>39</v>
      </c>
      <c r="F467" s="17">
        <v>0.73309999999999997</v>
      </c>
      <c r="G467" s="17">
        <v>0.72970000000000002</v>
      </c>
      <c r="H467" s="17">
        <v>2.9999999999999997E-4</v>
      </c>
      <c r="I467" s="17">
        <v>3.0999999999999999E-3</v>
      </c>
      <c r="J467" s="17">
        <v>0</v>
      </c>
      <c r="K467" s="9" t="s">
        <v>1343</v>
      </c>
      <c r="L467" s="9" t="s">
        <v>260</v>
      </c>
      <c r="M467" s="9">
        <v>2022</v>
      </c>
      <c r="N467" s="9" t="s">
        <v>589</v>
      </c>
      <c r="O467" s="10" t="s">
        <v>590</v>
      </c>
      <c r="P467" s="9" t="s">
        <v>591</v>
      </c>
      <c r="Q467" s="9" t="s">
        <v>264</v>
      </c>
      <c r="R467" s="9" t="s">
        <v>1344</v>
      </c>
      <c r="S467" s="9" t="s">
        <v>1804</v>
      </c>
    </row>
    <row r="468" spans="2:19" x14ac:dyDescent="0.35">
      <c r="B468" s="18" t="s">
        <v>258</v>
      </c>
      <c r="C468" s="9" t="s">
        <v>259</v>
      </c>
      <c r="D468" s="9" t="s">
        <v>799</v>
      </c>
      <c r="E468" s="9" t="s">
        <v>39</v>
      </c>
      <c r="F468" s="17">
        <v>0.7349</v>
      </c>
      <c r="G468" s="17">
        <v>0.73140000000000005</v>
      </c>
      <c r="H468" s="17">
        <v>2.9999999999999997E-4</v>
      </c>
      <c r="I468" s="17">
        <v>3.2000000000000002E-3</v>
      </c>
      <c r="J468" s="17">
        <v>0</v>
      </c>
      <c r="K468" s="9" t="s">
        <v>1343</v>
      </c>
      <c r="L468" s="9" t="s">
        <v>260</v>
      </c>
      <c r="M468" s="9">
        <v>2024</v>
      </c>
      <c r="N468" s="9" t="s">
        <v>589</v>
      </c>
      <c r="O468" s="10" t="s">
        <v>590</v>
      </c>
      <c r="P468" s="9" t="s">
        <v>591</v>
      </c>
      <c r="Q468" s="9" t="s">
        <v>264</v>
      </c>
      <c r="R468" s="9" t="s">
        <v>1344</v>
      </c>
      <c r="S468" s="9" t="s">
        <v>1805</v>
      </c>
    </row>
    <row r="469" spans="2:19" x14ac:dyDescent="0.35">
      <c r="B469" s="18" t="s">
        <v>258</v>
      </c>
      <c r="C469" s="9" t="s">
        <v>259</v>
      </c>
      <c r="D469" s="9" t="s">
        <v>799</v>
      </c>
      <c r="E469" s="9" t="s">
        <v>39</v>
      </c>
      <c r="F469" s="17">
        <v>0.75080000000000002</v>
      </c>
      <c r="G469" s="17">
        <v>0.74729999999999996</v>
      </c>
      <c r="H469" s="17">
        <v>2.9999999999999997E-4</v>
      </c>
      <c r="I469" s="17">
        <v>3.2000000000000002E-3</v>
      </c>
      <c r="J469" s="17">
        <v>0</v>
      </c>
      <c r="K469" s="9" t="s">
        <v>1343</v>
      </c>
      <c r="L469" s="9" t="s">
        <v>260</v>
      </c>
      <c r="M469" s="9">
        <v>2023</v>
      </c>
      <c r="N469" s="9" t="s">
        <v>589</v>
      </c>
      <c r="O469" s="10" t="s">
        <v>590</v>
      </c>
      <c r="P469" s="9" t="s">
        <v>591</v>
      </c>
      <c r="Q469" s="9" t="s">
        <v>264</v>
      </c>
      <c r="R469" s="9" t="s">
        <v>1344</v>
      </c>
      <c r="S469" s="9" t="s">
        <v>1806</v>
      </c>
    </row>
    <row r="470" spans="2:19" x14ac:dyDescent="0.35">
      <c r="B470" s="18" t="s">
        <v>800</v>
      </c>
      <c r="C470" s="9" t="s">
        <v>801</v>
      </c>
      <c r="D470" s="9" t="s">
        <v>799</v>
      </c>
      <c r="E470" s="9" t="s">
        <v>39</v>
      </c>
      <c r="F470" s="17">
        <v>0.1346</v>
      </c>
      <c r="G470" s="17"/>
      <c r="H470" s="17"/>
      <c r="I470" s="17"/>
      <c r="J470" s="17">
        <v>0.1346</v>
      </c>
      <c r="K470" s="9" t="s">
        <v>1343</v>
      </c>
      <c r="L470" s="9" t="s">
        <v>802</v>
      </c>
      <c r="M470" s="9">
        <v>2023</v>
      </c>
      <c r="N470" s="9" t="s">
        <v>589</v>
      </c>
      <c r="O470" s="10" t="s">
        <v>590</v>
      </c>
      <c r="P470" s="9" t="s">
        <v>591</v>
      </c>
      <c r="Q470" s="9" t="s">
        <v>264</v>
      </c>
      <c r="R470" s="9" t="s">
        <v>1344</v>
      </c>
      <c r="S470" s="9" t="s">
        <v>1807</v>
      </c>
    </row>
    <row r="471" spans="2:19" x14ac:dyDescent="0.35">
      <c r="B471" s="18" t="s">
        <v>800</v>
      </c>
      <c r="C471" s="9" t="s">
        <v>801</v>
      </c>
      <c r="D471" s="9" t="s">
        <v>799</v>
      </c>
      <c r="E471" s="9" t="s">
        <v>39</v>
      </c>
      <c r="F471" s="17">
        <v>0.13880000000000001</v>
      </c>
      <c r="G471" s="17"/>
      <c r="H471" s="17"/>
      <c r="I471" s="17"/>
      <c r="J471" s="17">
        <v>0.13880000000000001</v>
      </c>
      <c r="K471" s="9" t="s">
        <v>1343</v>
      </c>
      <c r="L471" s="9" t="s">
        <v>802</v>
      </c>
      <c r="M471" s="9">
        <v>2022</v>
      </c>
      <c r="N471" s="9" t="s">
        <v>589</v>
      </c>
      <c r="O471" s="10" t="s">
        <v>590</v>
      </c>
      <c r="P471" s="9" t="s">
        <v>591</v>
      </c>
      <c r="Q471" s="9" t="s">
        <v>264</v>
      </c>
      <c r="R471" s="9" t="s">
        <v>1344</v>
      </c>
      <c r="S471" s="9" t="s">
        <v>1808</v>
      </c>
    </row>
    <row r="472" spans="2:19" x14ac:dyDescent="0.35">
      <c r="B472" s="18" t="s">
        <v>800</v>
      </c>
      <c r="C472" s="9" t="s">
        <v>803</v>
      </c>
      <c r="D472" s="9" t="s">
        <v>799</v>
      </c>
      <c r="E472" s="9" t="s">
        <v>39</v>
      </c>
      <c r="F472" s="17">
        <v>0.12839999999999999</v>
      </c>
      <c r="G472" s="17"/>
      <c r="H472" s="17"/>
      <c r="I472" s="17"/>
      <c r="J472" s="17">
        <v>0.12839999999999999</v>
      </c>
      <c r="K472" s="9" t="s">
        <v>1343</v>
      </c>
      <c r="L472" s="9" t="s">
        <v>804</v>
      </c>
      <c r="M472" s="9">
        <v>2022</v>
      </c>
      <c r="N472" s="9" t="s">
        <v>589</v>
      </c>
      <c r="O472" s="10" t="s">
        <v>590</v>
      </c>
      <c r="P472" s="9" t="s">
        <v>591</v>
      </c>
      <c r="Q472" s="9" t="s">
        <v>264</v>
      </c>
      <c r="R472" s="9" t="s">
        <v>1344</v>
      </c>
      <c r="S472" s="9" t="s">
        <v>1809</v>
      </c>
    </row>
    <row r="473" spans="2:19" x14ac:dyDescent="0.35">
      <c r="B473" s="18" t="s">
        <v>800</v>
      </c>
      <c r="C473" s="9" t="s">
        <v>803</v>
      </c>
      <c r="D473" s="9" t="s">
        <v>799</v>
      </c>
      <c r="E473" s="9" t="s">
        <v>39</v>
      </c>
      <c r="F473" s="17">
        <v>0.1293</v>
      </c>
      <c r="G473" s="17"/>
      <c r="H473" s="17"/>
      <c r="I473" s="17"/>
      <c r="J473" s="17">
        <v>0.1293</v>
      </c>
      <c r="K473" s="9" t="s">
        <v>1343</v>
      </c>
      <c r="L473" s="9" t="s">
        <v>804</v>
      </c>
      <c r="M473" s="9">
        <v>2024</v>
      </c>
      <c r="N473" s="9" t="s">
        <v>589</v>
      </c>
      <c r="O473" s="10" t="s">
        <v>590</v>
      </c>
      <c r="P473" s="9" t="s">
        <v>591</v>
      </c>
      <c r="Q473" s="9" t="s">
        <v>264</v>
      </c>
      <c r="R473" s="9" t="s">
        <v>1344</v>
      </c>
      <c r="S473" s="9" t="s">
        <v>1810</v>
      </c>
    </row>
    <row r="474" spans="2:19" x14ac:dyDescent="0.35">
      <c r="B474" s="18" t="s">
        <v>800</v>
      </c>
      <c r="C474" s="9" t="s">
        <v>803</v>
      </c>
      <c r="D474" s="9" t="s">
        <v>799</v>
      </c>
      <c r="E474" s="9" t="s">
        <v>39</v>
      </c>
      <c r="F474" s="17">
        <v>0.13150000000000001</v>
      </c>
      <c r="G474" s="17"/>
      <c r="H474" s="17"/>
      <c r="I474" s="17"/>
      <c r="J474" s="17">
        <v>0.13150000000000001</v>
      </c>
      <c r="K474" s="9" t="s">
        <v>1343</v>
      </c>
      <c r="L474" s="9" t="s">
        <v>804</v>
      </c>
      <c r="M474" s="9">
        <v>2023</v>
      </c>
      <c r="N474" s="9" t="s">
        <v>589</v>
      </c>
      <c r="O474" s="10" t="s">
        <v>590</v>
      </c>
      <c r="P474" s="9" t="s">
        <v>591</v>
      </c>
      <c r="Q474" s="9" t="s">
        <v>264</v>
      </c>
      <c r="R474" s="9" t="s">
        <v>1344</v>
      </c>
      <c r="S474" s="9" t="s">
        <v>1811</v>
      </c>
    </row>
    <row r="475" spans="2:19" x14ac:dyDescent="0.35">
      <c r="B475" s="18" t="s">
        <v>258</v>
      </c>
      <c r="C475" s="9" t="s">
        <v>259</v>
      </c>
      <c r="D475" s="9" t="s">
        <v>799</v>
      </c>
      <c r="E475" s="9" t="s">
        <v>39</v>
      </c>
      <c r="F475" s="17">
        <v>0.75749999999999995</v>
      </c>
      <c r="G475" s="17">
        <v>0.75280000000000002</v>
      </c>
      <c r="H475" s="17">
        <v>1E-3</v>
      </c>
      <c r="I475" s="17">
        <v>3.7000000000000002E-3</v>
      </c>
      <c r="J475" s="17">
        <v>0</v>
      </c>
      <c r="K475" s="9" t="s">
        <v>1343</v>
      </c>
      <c r="L475" s="9" t="s">
        <v>260</v>
      </c>
      <c r="M475" s="9">
        <v>2023</v>
      </c>
      <c r="N475" s="9" t="s">
        <v>257</v>
      </c>
      <c r="O475" s="10" t="s">
        <v>544</v>
      </c>
      <c r="P475" s="9" t="s">
        <v>545</v>
      </c>
      <c r="Q475" s="9" t="s">
        <v>264</v>
      </c>
      <c r="R475" s="9" t="s">
        <v>1344</v>
      </c>
      <c r="S475" s="9" t="s">
        <v>1812</v>
      </c>
    </row>
    <row r="476" spans="2:19" x14ac:dyDescent="0.35">
      <c r="B476" s="18" t="s">
        <v>258</v>
      </c>
      <c r="C476" s="9" t="s">
        <v>259</v>
      </c>
      <c r="D476" s="9" t="s">
        <v>799</v>
      </c>
      <c r="E476" s="9" t="s">
        <v>39</v>
      </c>
      <c r="F476" s="17">
        <v>0.8115</v>
      </c>
      <c r="G476" s="17">
        <v>0.80659999999999998</v>
      </c>
      <c r="H476" s="17">
        <v>1E-3</v>
      </c>
      <c r="I476" s="17">
        <v>3.8999999999999998E-3</v>
      </c>
      <c r="J476" s="17">
        <v>0</v>
      </c>
      <c r="K476" s="9" t="s">
        <v>1343</v>
      </c>
      <c r="L476" s="9" t="s">
        <v>260</v>
      </c>
      <c r="M476" s="9">
        <v>2022</v>
      </c>
      <c r="N476" s="9" t="s">
        <v>257</v>
      </c>
      <c r="O476" s="10" t="s">
        <v>544</v>
      </c>
      <c r="P476" s="9" t="s">
        <v>545</v>
      </c>
      <c r="Q476" s="9" t="s">
        <v>264</v>
      </c>
      <c r="R476" s="9" t="s">
        <v>1344</v>
      </c>
      <c r="S476" s="9" t="s">
        <v>1813</v>
      </c>
    </row>
    <row r="477" spans="2:19" x14ac:dyDescent="0.35">
      <c r="B477" s="18" t="s">
        <v>800</v>
      </c>
      <c r="C477" s="9" t="s">
        <v>801</v>
      </c>
      <c r="D477" s="9" t="s">
        <v>799</v>
      </c>
      <c r="E477" s="9" t="s">
        <v>39</v>
      </c>
      <c r="F477" s="17">
        <v>0.06</v>
      </c>
      <c r="G477" s="17"/>
      <c r="H477" s="17"/>
      <c r="I477" s="17"/>
      <c r="J477" s="17">
        <v>0.06</v>
      </c>
      <c r="K477" s="9" t="s">
        <v>1343</v>
      </c>
      <c r="L477" s="9" t="s">
        <v>802</v>
      </c>
      <c r="M477" s="9">
        <v>2023</v>
      </c>
      <c r="N477" s="9" t="s">
        <v>257</v>
      </c>
      <c r="O477" s="10" t="s">
        <v>544</v>
      </c>
      <c r="P477" s="9" t="s">
        <v>545</v>
      </c>
      <c r="Q477" s="9" t="s">
        <v>264</v>
      </c>
      <c r="R477" s="9" t="s">
        <v>1344</v>
      </c>
      <c r="S477" s="9" t="s">
        <v>1814</v>
      </c>
    </row>
    <row r="478" spans="2:19" x14ac:dyDescent="0.35">
      <c r="B478" s="18" t="s">
        <v>800</v>
      </c>
      <c r="C478" s="9" t="s">
        <v>801</v>
      </c>
      <c r="D478" s="9" t="s">
        <v>799</v>
      </c>
      <c r="E478" s="9" t="s">
        <v>39</v>
      </c>
      <c r="F478" s="17">
        <v>6.7299999999999999E-2</v>
      </c>
      <c r="G478" s="17"/>
      <c r="H478" s="17"/>
      <c r="I478" s="17"/>
      <c r="J478" s="17">
        <v>6.7299999999999999E-2</v>
      </c>
      <c r="K478" s="9" t="s">
        <v>1343</v>
      </c>
      <c r="L478" s="9" t="s">
        <v>802</v>
      </c>
      <c r="M478" s="9">
        <v>2022</v>
      </c>
      <c r="N478" s="9" t="s">
        <v>257</v>
      </c>
      <c r="O478" s="10" t="s">
        <v>544</v>
      </c>
      <c r="P478" s="9" t="s">
        <v>545</v>
      </c>
      <c r="Q478" s="9" t="s">
        <v>264</v>
      </c>
      <c r="R478" s="9" t="s">
        <v>1344</v>
      </c>
      <c r="S478" s="9" t="s">
        <v>1815</v>
      </c>
    </row>
    <row r="479" spans="2:19" x14ac:dyDescent="0.35">
      <c r="B479" s="18" t="s">
        <v>800</v>
      </c>
      <c r="C479" s="9" t="s">
        <v>803</v>
      </c>
      <c r="D479" s="9" t="s">
        <v>799</v>
      </c>
      <c r="E479" s="9" t="s">
        <v>39</v>
      </c>
      <c r="F479" s="17">
        <v>0.1472</v>
      </c>
      <c r="G479" s="17"/>
      <c r="H479" s="17"/>
      <c r="I479" s="17"/>
      <c r="J479" s="17">
        <v>0.1472</v>
      </c>
      <c r="K479" s="9" t="s">
        <v>1343</v>
      </c>
      <c r="L479" s="9" t="s">
        <v>804</v>
      </c>
      <c r="M479" s="9">
        <v>2023</v>
      </c>
      <c r="N479" s="9" t="s">
        <v>257</v>
      </c>
      <c r="O479" s="10" t="s">
        <v>544</v>
      </c>
      <c r="P479" s="9" t="s">
        <v>545</v>
      </c>
      <c r="Q479" s="9" t="s">
        <v>264</v>
      </c>
      <c r="R479" s="9" t="s">
        <v>1344</v>
      </c>
      <c r="S479" s="9" t="s">
        <v>1816</v>
      </c>
    </row>
    <row r="480" spans="2:19" x14ac:dyDescent="0.35">
      <c r="B480" s="18" t="s">
        <v>800</v>
      </c>
      <c r="C480" s="9" t="s">
        <v>803</v>
      </c>
      <c r="D480" s="9" t="s">
        <v>799</v>
      </c>
      <c r="E480" s="9" t="s">
        <v>39</v>
      </c>
      <c r="F480" s="17">
        <v>0.1484</v>
      </c>
      <c r="G480" s="17"/>
      <c r="H480" s="17"/>
      <c r="I480" s="17"/>
      <c r="J480" s="17">
        <v>0.1484</v>
      </c>
      <c r="K480" s="9" t="s">
        <v>1343</v>
      </c>
      <c r="L480" s="9" t="s">
        <v>804</v>
      </c>
      <c r="M480" s="9">
        <v>2022</v>
      </c>
      <c r="N480" s="9" t="s">
        <v>257</v>
      </c>
      <c r="O480" s="10" t="s">
        <v>544</v>
      </c>
      <c r="P480" s="9" t="s">
        <v>545</v>
      </c>
      <c r="Q480" s="9" t="s">
        <v>264</v>
      </c>
      <c r="R480" s="9" t="s">
        <v>1344</v>
      </c>
      <c r="S480" s="9" t="s">
        <v>1817</v>
      </c>
    </row>
    <row r="481" spans="2:19" x14ac:dyDescent="0.35">
      <c r="B481" s="18" t="s">
        <v>258</v>
      </c>
      <c r="C481" s="9" t="s">
        <v>259</v>
      </c>
      <c r="D481" s="9" t="s">
        <v>799</v>
      </c>
      <c r="E481" s="9" t="s">
        <v>39</v>
      </c>
      <c r="F481" s="17">
        <v>0.53220000000000001</v>
      </c>
      <c r="G481" s="17">
        <v>0.53139999999999998</v>
      </c>
      <c r="H481" s="17">
        <v>2.9999999999999997E-4</v>
      </c>
      <c r="I481" s="17">
        <v>5.0000000000000001E-4</v>
      </c>
      <c r="J481" s="17">
        <v>0</v>
      </c>
      <c r="K481" s="9" t="s">
        <v>1343</v>
      </c>
      <c r="L481" s="9" t="s">
        <v>260</v>
      </c>
      <c r="M481" s="9">
        <v>2023</v>
      </c>
      <c r="N481" s="9" t="s">
        <v>310</v>
      </c>
      <c r="O481" s="10" t="s">
        <v>311</v>
      </c>
      <c r="P481" s="9" t="s">
        <v>312</v>
      </c>
      <c r="Q481" s="9" t="s">
        <v>264</v>
      </c>
      <c r="R481" s="9" t="s">
        <v>1344</v>
      </c>
      <c r="S481" s="9" t="s">
        <v>1818</v>
      </c>
    </row>
    <row r="482" spans="2:19" x14ac:dyDescent="0.35">
      <c r="B482" s="18" t="s">
        <v>258</v>
      </c>
      <c r="C482" s="9" t="s">
        <v>259</v>
      </c>
      <c r="D482" s="9" t="s">
        <v>799</v>
      </c>
      <c r="E482" s="9" t="s">
        <v>39</v>
      </c>
      <c r="F482" s="17">
        <v>0.53259999999999996</v>
      </c>
      <c r="G482" s="17">
        <v>0.53180000000000005</v>
      </c>
      <c r="H482" s="17">
        <v>2.9999999999999997E-4</v>
      </c>
      <c r="I482" s="17">
        <v>5.0000000000000001E-4</v>
      </c>
      <c r="J482" s="17">
        <v>0</v>
      </c>
      <c r="K482" s="9" t="s">
        <v>1343</v>
      </c>
      <c r="L482" s="9" t="s">
        <v>260</v>
      </c>
      <c r="M482" s="9">
        <v>2022</v>
      </c>
      <c r="N482" s="9" t="s">
        <v>310</v>
      </c>
      <c r="O482" s="10" t="s">
        <v>311</v>
      </c>
      <c r="P482" s="9" t="s">
        <v>312</v>
      </c>
      <c r="Q482" s="9" t="s">
        <v>264</v>
      </c>
      <c r="R482" s="9" t="s">
        <v>1344</v>
      </c>
      <c r="S482" s="9" t="s">
        <v>1819</v>
      </c>
    </row>
    <row r="483" spans="2:19" x14ac:dyDescent="0.35">
      <c r="B483" s="18" t="s">
        <v>800</v>
      </c>
      <c r="C483" s="9" t="s">
        <v>801</v>
      </c>
      <c r="D483" s="9" t="s">
        <v>799</v>
      </c>
      <c r="E483" s="9" t="s">
        <v>39</v>
      </c>
      <c r="F483" s="17">
        <v>6.3100000000000003E-2</v>
      </c>
      <c r="G483" s="17"/>
      <c r="H483" s="17"/>
      <c r="I483" s="17"/>
      <c r="J483" s="17">
        <v>6.3100000000000003E-2</v>
      </c>
      <c r="K483" s="9" t="s">
        <v>1343</v>
      </c>
      <c r="L483" s="9" t="s">
        <v>802</v>
      </c>
      <c r="M483" s="9">
        <v>2023</v>
      </c>
      <c r="N483" s="9" t="s">
        <v>310</v>
      </c>
      <c r="O483" s="10" t="s">
        <v>311</v>
      </c>
      <c r="P483" s="9" t="s">
        <v>312</v>
      </c>
      <c r="Q483" s="9" t="s">
        <v>264</v>
      </c>
      <c r="R483" s="9" t="s">
        <v>1344</v>
      </c>
      <c r="S483" s="9" t="s">
        <v>1820</v>
      </c>
    </row>
    <row r="484" spans="2:19" x14ac:dyDescent="0.35">
      <c r="B484" s="18" t="s">
        <v>800</v>
      </c>
      <c r="C484" s="9" t="s">
        <v>801</v>
      </c>
      <c r="D484" s="9" t="s">
        <v>799</v>
      </c>
      <c r="E484" s="9" t="s">
        <v>39</v>
      </c>
      <c r="F484" s="17">
        <v>6.3299999999999995E-2</v>
      </c>
      <c r="G484" s="17"/>
      <c r="H484" s="17"/>
      <c r="I484" s="17"/>
      <c r="J484" s="17">
        <v>6.3299999999999995E-2</v>
      </c>
      <c r="K484" s="9" t="s">
        <v>1343</v>
      </c>
      <c r="L484" s="9" t="s">
        <v>802</v>
      </c>
      <c r="M484" s="9">
        <v>2022</v>
      </c>
      <c r="N484" s="9" t="s">
        <v>310</v>
      </c>
      <c r="O484" s="10" t="s">
        <v>311</v>
      </c>
      <c r="P484" s="9" t="s">
        <v>312</v>
      </c>
      <c r="Q484" s="9" t="s">
        <v>264</v>
      </c>
      <c r="R484" s="9" t="s">
        <v>1344</v>
      </c>
      <c r="S484" s="9" t="s">
        <v>1821</v>
      </c>
    </row>
    <row r="485" spans="2:19" x14ac:dyDescent="0.35">
      <c r="B485" s="18" t="s">
        <v>800</v>
      </c>
      <c r="C485" s="9" t="s">
        <v>803</v>
      </c>
      <c r="D485" s="9" t="s">
        <v>799</v>
      </c>
      <c r="E485" s="9" t="s">
        <v>39</v>
      </c>
      <c r="F485" s="17">
        <v>8.4099999999999994E-2</v>
      </c>
      <c r="G485" s="17"/>
      <c r="H485" s="17"/>
      <c r="I485" s="17"/>
      <c r="J485" s="17">
        <v>8.4099999999999994E-2</v>
      </c>
      <c r="K485" s="9" t="s">
        <v>1343</v>
      </c>
      <c r="L485" s="9" t="s">
        <v>804</v>
      </c>
      <c r="M485" s="9">
        <v>2023</v>
      </c>
      <c r="N485" s="9" t="s">
        <v>310</v>
      </c>
      <c r="O485" s="10" t="s">
        <v>311</v>
      </c>
      <c r="P485" s="9" t="s">
        <v>312</v>
      </c>
      <c r="Q485" s="9" t="s">
        <v>264</v>
      </c>
      <c r="R485" s="9" t="s">
        <v>1344</v>
      </c>
      <c r="S485" s="9" t="s">
        <v>1822</v>
      </c>
    </row>
    <row r="486" spans="2:19" x14ac:dyDescent="0.35">
      <c r="B486" s="18" t="s">
        <v>800</v>
      </c>
      <c r="C486" s="9" t="s">
        <v>803</v>
      </c>
      <c r="D486" s="9" t="s">
        <v>799</v>
      </c>
      <c r="E486" s="9" t="s">
        <v>39</v>
      </c>
      <c r="F486" s="17">
        <v>8.4699999999999998E-2</v>
      </c>
      <c r="G486" s="17"/>
      <c r="H486" s="17"/>
      <c r="I486" s="17"/>
      <c r="J486" s="17">
        <v>8.4699999999999998E-2</v>
      </c>
      <c r="K486" s="9" t="s">
        <v>1343</v>
      </c>
      <c r="L486" s="9" t="s">
        <v>804</v>
      </c>
      <c r="M486" s="9">
        <v>2022</v>
      </c>
      <c r="N486" s="9" t="s">
        <v>310</v>
      </c>
      <c r="O486" s="10" t="s">
        <v>311</v>
      </c>
      <c r="P486" s="9" t="s">
        <v>312</v>
      </c>
      <c r="Q486" s="9" t="s">
        <v>264</v>
      </c>
      <c r="R486" s="9" t="s">
        <v>1344</v>
      </c>
      <c r="S486" s="9" t="s">
        <v>1823</v>
      </c>
    </row>
    <row r="487" spans="2:19" x14ac:dyDescent="0.35">
      <c r="B487" s="18" t="s">
        <v>258</v>
      </c>
      <c r="C487" s="9" t="s">
        <v>259</v>
      </c>
      <c r="D487" s="9" t="s">
        <v>799</v>
      </c>
      <c r="E487" s="9" t="s">
        <v>39</v>
      </c>
      <c r="F487" s="17">
        <v>0.6804</v>
      </c>
      <c r="G487" s="17">
        <v>0.67879999999999996</v>
      </c>
      <c r="H487" s="17">
        <v>5.9999999999999995E-4</v>
      </c>
      <c r="I487" s="17">
        <v>1E-3</v>
      </c>
      <c r="J487" s="17">
        <v>0</v>
      </c>
      <c r="K487" s="9" t="s">
        <v>1343</v>
      </c>
      <c r="L487" s="9" t="s">
        <v>260</v>
      </c>
      <c r="M487" s="9">
        <v>2022</v>
      </c>
      <c r="N487" s="9" t="s">
        <v>724</v>
      </c>
      <c r="O487" s="10" t="s">
        <v>725</v>
      </c>
      <c r="P487" s="9" t="s">
        <v>726</v>
      </c>
      <c r="Q487" s="9" t="s">
        <v>264</v>
      </c>
      <c r="R487" s="9" t="s">
        <v>1344</v>
      </c>
      <c r="S487" s="9" t="s">
        <v>1824</v>
      </c>
    </row>
    <row r="488" spans="2:19" x14ac:dyDescent="0.35">
      <c r="B488" s="18" t="s">
        <v>258</v>
      </c>
      <c r="C488" s="9" t="s">
        <v>259</v>
      </c>
      <c r="D488" s="9" t="s">
        <v>799</v>
      </c>
      <c r="E488" s="9" t="s">
        <v>39</v>
      </c>
      <c r="F488" s="17">
        <v>0.68210000000000004</v>
      </c>
      <c r="G488" s="17">
        <v>0.68049999999999999</v>
      </c>
      <c r="H488" s="17">
        <v>5.9999999999999995E-4</v>
      </c>
      <c r="I488" s="17">
        <v>1E-3</v>
      </c>
      <c r="J488" s="17">
        <v>0</v>
      </c>
      <c r="K488" s="9" t="s">
        <v>1343</v>
      </c>
      <c r="L488" s="9" t="s">
        <v>260</v>
      </c>
      <c r="M488" s="9">
        <v>2023</v>
      </c>
      <c r="N488" s="9" t="s">
        <v>724</v>
      </c>
      <c r="O488" s="10" t="s">
        <v>725</v>
      </c>
      <c r="P488" s="9" t="s">
        <v>726</v>
      </c>
      <c r="Q488" s="9" t="s">
        <v>264</v>
      </c>
      <c r="R488" s="9" t="s">
        <v>1344</v>
      </c>
      <c r="S488" s="9" t="s">
        <v>1825</v>
      </c>
    </row>
    <row r="489" spans="2:19" x14ac:dyDescent="0.35">
      <c r="B489" s="18" t="s">
        <v>800</v>
      </c>
      <c r="C489" s="9" t="s">
        <v>801</v>
      </c>
      <c r="D489" s="9" t="s">
        <v>799</v>
      </c>
      <c r="E489" s="9" t="s">
        <v>39</v>
      </c>
      <c r="F489" s="17">
        <v>0.46729999999999999</v>
      </c>
      <c r="G489" s="17"/>
      <c r="H489" s="17"/>
      <c r="I489" s="17"/>
      <c r="J489" s="17">
        <v>0.46729999999999999</v>
      </c>
      <c r="K489" s="9" t="s">
        <v>1343</v>
      </c>
      <c r="L489" s="9" t="s">
        <v>802</v>
      </c>
      <c r="M489" s="9">
        <v>2022</v>
      </c>
      <c r="N489" s="9" t="s">
        <v>724</v>
      </c>
      <c r="O489" s="10" t="s">
        <v>725</v>
      </c>
      <c r="P489" s="9" t="s">
        <v>726</v>
      </c>
      <c r="Q489" s="9" t="s">
        <v>264</v>
      </c>
      <c r="R489" s="9" t="s">
        <v>1344</v>
      </c>
      <c r="S489" s="9" t="s">
        <v>1826</v>
      </c>
    </row>
    <row r="490" spans="2:19" x14ac:dyDescent="0.35">
      <c r="B490" s="18" t="s">
        <v>800</v>
      </c>
      <c r="C490" s="9" t="s">
        <v>801</v>
      </c>
      <c r="D490" s="9" t="s">
        <v>799</v>
      </c>
      <c r="E490" s="9" t="s">
        <v>39</v>
      </c>
      <c r="F490" s="17">
        <v>0.48430000000000001</v>
      </c>
      <c r="G490" s="17"/>
      <c r="H490" s="17"/>
      <c r="I490" s="17"/>
      <c r="J490" s="17">
        <v>0.48430000000000001</v>
      </c>
      <c r="K490" s="9" t="s">
        <v>1343</v>
      </c>
      <c r="L490" s="9" t="s">
        <v>802</v>
      </c>
      <c r="M490" s="9">
        <v>2023</v>
      </c>
      <c r="N490" s="9" t="s">
        <v>724</v>
      </c>
      <c r="O490" s="10" t="s">
        <v>725</v>
      </c>
      <c r="P490" s="9" t="s">
        <v>726</v>
      </c>
      <c r="Q490" s="9" t="s">
        <v>264</v>
      </c>
      <c r="R490" s="9" t="s">
        <v>1344</v>
      </c>
      <c r="S490" s="9" t="s">
        <v>1827</v>
      </c>
    </row>
    <row r="491" spans="2:19" x14ac:dyDescent="0.35">
      <c r="B491" s="18" t="s">
        <v>800</v>
      </c>
      <c r="C491" s="9" t="s">
        <v>803</v>
      </c>
      <c r="D491" s="9" t="s">
        <v>799</v>
      </c>
      <c r="E491" s="9" t="s">
        <v>39</v>
      </c>
      <c r="F491" s="17">
        <v>0.1157</v>
      </c>
      <c r="G491" s="17"/>
      <c r="H491" s="17"/>
      <c r="I491" s="17"/>
      <c r="J491" s="17">
        <v>0.1157</v>
      </c>
      <c r="K491" s="9" t="s">
        <v>1343</v>
      </c>
      <c r="L491" s="9" t="s">
        <v>804</v>
      </c>
      <c r="M491" s="9">
        <v>2023</v>
      </c>
      <c r="N491" s="9" t="s">
        <v>724</v>
      </c>
      <c r="O491" s="10" t="s">
        <v>725</v>
      </c>
      <c r="P491" s="9" t="s">
        <v>726</v>
      </c>
      <c r="Q491" s="9" t="s">
        <v>264</v>
      </c>
      <c r="R491" s="9" t="s">
        <v>1344</v>
      </c>
      <c r="S491" s="9" t="s">
        <v>1828</v>
      </c>
    </row>
    <row r="492" spans="2:19" x14ac:dyDescent="0.35">
      <c r="B492" s="18" t="s">
        <v>800</v>
      </c>
      <c r="C492" s="9" t="s">
        <v>803</v>
      </c>
      <c r="D492" s="9" t="s">
        <v>799</v>
      </c>
      <c r="E492" s="9" t="s">
        <v>39</v>
      </c>
      <c r="F492" s="17">
        <v>0.11609999999999999</v>
      </c>
      <c r="G492" s="17"/>
      <c r="H492" s="17"/>
      <c r="I492" s="17"/>
      <c r="J492" s="17">
        <v>0.11609999999999999</v>
      </c>
      <c r="K492" s="9" t="s">
        <v>1343</v>
      </c>
      <c r="L492" s="9" t="s">
        <v>804</v>
      </c>
      <c r="M492" s="9">
        <v>2022</v>
      </c>
      <c r="N492" s="9" t="s">
        <v>724</v>
      </c>
      <c r="O492" s="10" t="s">
        <v>725</v>
      </c>
      <c r="P492" s="9" t="s">
        <v>726</v>
      </c>
      <c r="Q492" s="9" t="s">
        <v>264</v>
      </c>
      <c r="R492" s="9" t="s">
        <v>1344</v>
      </c>
      <c r="S492" s="9" t="s">
        <v>1829</v>
      </c>
    </row>
    <row r="493" spans="2:19" x14ac:dyDescent="0.35">
      <c r="B493" s="18" t="s">
        <v>258</v>
      </c>
      <c r="C493" s="9" t="s">
        <v>259</v>
      </c>
      <c r="D493" s="9" t="s">
        <v>799</v>
      </c>
      <c r="E493" s="9" t="s">
        <v>39</v>
      </c>
      <c r="F493" s="17">
        <v>0.2306</v>
      </c>
      <c r="G493" s="17">
        <v>0.22950000000000001</v>
      </c>
      <c r="H493" s="17">
        <v>4.0000000000000002E-4</v>
      </c>
      <c r="I493" s="17">
        <v>6.9999999999999999E-4</v>
      </c>
      <c r="J493" s="17">
        <v>0</v>
      </c>
      <c r="K493" s="9" t="s">
        <v>1343</v>
      </c>
      <c r="L493" s="9" t="s">
        <v>260</v>
      </c>
      <c r="M493" s="9">
        <v>2024</v>
      </c>
      <c r="N493" s="9" t="s">
        <v>432</v>
      </c>
      <c r="O493" s="10" t="s">
        <v>433</v>
      </c>
      <c r="P493" s="9" t="s">
        <v>434</v>
      </c>
      <c r="Q493" s="9" t="s">
        <v>264</v>
      </c>
      <c r="R493" s="9" t="s">
        <v>1344</v>
      </c>
      <c r="S493" s="9" t="s">
        <v>1830</v>
      </c>
    </row>
    <row r="494" spans="2:19" x14ac:dyDescent="0.35">
      <c r="B494" s="18" t="s">
        <v>258</v>
      </c>
      <c r="C494" s="9" t="s">
        <v>259</v>
      </c>
      <c r="D494" s="9" t="s">
        <v>799</v>
      </c>
      <c r="E494" s="9" t="s">
        <v>39</v>
      </c>
      <c r="F494" s="17">
        <v>0.2424</v>
      </c>
      <c r="G494" s="17">
        <v>0.24129999999999999</v>
      </c>
      <c r="H494" s="17">
        <v>4.0000000000000002E-4</v>
      </c>
      <c r="I494" s="17">
        <v>6.9999999999999999E-4</v>
      </c>
      <c r="J494" s="17">
        <v>0</v>
      </c>
      <c r="K494" s="9" t="s">
        <v>1343</v>
      </c>
      <c r="L494" s="9" t="s">
        <v>260</v>
      </c>
      <c r="M494" s="9">
        <v>2023</v>
      </c>
      <c r="N494" s="9" t="s">
        <v>432</v>
      </c>
      <c r="O494" s="10" t="s">
        <v>433</v>
      </c>
      <c r="P494" s="9" t="s">
        <v>434</v>
      </c>
      <c r="Q494" s="9" t="s">
        <v>264</v>
      </c>
      <c r="R494" s="9" t="s">
        <v>1344</v>
      </c>
      <c r="S494" s="9" t="s">
        <v>1831</v>
      </c>
    </row>
    <row r="495" spans="2:19" x14ac:dyDescent="0.35">
      <c r="B495" s="18" t="s">
        <v>258</v>
      </c>
      <c r="C495" s="9" t="s">
        <v>259</v>
      </c>
      <c r="D495" s="9" t="s">
        <v>799</v>
      </c>
      <c r="E495" s="9" t="s">
        <v>39</v>
      </c>
      <c r="F495" s="17">
        <v>0.28870000000000001</v>
      </c>
      <c r="G495" s="17">
        <v>0.28749999999999998</v>
      </c>
      <c r="H495" s="17">
        <v>4.0000000000000002E-4</v>
      </c>
      <c r="I495" s="17">
        <v>8.0000000000000004E-4</v>
      </c>
      <c r="J495" s="17">
        <v>0</v>
      </c>
      <c r="K495" s="9" t="s">
        <v>1343</v>
      </c>
      <c r="L495" s="9" t="s">
        <v>260</v>
      </c>
      <c r="M495" s="9">
        <v>2022</v>
      </c>
      <c r="N495" s="9" t="s">
        <v>432</v>
      </c>
      <c r="O495" s="10" t="s">
        <v>433</v>
      </c>
      <c r="P495" s="9" t="s">
        <v>434</v>
      </c>
      <c r="Q495" s="9" t="s">
        <v>264</v>
      </c>
      <c r="R495" s="9" t="s">
        <v>1344</v>
      </c>
      <c r="S495" s="9" t="s">
        <v>1832</v>
      </c>
    </row>
    <row r="496" spans="2:19" x14ac:dyDescent="0.35">
      <c r="B496" s="18" t="s">
        <v>800</v>
      </c>
      <c r="C496" s="9" t="s">
        <v>801</v>
      </c>
      <c r="D496" s="9" t="s">
        <v>799</v>
      </c>
      <c r="E496" s="9" t="s">
        <v>39</v>
      </c>
      <c r="F496" s="17">
        <v>2.1299999999999999E-2</v>
      </c>
      <c r="G496" s="17"/>
      <c r="H496" s="17"/>
      <c r="I496" s="17"/>
      <c r="J496" s="17">
        <v>2.1299999999999999E-2</v>
      </c>
      <c r="K496" s="9" t="s">
        <v>1343</v>
      </c>
      <c r="L496" s="9" t="s">
        <v>802</v>
      </c>
      <c r="M496" s="9">
        <v>2023</v>
      </c>
      <c r="N496" s="9" t="s">
        <v>432</v>
      </c>
      <c r="O496" s="10" t="s">
        <v>433</v>
      </c>
      <c r="P496" s="9" t="s">
        <v>434</v>
      </c>
      <c r="Q496" s="9" t="s">
        <v>264</v>
      </c>
      <c r="R496" s="9" t="s">
        <v>1344</v>
      </c>
      <c r="S496" s="9" t="s">
        <v>1833</v>
      </c>
    </row>
    <row r="497" spans="2:19" x14ac:dyDescent="0.35">
      <c r="B497" s="18" t="s">
        <v>800</v>
      </c>
      <c r="C497" s="9" t="s">
        <v>801</v>
      </c>
      <c r="D497" s="9" t="s">
        <v>799</v>
      </c>
      <c r="E497" s="9" t="s">
        <v>39</v>
      </c>
      <c r="F497" s="17">
        <v>2.5000000000000001E-2</v>
      </c>
      <c r="G497" s="17"/>
      <c r="H497" s="17"/>
      <c r="I497" s="17"/>
      <c r="J497" s="17">
        <v>2.5000000000000001E-2</v>
      </c>
      <c r="K497" s="9" t="s">
        <v>1343</v>
      </c>
      <c r="L497" s="9" t="s">
        <v>802</v>
      </c>
      <c r="M497" s="9">
        <v>2022</v>
      </c>
      <c r="N497" s="9" t="s">
        <v>432</v>
      </c>
      <c r="O497" s="10" t="s">
        <v>433</v>
      </c>
      <c r="P497" s="9" t="s">
        <v>434</v>
      </c>
      <c r="Q497" s="9" t="s">
        <v>264</v>
      </c>
      <c r="R497" s="9" t="s">
        <v>1344</v>
      </c>
      <c r="S497" s="9" t="s">
        <v>1834</v>
      </c>
    </row>
    <row r="498" spans="2:19" x14ac:dyDescent="0.35">
      <c r="B498" s="18" t="s">
        <v>800</v>
      </c>
      <c r="C498" s="9" t="s">
        <v>803</v>
      </c>
      <c r="D498" s="9" t="s">
        <v>799</v>
      </c>
      <c r="E498" s="9" t="s">
        <v>39</v>
      </c>
      <c r="F498" s="17">
        <v>0.05</v>
      </c>
      <c r="G498" s="17"/>
      <c r="H498" s="17"/>
      <c r="I498" s="17"/>
      <c r="J498" s="17">
        <v>0.05</v>
      </c>
      <c r="K498" s="9" t="s">
        <v>1343</v>
      </c>
      <c r="L498" s="9" t="s">
        <v>804</v>
      </c>
      <c r="M498" s="9">
        <v>2024</v>
      </c>
      <c r="N498" s="9" t="s">
        <v>432</v>
      </c>
      <c r="O498" s="10" t="s">
        <v>433</v>
      </c>
      <c r="P498" s="9" t="s">
        <v>434</v>
      </c>
      <c r="Q498" s="9" t="s">
        <v>264</v>
      </c>
      <c r="R498" s="9" t="s">
        <v>1344</v>
      </c>
      <c r="S498" s="9" t="s">
        <v>1835</v>
      </c>
    </row>
    <row r="499" spans="2:19" x14ac:dyDescent="0.35">
      <c r="B499" s="18" t="s">
        <v>800</v>
      </c>
      <c r="C499" s="9" t="s">
        <v>803</v>
      </c>
      <c r="D499" s="9" t="s">
        <v>799</v>
      </c>
      <c r="E499" s="9" t="s">
        <v>39</v>
      </c>
      <c r="F499" s="17">
        <v>5.1700000000000003E-2</v>
      </c>
      <c r="G499" s="17"/>
      <c r="H499" s="17"/>
      <c r="I499" s="17"/>
      <c r="J499" s="17">
        <v>5.1700000000000003E-2</v>
      </c>
      <c r="K499" s="9" t="s">
        <v>1343</v>
      </c>
      <c r="L499" s="9" t="s">
        <v>804</v>
      </c>
      <c r="M499" s="9">
        <v>2023</v>
      </c>
      <c r="N499" s="9" t="s">
        <v>432</v>
      </c>
      <c r="O499" s="10" t="s">
        <v>433</v>
      </c>
      <c r="P499" s="9" t="s">
        <v>434</v>
      </c>
      <c r="Q499" s="9" t="s">
        <v>264</v>
      </c>
      <c r="R499" s="9" t="s">
        <v>1344</v>
      </c>
      <c r="S499" s="9" t="s">
        <v>1836</v>
      </c>
    </row>
    <row r="500" spans="2:19" x14ac:dyDescent="0.35">
      <c r="B500" s="18" t="s">
        <v>800</v>
      </c>
      <c r="C500" s="9" t="s">
        <v>803</v>
      </c>
      <c r="D500" s="9" t="s">
        <v>799</v>
      </c>
      <c r="E500" s="9" t="s">
        <v>39</v>
      </c>
      <c r="F500" s="17">
        <v>5.9499999999999997E-2</v>
      </c>
      <c r="G500" s="17"/>
      <c r="H500" s="17"/>
      <c r="I500" s="17"/>
      <c r="J500" s="17">
        <v>5.9499999999999997E-2</v>
      </c>
      <c r="K500" s="9" t="s">
        <v>1343</v>
      </c>
      <c r="L500" s="9" t="s">
        <v>804</v>
      </c>
      <c r="M500" s="9">
        <v>2022</v>
      </c>
      <c r="N500" s="9" t="s">
        <v>432</v>
      </c>
      <c r="O500" s="10" t="s">
        <v>433</v>
      </c>
      <c r="P500" s="9" t="s">
        <v>434</v>
      </c>
      <c r="Q500" s="9" t="s">
        <v>264</v>
      </c>
      <c r="R500" s="9" t="s">
        <v>1344</v>
      </c>
      <c r="S500" s="9" t="s">
        <v>1837</v>
      </c>
    </row>
    <row r="501" spans="2:19" x14ac:dyDescent="0.35">
      <c r="B501" s="18" t="s">
        <v>258</v>
      </c>
      <c r="C501" s="9" t="s">
        <v>259</v>
      </c>
      <c r="D501" s="9" t="s">
        <v>799</v>
      </c>
      <c r="E501" s="9" t="s">
        <v>39</v>
      </c>
      <c r="F501" s="17">
        <v>0.36470000000000002</v>
      </c>
      <c r="G501" s="17">
        <v>0.36370000000000002</v>
      </c>
      <c r="H501" s="17">
        <v>2.0000000000000001E-4</v>
      </c>
      <c r="I501" s="17">
        <v>8.0000000000000004E-4</v>
      </c>
      <c r="J501" s="17">
        <v>0</v>
      </c>
      <c r="K501" s="9" t="s">
        <v>1343</v>
      </c>
      <c r="L501" s="9" t="s">
        <v>260</v>
      </c>
      <c r="M501" s="9">
        <v>2024</v>
      </c>
      <c r="N501" s="9" t="s">
        <v>658</v>
      </c>
      <c r="O501" s="10" t="s">
        <v>659</v>
      </c>
      <c r="P501" s="9" t="s">
        <v>660</v>
      </c>
      <c r="Q501" s="9" t="s">
        <v>264</v>
      </c>
      <c r="R501" s="9" t="s">
        <v>1344</v>
      </c>
      <c r="S501" s="9" t="s">
        <v>1838</v>
      </c>
    </row>
    <row r="502" spans="2:19" x14ac:dyDescent="0.35">
      <c r="B502" s="18" t="s">
        <v>258</v>
      </c>
      <c r="C502" s="9" t="s">
        <v>259</v>
      </c>
      <c r="D502" s="9" t="s">
        <v>799</v>
      </c>
      <c r="E502" s="9" t="s">
        <v>39</v>
      </c>
      <c r="F502" s="17">
        <v>0.39860000000000001</v>
      </c>
      <c r="G502" s="17">
        <v>0.39760000000000001</v>
      </c>
      <c r="H502" s="17">
        <v>2.0000000000000001E-4</v>
      </c>
      <c r="I502" s="17">
        <v>8.0000000000000004E-4</v>
      </c>
      <c r="J502" s="17">
        <v>0</v>
      </c>
      <c r="K502" s="9" t="s">
        <v>1343</v>
      </c>
      <c r="L502" s="9" t="s">
        <v>260</v>
      </c>
      <c r="M502" s="9">
        <v>2023</v>
      </c>
      <c r="N502" s="9" t="s">
        <v>658</v>
      </c>
      <c r="O502" s="10" t="s">
        <v>659</v>
      </c>
      <c r="P502" s="9" t="s">
        <v>660</v>
      </c>
      <c r="Q502" s="9" t="s">
        <v>264</v>
      </c>
      <c r="R502" s="9" t="s">
        <v>1344</v>
      </c>
      <c r="S502" s="9" t="s">
        <v>1839</v>
      </c>
    </row>
    <row r="503" spans="2:19" x14ac:dyDescent="0.35">
      <c r="B503" s="18" t="s">
        <v>258</v>
      </c>
      <c r="C503" s="9" t="s">
        <v>259</v>
      </c>
      <c r="D503" s="9" t="s">
        <v>799</v>
      </c>
      <c r="E503" s="9" t="s">
        <v>39</v>
      </c>
      <c r="F503" s="17">
        <v>0.43719999999999998</v>
      </c>
      <c r="G503" s="17">
        <v>0.43609999999999999</v>
      </c>
      <c r="H503" s="17">
        <v>2.0000000000000001E-4</v>
      </c>
      <c r="I503" s="17">
        <v>8.9999999999999998E-4</v>
      </c>
      <c r="J503" s="17">
        <v>0</v>
      </c>
      <c r="K503" s="9" t="s">
        <v>1343</v>
      </c>
      <c r="L503" s="9" t="s">
        <v>260</v>
      </c>
      <c r="M503" s="9">
        <v>2022</v>
      </c>
      <c r="N503" s="9" t="s">
        <v>658</v>
      </c>
      <c r="O503" s="10" t="s">
        <v>659</v>
      </c>
      <c r="P503" s="9" t="s">
        <v>660</v>
      </c>
      <c r="Q503" s="9" t="s">
        <v>264</v>
      </c>
      <c r="R503" s="9" t="s">
        <v>1344</v>
      </c>
      <c r="S503" s="9" t="s">
        <v>1840</v>
      </c>
    </row>
    <row r="504" spans="2:19" x14ac:dyDescent="0.35">
      <c r="B504" s="18" t="s">
        <v>800</v>
      </c>
      <c r="C504" s="9" t="s">
        <v>801</v>
      </c>
      <c r="D504" s="9" t="s">
        <v>799</v>
      </c>
      <c r="E504" s="9" t="s">
        <v>39</v>
      </c>
      <c r="F504" s="17">
        <v>1.9300000000000001E-2</v>
      </c>
      <c r="G504" s="17"/>
      <c r="H504" s="17"/>
      <c r="I504" s="17"/>
      <c r="J504" s="17">
        <v>1.9300000000000001E-2</v>
      </c>
      <c r="K504" s="9" t="s">
        <v>1343</v>
      </c>
      <c r="L504" s="9" t="s">
        <v>802</v>
      </c>
      <c r="M504" s="9">
        <v>2023</v>
      </c>
      <c r="N504" s="9" t="s">
        <v>658</v>
      </c>
      <c r="O504" s="10" t="s">
        <v>659</v>
      </c>
      <c r="P504" s="9" t="s">
        <v>660</v>
      </c>
      <c r="Q504" s="9" t="s">
        <v>264</v>
      </c>
      <c r="R504" s="9" t="s">
        <v>1344</v>
      </c>
      <c r="S504" s="9" t="s">
        <v>1841</v>
      </c>
    </row>
    <row r="505" spans="2:19" x14ac:dyDescent="0.35">
      <c r="B505" s="18" t="s">
        <v>800</v>
      </c>
      <c r="C505" s="9" t="s">
        <v>801</v>
      </c>
      <c r="D505" s="9" t="s">
        <v>799</v>
      </c>
      <c r="E505" s="9" t="s">
        <v>39</v>
      </c>
      <c r="F505" s="17">
        <v>2.5399999999999999E-2</v>
      </c>
      <c r="G505" s="17"/>
      <c r="H505" s="17"/>
      <c r="I505" s="17"/>
      <c r="J505" s="17">
        <v>2.5399999999999999E-2</v>
      </c>
      <c r="K505" s="9" t="s">
        <v>1343</v>
      </c>
      <c r="L505" s="9" t="s">
        <v>802</v>
      </c>
      <c r="M505" s="9">
        <v>2022</v>
      </c>
      <c r="N505" s="9" t="s">
        <v>658</v>
      </c>
      <c r="O505" s="10" t="s">
        <v>659</v>
      </c>
      <c r="P505" s="9" t="s">
        <v>660</v>
      </c>
      <c r="Q505" s="9" t="s">
        <v>264</v>
      </c>
      <c r="R505" s="9" t="s">
        <v>1344</v>
      </c>
      <c r="S505" s="9" t="s">
        <v>1842</v>
      </c>
    </row>
    <row r="506" spans="2:19" x14ac:dyDescent="0.35">
      <c r="B506" s="18" t="s">
        <v>800</v>
      </c>
      <c r="C506" s="9" t="s">
        <v>803</v>
      </c>
      <c r="D506" s="9" t="s">
        <v>799</v>
      </c>
      <c r="E506" s="9" t="s">
        <v>39</v>
      </c>
      <c r="F506" s="17">
        <v>7.6399999999999996E-2</v>
      </c>
      <c r="G506" s="17"/>
      <c r="H506" s="17"/>
      <c r="I506" s="17"/>
      <c r="J506" s="17">
        <v>7.6399999999999996E-2</v>
      </c>
      <c r="K506" s="9" t="s">
        <v>1343</v>
      </c>
      <c r="L506" s="9" t="s">
        <v>804</v>
      </c>
      <c r="M506" s="9">
        <v>2024</v>
      </c>
      <c r="N506" s="9" t="s">
        <v>658</v>
      </c>
      <c r="O506" s="10" t="s">
        <v>659</v>
      </c>
      <c r="P506" s="9" t="s">
        <v>660</v>
      </c>
      <c r="Q506" s="9" t="s">
        <v>264</v>
      </c>
      <c r="R506" s="9" t="s">
        <v>1344</v>
      </c>
      <c r="S506" s="9" t="s">
        <v>1843</v>
      </c>
    </row>
    <row r="507" spans="2:19" x14ac:dyDescent="0.35">
      <c r="B507" s="18" t="s">
        <v>800</v>
      </c>
      <c r="C507" s="9" t="s">
        <v>803</v>
      </c>
      <c r="D507" s="9" t="s">
        <v>799</v>
      </c>
      <c r="E507" s="9" t="s">
        <v>39</v>
      </c>
      <c r="F507" s="17">
        <v>8.5500000000000007E-2</v>
      </c>
      <c r="G507" s="17"/>
      <c r="H507" s="17"/>
      <c r="I507" s="17"/>
      <c r="J507" s="17">
        <v>8.5500000000000007E-2</v>
      </c>
      <c r="K507" s="9" t="s">
        <v>1343</v>
      </c>
      <c r="L507" s="9" t="s">
        <v>804</v>
      </c>
      <c r="M507" s="9">
        <v>2023</v>
      </c>
      <c r="N507" s="9" t="s">
        <v>658</v>
      </c>
      <c r="O507" s="10" t="s">
        <v>659</v>
      </c>
      <c r="P507" s="9" t="s">
        <v>660</v>
      </c>
      <c r="Q507" s="9" t="s">
        <v>264</v>
      </c>
      <c r="R507" s="9" t="s">
        <v>1344</v>
      </c>
      <c r="S507" s="9" t="s">
        <v>1844</v>
      </c>
    </row>
    <row r="508" spans="2:19" x14ac:dyDescent="0.35">
      <c r="B508" s="18" t="s">
        <v>800</v>
      </c>
      <c r="C508" s="9" t="s">
        <v>803</v>
      </c>
      <c r="D508" s="9" t="s">
        <v>799</v>
      </c>
      <c r="E508" s="9" t="s">
        <v>39</v>
      </c>
      <c r="F508" s="17">
        <v>9.0399999999999994E-2</v>
      </c>
      <c r="G508" s="17"/>
      <c r="H508" s="17"/>
      <c r="I508" s="17"/>
      <c r="J508" s="17">
        <v>9.0399999999999994E-2</v>
      </c>
      <c r="K508" s="9" t="s">
        <v>1343</v>
      </c>
      <c r="L508" s="9" t="s">
        <v>804</v>
      </c>
      <c r="M508" s="9">
        <v>2022</v>
      </c>
      <c r="N508" s="9" t="s">
        <v>658</v>
      </c>
      <c r="O508" s="10" t="s">
        <v>659</v>
      </c>
      <c r="P508" s="9" t="s">
        <v>660</v>
      </c>
      <c r="Q508" s="9" t="s">
        <v>264</v>
      </c>
      <c r="R508" s="9" t="s">
        <v>1344</v>
      </c>
      <c r="S508" s="9" t="s">
        <v>1845</v>
      </c>
    </row>
    <row r="509" spans="2:19" x14ac:dyDescent="0.35">
      <c r="B509" s="18" t="s">
        <v>258</v>
      </c>
      <c r="C509" s="9" t="s">
        <v>259</v>
      </c>
      <c r="D509" s="9" t="s">
        <v>799</v>
      </c>
      <c r="E509" s="9" t="s">
        <v>39</v>
      </c>
      <c r="F509" s="17">
        <v>0.21479999999999999</v>
      </c>
      <c r="G509" s="17">
        <v>0.21379999999999999</v>
      </c>
      <c r="H509" s="17">
        <v>4.0000000000000002E-4</v>
      </c>
      <c r="I509" s="17">
        <v>5.9999999999999995E-4</v>
      </c>
      <c r="J509" s="17">
        <v>0</v>
      </c>
      <c r="K509" s="9" t="s">
        <v>1343</v>
      </c>
      <c r="L509" s="9" t="s">
        <v>260</v>
      </c>
      <c r="M509" s="9">
        <v>2024</v>
      </c>
      <c r="N509" s="9" t="s">
        <v>364</v>
      </c>
      <c r="O509" s="10" t="s">
        <v>365</v>
      </c>
      <c r="P509" s="9" t="s">
        <v>366</v>
      </c>
      <c r="Q509" s="9" t="s">
        <v>264</v>
      </c>
      <c r="R509" s="9" t="s">
        <v>1344</v>
      </c>
      <c r="S509" s="9" t="s">
        <v>1846</v>
      </c>
    </row>
    <row r="510" spans="2:19" x14ac:dyDescent="0.35">
      <c r="B510" s="18" t="s">
        <v>258</v>
      </c>
      <c r="C510" s="9" t="s">
        <v>259</v>
      </c>
      <c r="D510" s="9" t="s">
        <v>799</v>
      </c>
      <c r="E510" s="9" t="s">
        <v>39</v>
      </c>
      <c r="F510" s="17">
        <v>0.25840000000000002</v>
      </c>
      <c r="G510" s="17">
        <v>0.25740000000000002</v>
      </c>
      <c r="H510" s="17">
        <v>4.0000000000000002E-4</v>
      </c>
      <c r="I510" s="17">
        <v>5.9999999999999995E-4</v>
      </c>
      <c r="J510" s="17">
        <v>0</v>
      </c>
      <c r="K510" s="9" t="s">
        <v>1343</v>
      </c>
      <c r="L510" s="9" t="s">
        <v>260</v>
      </c>
      <c r="M510" s="9">
        <v>2023</v>
      </c>
      <c r="N510" s="9" t="s">
        <v>364</v>
      </c>
      <c r="O510" s="10" t="s">
        <v>365</v>
      </c>
      <c r="P510" s="9" t="s">
        <v>366</v>
      </c>
      <c r="Q510" s="9" t="s">
        <v>264</v>
      </c>
      <c r="R510" s="9" t="s">
        <v>1344</v>
      </c>
      <c r="S510" s="9" t="s">
        <v>1847</v>
      </c>
    </row>
    <row r="511" spans="2:19" x14ac:dyDescent="0.35">
      <c r="B511" s="18" t="s">
        <v>258</v>
      </c>
      <c r="C511" s="9" t="s">
        <v>259</v>
      </c>
      <c r="D511" s="9" t="s">
        <v>799</v>
      </c>
      <c r="E511" s="9" t="s">
        <v>39</v>
      </c>
      <c r="F511" s="17">
        <v>0.31280000000000002</v>
      </c>
      <c r="G511" s="17">
        <v>0.31159999999999999</v>
      </c>
      <c r="H511" s="17">
        <v>4.0000000000000002E-4</v>
      </c>
      <c r="I511" s="17">
        <v>8.0000000000000004E-4</v>
      </c>
      <c r="J511" s="17">
        <v>0</v>
      </c>
      <c r="K511" s="9" t="s">
        <v>1343</v>
      </c>
      <c r="L511" s="9" t="s">
        <v>260</v>
      </c>
      <c r="M511" s="9">
        <v>2022</v>
      </c>
      <c r="N511" s="9" t="s">
        <v>364</v>
      </c>
      <c r="O511" s="10" t="s">
        <v>365</v>
      </c>
      <c r="P511" s="9" t="s">
        <v>366</v>
      </c>
      <c r="Q511" s="9" t="s">
        <v>264</v>
      </c>
      <c r="R511" s="9" t="s">
        <v>1344</v>
      </c>
      <c r="S511" s="9" t="s">
        <v>1848</v>
      </c>
    </row>
    <row r="512" spans="2:19" x14ac:dyDescent="0.35">
      <c r="B512" s="18" t="s">
        <v>800</v>
      </c>
      <c r="C512" s="9" t="s">
        <v>801</v>
      </c>
      <c r="D512" s="9" t="s">
        <v>799</v>
      </c>
      <c r="E512" s="9" t="s">
        <v>39</v>
      </c>
      <c r="F512" s="17">
        <v>1.89E-2</v>
      </c>
      <c r="G512" s="17"/>
      <c r="H512" s="17"/>
      <c r="I512" s="17"/>
      <c r="J512" s="17">
        <v>1.89E-2</v>
      </c>
      <c r="K512" s="9" t="s">
        <v>1343</v>
      </c>
      <c r="L512" s="9" t="s">
        <v>802</v>
      </c>
      <c r="M512" s="9">
        <v>2023</v>
      </c>
      <c r="N512" s="9" t="s">
        <v>364</v>
      </c>
      <c r="O512" s="10" t="s">
        <v>365</v>
      </c>
      <c r="P512" s="9" t="s">
        <v>366</v>
      </c>
      <c r="Q512" s="9" t="s">
        <v>264</v>
      </c>
      <c r="R512" s="9" t="s">
        <v>1344</v>
      </c>
      <c r="S512" s="9" t="s">
        <v>1849</v>
      </c>
    </row>
    <row r="513" spans="2:19" x14ac:dyDescent="0.35">
      <c r="B513" s="18" t="s">
        <v>800</v>
      </c>
      <c r="C513" s="9" t="s">
        <v>801</v>
      </c>
      <c r="D513" s="9" t="s">
        <v>799</v>
      </c>
      <c r="E513" s="9" t="s">
        <v>39</v>
      </c>
      <c r="F513" s="17">
        <v>2.29E-2</v>
      </c>
      <c r="G513" s="17"/>
      <c r="H513" s="17"/>
      <c r="I513" s="17"/>
      <c r="J513" s="17">
        <v>2.29E-2</v>
      </c>
      <c r="K513" s="9" t="s">
        <v>1343</v>
      </c>
      <c r="L513" s="9" t="s">
        <v>802</v>
      </c>
      <c r="M513" s="9">
        <v>2022</v>
      </c>
      <c r="N513" s="9" t="s">
        <v>364</v>
      </c>
      <c r="O513" s="10" t="s">
        <v>365</v>
      </c>
      <c r="P513" s="9" t="s">
        <v>366</v>
      </c>
      <c r="Q513" s="9" t="s">
        <v>264</v>
      </c>
      <c r="R513" s="9" t="s">
        <v>1344</v>
      </c>
      <c r="S513" s="9" t="s">
        <v>1850</v>
      </c>
    </row>
    <row r="514" spans="2:19" x14ac:dyDescent="0.35">
      <c r="B514" s="18" t="s">
        <v>800</v>
      </c>
      <c r="C514" s="9" t="s">
        <v>803</v>
      </c>
      <c r="D514" s="9" t="s">
        <v>799</v>
      </c>
      <c r="E514" s="9" t="s">
        <v>39</v>
      </c>
      <c r="F514" s="17">
        <v>5.5899999999999998E-2</v>
      </c>
      <c r="G514" s="17"/>
      <c r="H514" s="17"/>
      <c r="I514" s="17"/>
      <c r="J514" s="17">
        <v>5.5899999999999998E-2</v>
      </c>
      <c r="K514" s="9" t="s">
        <v>1343</v>
      </c>
      <c r="L514" s="9" t="s">
        <v>804</v>
      </c>
      <c r="M514" s="9">
        <v>2024</v>
      </c>
      <c r="N514" s="9" t="s">
        <v>364</v>
      </c>
      <c r="O514" s="10" t="s">
        <v>365</v>
      </c>
      <c r="P514" s="9" t="s">
        <v>366</v>
      </c>
      <c r="Q514" s="9" t="s">
        <v>264</v>
      </c>
      <c r="R514" s="9" t="s">
        <v>1344</v>
      </c>
      <c r="S514" s="9" t="s">
        <v>1851</v>
      </c>
    </row>
    <row r="515" spans="2:19" x14ac:dyDescent="0.35">
      <c r="B515" s="18" t="s">
        <v>800</v>
      </c>
      <c r="C515" s="9" t="s">
        <v>803</v>
      </c>
      <c r="D515" s="9" t="s">
        <v>799</v>
      </c>
      <c r="E515" s="9" t="s">
        <v>39</v>
      </c>
      <c r="F515" s="17">
        <v>6.2799999999999995E-2</v>
      </c>
      <c r="G515" s="17"/>
      <c r="H515" s="17"/>
      <c r="I515" s="17"/>
      <c r="J515" s="17">
        <v>6.2799999999999995E-2</v>
      </c>
      <c r="K515" s="9" t="s">
        <v>1343</v>
      </c>
      <c r="L515" s="9" t="s">
        <v>804</v>
      </c>
      <c r="M515" s="9">
        <v>2023</v>
      </c>
      <c r="N515" s="9" t="s">
        <v>364</v>
      </c>
      <c r="O515" s="10" t="s">
        <v>365</v>
      </c>
      <c r="P515" s="9" t="s">
        <v>366</v>
      </c>
      <c r="Q515" s="9" t="s">
        <v>264</v>
      </c>
      <c r="R515" s="9" t="s">
        <v>1344</v>
      </c>
      <c r="S515" s="9" t="s">
        <v>1852</v>
      </c>
    </row>
    <row r="516" spans="2:19" x14ac:dyDescent="0.35">
      <c r="B516" s="18" t="s">
        <v>800</v>
      </c>
      <c r="C516" s="9" t="s">
        <v>803</v>
      </c>
      <c r="D516" s="9" t="s">
        <v>799</v>
      </c>
      <c r="E516" s="9" t="s">
        <v>39</v>
      </c>
      <c r="F516" s="17">
        <v>7.0199999999999999E-2</v>
      </c>
      <c r="G516" s="17"/>
      <c r="H516" s="17"/>
      <c r="I516" s="17"/>
      <c r="J516" s="17">
        <v>7.0199999999999999E-2</v>
      </c>
      <c r="K516" s="9" t="s">
        <v>1343</v>
      </c>
      <c r="L516" s="9" t="s">
        <v>804</v>
      </c>
      <c r="M516" s="9">
        <v>2022</v>
      </c>
      <c r="N516" s="9" t="s">
        <v>364</v>
      </c>
      <c r="O516" s="10" t="s">
        <v>365</v>
      </c>
      <c r="P516" s="9" t="s">
        <v>366</v>
      </c>
      <c r="Q516" s="9" t="s">
        <v>264</v>
      </c>
      <c r="R516" s="9" t="s">
        <v>1344</v>
      </c>
      <c r="S516" s="9" t="s">
        <v>1853</v>
      </c>
    </row>
    <row r="517" spans="2:19" x14ac:dyDescent="0.35">
      <c r="B517" s="18" t="s">
        <v>258</v>
      </c>
      <c r="C517" s="9" t="s">
        <v>259</v>
      </c>
      <c r="D517" s="9" t="s">
        <v>799</v>
      </c>
      <c r="E517" s="9" t="s">
        <v>39</v>
      </c>
      <c r="F517" s="17">
        <v>0.49909999999999999</v>
      </c>
      <c r="G517" s="17">
        <v>0.49809999999999999</v>
      </c>
      <c r="H517" s="17">
        <v>4.0000000000000002E-4</v>
      </c>
      <c r="I517" s="17">
        <v>5.9999999999999995E-4</v>
      </c>
      <c r="J517" s="17">
        <v>0</v>
      </c>
      <c r="K517" s="9" t="s">
        <v>1343</v>
      </c>
      <c r="L517" s="9" t="s">
        <v>260</v>
      </c>
      <c r="M517" s="9">
        <v>2022</v>
      </c>
      <c r="N517" s="9" t="s">
        <v>631</v>
      </c>
      <c r="O517" s="10" t="s">
        <v>632</v>
      </c>
      <c r="P517" s="9" t="s">
        <v>633</v>
      </c>
      <c r="Q517" s="9" t="s">
        <v>264</v>
      </c>
      <c r="R517" s="9" t="s">
        <v>1344</v>
      </c>
      <c r="S517" s="9" t="s">
        <v>1854</v>
      </c>
    </row>
    <row r="518" spans="2:19" x14ac:dyDescent="0.35">
      <c r="B518" s="18" t="s">
        <v>258</v>
      </c>
      <c r="C518" s="9" t="s">
        <v>259</v>
      </c>
      <c r="D518" s="9" t="s">
        <v>799</v>
      </c>
      <c r="E518" s="9" t="s">
        <v>39</v>
      </c>
      <c r="F518" s="17">
        <v>0.54079999999999995</v>
      </c>
      <c r="G518" s="17">
        <v>0.53979999999999995</v>
      </c>
      <c r="H518" s="17">
        <v>4.0000000000000002E-4</v>
      </c>
      <c r="I518" s="17">
        <v>5.9999999999999995E-4</v>
      </c>
      <c r="J518" s="17">
        <v>0</v>
      </c>
      <c r="K518" s="9" t="s">
        <v>1343</v>
      </c>
      <c r="L518" s="9" t="s">
        <v>260</v>
      </c>
      <c r="M518" s="9">
        <v>2023</v>
      </c>
      <c r="N518" s="9" t="s">
        <v>631</v>
      </c>
      <c r="O518" s="10" t="s">
        <v>632</v>
      </c>
      <c r="P518" s="9" t="s">
        <v>633</v>
      </c>
      <c r="Q518" s="9" t="s">
        <v>264</v>
      </c>
      <c r="R518" s="9" t="s">
        <v>1344</v>
      </c>
      <c r="S518" s="9" t="s">
        <v>1855</v>
      </c>
    </row>
    <row r="519" spans="2:19" x14ac:dyDescent="0.35">
      <c r="B519" s="18" t="s">
        <v>800</v>
      </c>
      <c r="C519" s="9" t="s">
        <v>801</v>
      </c>
      <c r="D519" s="9" t="s">
        <v>799</v>
      </c>
      <c r="E519" s="9" t="s">
        <v>39</v>
      </c>
      <c r="F519" s="17">
        <v>0.17899999999999999</v>
      </c>
      <c r="G519" s="17"/>
      <c r="H519" s="17"/>
      <c r="I519" s="17"/>
      <c r="J519" s="17">
        <v>0.17899999999999999</v>
      </c>
      <c r="K519" s="9" t="s">
        <v>1343</v>
      </c>
      <c r="L519" s="9" t="s">
        <v>802</v>
      </c>
      <c r="M519" s="9">
        <v>2022</v>
      </c>
      <c r="N519" s="9" t="s">
        <v>631</v>
      </c>
      <c r="O519" s="10" t="s">
        <v>632</v>
      </c>
      <c r="P519" s="9" t="s">
        <v>633</v>
      </c>
      <c r="Q519" s="9" t="s">
        <v>264</v>
      </c>
      <c r="R519" s="9" t="s">
        <v>1344</v>
      </c>
      <c r="S519" s="9" t="s">
        <v>1856</v>
      </c>
    </row>
    <row r="520" spans="2:19" x14ac:dyDescent="0.35">
      <c r="B520" s="18" t="s">
        <v>800</v>
      </c>
      <c r="C520" s="9" t="s">
        <v>801</v>
      </c>
      <c r="D520" s="9" t="s">
        <v>799</v>
      </c>
      <c r="E520" s="9" t="s">
        <v>39</v>
      </c>
      <c r="F520" s="17">
        <v>0.18429999999999999</v>
      </c>
      <c r="G520" s="17"/>
      <c r="H520" s="17"/>
      <c r="I520" s="17"/>
      <c r="J520" s="17">
        <v>0.18429999999999999</v>
      </c>
      <c r="K520" s="9" t="s">
        <v>1343</v>
      </c>
      <c r="L520" s="9" t="s">
        <v>802</v>
      </c>
      <c r="M520" s="9">
        <v>2023</v>
      </c>
      <c r="N520" s="9" t="s">
        <v>631</v>
      </c>
      <c r="O520" s="10" t="s">
        <v>632</v>
      </c>
      <c r="P520" s="9" t="s">
        <v>633</v>
      </c>
      <c r="Q520" s="9" t="s">
        <v>264</v>
      </c>
      <c r="R520" s="9" t="s">
        <v>1344</v>
      </c>
      <c r="S520" s="9" t="s">
        <v>1857</v>
      </c>
    </row>
    <row r="521" spans="2:19" x14ac:dyDescent="0.35">
      <c r="B521" s="18" t="s">
        <v>800</v>
      </c>
      <c r="C521" s="9" t="s">
        <v>803</v>
      </c>
      <c r="D521" s="9" t="s">
        <v>799</v>
      </c>
      <c r="E521" s="9" t="s">
        <v>39</v>
      </c>
      <c r="F521" s="17">
        <v>0.13070000000000001</v>
      </c>
      <c r="G521" s="17"/>
      <c r="H521" s="17"/>
      <c r="I521" s="17"/>
      <c r="J521" s="17">
        <v>0.13070000000000001</v>
      </c>
      <c r="K521" s="9" t="s">
        <v>1343</v>
      </c>
      <c r="L521" s="9" t="s">
        <v>804</v>
      </c>
      <c r="M521" s="9">
        <v>2022</v>
      </c>
      <c r="N521" s="9" t="s">
        <v>631</v>
      </c>
      <c r="O521" s="10" t="s">
        <v>632</v>
      </c>
      <c r="P521" s="9" t="s">
        <v>633</v>
      </c>
      <c r="Q521" s="9" t="s">
        <v>264</v>
      </c>
      <c r="R521" s="9" t="s">
        <v>1344</v>
      </c>
      <c r="S521" s="9" t="s">
        <v>1858</v>
      </c>
    </row>
    <row r="522" spans="2:19" x14ac:dyDescent="0.35">
      <c r="B522" s="18" t="s">
        <v>800</v>
      </c>
      <c r="C522" s="9" t="s">
        <v>803</v>
      </c>
      <c r="D522" s="9" t="s">
        <v>799</v>
      </c>
      <c r="E522" s="9" t="s">
        <v>39</v>
      </c>
      <c r="F522" s="17">
        <v>0.14180000000000001</v>
      </c>
      <c r="G522" s="17"/>
      <c r="H522" s="17"/>
      <c r="I522" s="17"/>
      <c r="J522" s="17">
        <v>0.14180000000000001</v>
      </c>
      <c r="K522" s="9" t="s">
        <v>1343</v>
      </c>
      <c r="L522" s="9" t="s">
        <v>804</v>
      </c>
      <c r="M522" s="9">
        <v>2023</v>
      </c>
      <c r="N522" s="9" t="s">
        <v>631</v>
      </c>
      <c r="O522" s="10" t="s">
        <v>632</v>
      </c>
      <c r="P522" s="9" t="s">
        <v>633</v>
      </c>
      <c r="Q522" s="9" t="s">
        <v>264</v>
      </c>
      <c r="R522" s="9" t="s">
        <v>1344</v>
      </c>
      <c r="S522" s="9" t="s">
        <v>1859</v>
      </c>
    </row>
    <row r="523" spans="2:19" x14ac:dyDescent="0.35">
      <c r="B523" s="18" t="s">
        <v>258</v>
      </c>
      <c r="C523" s="9" t="s">
        <v>259</v>
      </c>
      <c r="D523" s="9" t="s">
        <v>799</v>
      </c>
      <c r="E523" s="9" t="s">
        <v>39</v>
      </c>
      <c r="F523" s="17">
        <v>0.44569999999999999</v>
      </c>
      <c r="G523" s="17">
        <v>0.44359999999999999</v>
      </c>
      <c r="H523" s="17">
        <v>5.0000000000000001E-4</v>
      </c>
      <c r="I523" s="17">
        <v>1.6000000000000001E-3</v>
      </c>
      <c r="J523" s="17">
        <v>0</v>
      </c>
      <c r="K523" s="9" t="s">
        <v>1343</v>
      </c>
      <c r="L523" s="9" t="s">
        <v>260</v>
      </c>
      <c r="M523" s="9">
        <v>2024</v>
      </c>
      <c r="N523" s="9" t="s">
        <v>341</v>
      </c>
      <c r="O523" s="10" t="s">
        <v>342</v>
      </c>
      <c r="P523" s="9" t="s">
        <v>343</v>
      </c>
      <c r="Q523" s="9" t="s">
        <v>264</v>
      </c>
      <c r="R523" s="9" t="s">
        <v>1344</v>
      </c>
      <c r="S523" s="9" t="s">
        <v>1860</v>
      </c>
    </row>
    <row r="524" spans="2:19" x14ac:dyDescent="0.35">
      <c r="B524" s="18" t="s">
        <v>258</v>
      </c>
      <c r="C524" s="9" t="s">
        <v>259</v>
      </c>
      <c r="D524" s="9" t="s">
        <v>799</v>
      </c>
      <c r="E524" s="9" t="s">
        <v>39</v>
      </c>
      <c r="F524" s="17">
        <v>0.45029999999999998</v>
      </c>
      <c r="G524" s="17">
        <v>0.44819999999999999</v>
      </c>
      <c r="H524" s="17">
        <v>5.0000000000000001E-4</v>
      </c>
      <c r="I524" s="17">
        <v>1.6000000000000001E-3</v>
      </c>
      <c r="J524" s="17">
        <v>0</v>
      </c>
      <c r="K524" s="9" t="s">
        <v>1343</v>
      </c>
      <c r="L524" s="9" t="s">
        <v>260</v>
      </c>
      <c r="M524" s="9">
        <v>2023</v>
      </c>
      <c r="N524" s="9" t="s">
        <v>341</v>
      </c>
      <c r="O524" s="10" t="s">
        <v>342</v>
      </c>
      <c r="P524" s="9" t="s">
        <v>343</v>
      </c>
      <c r="Q524" s="9" t="s">
        <v>264</v>
      </c>
      <c r="R524" s="9" t="s">
        <v>1344</v>
      </c>
      <c r="S524" s="9" t="s">
        <v>1861</v>
      </c>
    </row>
    <row r="525" spans="2:19" x14ac:dyDescent="0.35">
      <c r="B525" s="18" t="s">
        <v>258</v>
      </c>
      <c r="C525" s="9" t="s">
        <v>259</v>
      </c>
      <c r="D525" s="9" t="s">
        <v>799</v>
      </c>
      <c r="E525" s="9" t="s">
        <v>39</v>
      </c>
      <c r="F525" s="17">
        <v>0.47270000000000001</v>
      </c>
      <c r="G525" s="17">
        <v>0.47060000000000002</v>
      </c>
      <c r="H525" s="17">
        <v>5.0000000000000001E-4</v>
      </c>
      <c r="I525" s="17">
        <v>1.6000000000000001E-3</v>
      </c>
      <c r="J525" s="17">
        <v>0</v>
      </c>
      <c r="K525" s="9" t="s">
        <v>1343</v>
      </c>
      <c r="L525" s="9" t="s">
        <v>260</v>
      </c>
      <c r="M525" s="9">
        <v>2022</v>
      </c>
      <c r="N525" s="9" t="s">
        <v>341</v>
      </c>
      <c r="O525" s="10" t="s">
        <v>342</v>
      </c>
      <c r="P525" s="9" t="s">
        <v>343</v>
      </c>
      <c r="Q525" s="9" t="s">
        <v>264</v>
      </c>
      <c r="R525" s="9" t="s">
        <v>1344</v>
      </c>
      <c r="S525" s="9" t="s">
        <v>1862</v>
      </c>
    </row>
    <row r="526" spans="2:19" x14ac:dyDescent="0.35">
      <c r="B526" s="18" t="s">
        <v>800</v>
      </c>
      <c r="C526" s="9" t="s">
        <v>801</v>
      </c>
      <c r="D526" s="9" t="s">
        <v>799</v>
      </c>
      <c r="E526" s="9" t="s">
        <v>39</v>
      </c>
      <c r="F526" s="17">
        <v>2.4299999999999999E-2</v>
      </c>
      <c r="G526" s="17"/>
      <c r="H526" s="17"/>
      <c r="I526" s="17"/>
      <c r="J526" s="17">
        <v>2.4299999999999999E-2</v>
      </c>
      <c r="K526" s="9" t="s">
        <v>1343</v>
      </c>
      <c r="L526" s="9" t="s">
        <v>802</v>
      </c>
      <c r="M526" s="9">
        <v>2022</v>
      </c>
      <c r="N526" s="9" t="s">
        <v>341</v>
      </c>
      <c r="O526" s="10" t="s">
        <v>342</v>
      </c>
      <c r="P526" s="9" t="s">
        <v>343</v>
      </c>
      <c r="Q526" s="9" t="s">
        <v>264</v>
      </c>
      <c r="R526" s="9" t="s">
        <v>1344</v>
      </c>
      <c r="S526" s="9" t="s">
        <v>1863</v>
      </c>
    </row>
    <row r="527" spans="2:19" x14ac:dyDescent="0.35">
      <c r="B527" s="18" t="s">
        <v>800</v>
      </c>
      <c r="C527" s="9" t="s">
        <v>801</v>
      </c>
      <c r="D527" s="9" t="s">
        <v>799</v>
      </c>
      <c r="E527" s="9" t="s">
        <v>39</v>
      </c>
      <c r="F527" s="17">
        <v>2.8000000000000001E-2</v>
      </c>
      <c r="G527" s="17"/>
      <c r="H527" s="17"/>
      <c r="I527" s="17"/>
      <c r="J527" s="17">
        <v>2.8000000000000001E-2</v>
      </c>
      <c r="K527" s="9" t="s">
        <v>1343</v>
      </c>
      <c r="L527" s="9" t="s">
        <v>802</v>
      </c>
      <c r="M527" s="9">
        <v>2023</v>
      </c>
      <c r="N527" s="9" t="s">
        <v>341</v>
      </c>
      <c r="O527" s="10" t="s">
        <v>342</v>
      </c>
      <c r="P527" s="9" t="s">
        <v>343</v>
      </c>
      <c r="Q527" s="9" t="s">
        <v>264</v>
      </c>
      <c r="R527" s="9" t="s">
        <v>1344</v>
      </c>
      <c r="S527" s="9" t="s">
        <v>1864</v>
      </c>
    </row>
    <row r="528" spans="2:19" x14ac:dyDescent="0.35">
      <c r="B528" s="18" t="s">
        <v>800</v>
      </c>
      <c r="C528" s="9" t="s">
        <v>803</v>
      </c>
      <c r="D528" s="9" t="s">
        <v>799</v>
      </c>
      <c r="E528" s="9" t="s">
        <v>39</v>
      </c>
      <c r="F528" s="17">
        <v>8.5500000000000007E-2</v>
      </c>
      <c r="G528" s="17"/>
      <c r="H528" s="17"/>
      <c r="I528" s="17"/>
      <c r="J528" s="17">
        <v>8.5500000000000007E-2</v>
      </c>
      <c r="K528" s="9" t="s">
        <v>1343</v>
      </c>
      <c r="L528" s="9" t="s">
        <v>804</v>
      </c>
      <c r="M528" s="9">
        <v>2024</v>
      </c>
      <c r="N528" s="9" t="s">
        <v>341</v>
      </c>
      <c r="O528" s="10" t="s">
        <v>342</v>
      </c>
      <c r="P528" s="9" t="s">
        <v>343</v>
      </c>
      <c r="Q528" s="9" t="s">
        <v>264</v>
      </c>
      <c r="R528" s="9" t="s">
        <v>1344</v>
      </c>
      <c r="S528" s="9" t="s">
        <v>1865</v>
      </c>
    </row>
    <row r="529" spans="2:19" x14ac:dyDescent="0.35">
      <c r="B529" s="18" t="s">
        <v>800</v>
      </c>
      <c r="C529" s="9" t="s">
        <v>803</v>
      </c>
      <c r="D529" s="9" t="s">
        <v>799</v>
      </c>
      <c r="E529" s="9" t="s">
        <v>39</v>
      </c>
      <c r="F529" s="17">
        <v>8.7300000000000003E-2</v>
      </c>
      <c r="G529" s="17"/>
      <c r="H529" s="17"/>
      <c r="I529" s="17"/>
      <c r="J529" s="17">
        <v>8.7300000000000003E-2</v>
      </c>
      <c r="K529" s="9" t="s">
        <v>1343</v>
      </c>
      <c r="L529" s="9" t="s">
        <v>804</v>
      </c>
      <c r="M529" s="9">
        <v>2023</v>
      </c>
      <c r="N529" s="9" t="s">
        <v>341</v>
      </c>
      <c r="O529" s="10" t="s">
        <v>342</v>
      </c>
      <c r="P529" s="9" t="s">
        <v>343</v>
      </c>
      <c r="Q529" s="9" t="s">
        <v>264</v>
      </c>
      <c r="R529" s="9" t="s">
        <v>1344</v>
      </c>
      <c r="S529" s="9" t="s">
        <v>1866</v>
      </c>
    </row>
    <row r="530" spans="2:19" x14ac:dyDescent="0.35">
      <c r="B530" s="18" t="s">
        <v>800</v>
      </c>
      <c r="C530" s="9" t="s">
        <v>803</v>
      </c>
      <c r="D530" s="9" t="s">
        <v>799</v>
      </c>
      <c r="E530" s="9" t="s">
        <v>39</v>
      </c>
      <c r="F530" s="17">
        <v>9.1600000000000001E-2</v>
      </c>
      <c r="G530" s="17"/>
      <c r="H530" s="17"/>
      <c r="I530" s="17"/>
      <c r="J530" s="17">
        <v>9.1600000000000001E-2</v>
      </c>
      <c r="K530" s="9" t="s">
        <v>1343</v>
      </c>
      <c r="L530" s="9" t="s">
        <v>804</v>
      </c>
      <c r="M530" s="9">
        <v>2022</v>
      </c>
      <c r="N530" s="9" t="s">
        <v>341</v>
      </c>
      <c r="O530" s="10" t="s">
        <v>342</v>
      </c>
      <c r="P530" s="9" t="s">
        <v>343</v>
      </c>
      <c r="Q530" s="9" t="s">
        <v>264</v>
      </c>
      <c r="R530" s="9" t="s">
        <v>1344</v>
      </c>
      <c r="S530" s="9" t="s">
        <v>1867</v>
      </c>
    </row>
    <row r="531" spans="2:19" x14ac:dyDescent="0.35">
      <c r="B531" s="18" t="s">
        <v>258</v>
      </c>
      <c r="C531" s="9" t="s">
        <v>259</v>
      </c>
      <c r="D531" s="9" t="s">
        <v>799</v>
      </c>
      <c r="E531" s="9" t="s">
        <v>39</v>
      </c>
      <c r="F531" s="17">
        <v>0.37719999999999998</v>
      </c>
      <c r="G531" s="17">
        <v>0.37680000000000002</v>
      </c>
      <c r="H531" s="17">
        <v>2.0000000000000001E-4</v>
      </c>
      <c r="I531" s="17">
        <v>2.0000000000000001E-4</v>
      </c>
      <c r="J531" s="17">
        <v>0</v>
      </c>
      <c r="K531" s="9" t="s">
        <v>1343</v>
      </c>
      <c r="L531" s="9" t="s">
        <v>260</v>
      </c>
      <c r="M531" s="9">
        <v>2022</v>
      </c>
      <c r="N531" s="9" t="s">
        <v>319</v>
      </c>
      <c r="O531" s="10" t="s">
        <v>320</v>
      </c>
      <c r="P531" s="9" t="s">
        <v>321</v>
      </c>
      <c r="Q531" s="9" t="s">
        <v>264</v>
      </c>
      <c r="R531" s="9" t="s">
        <v>1344</v>
      </c>
      <c r="S531" s="9" t="s">
        <v>1868</v>
      </c>
    </row>
    <row r="532" spans="2:19" x14ac:dyDescent="0.35">
      <c r="B532" s="18" t="s">
        <v>258</v>
      </c>
      <c r="C532" s="9" t="s">
        <v>259</v>
      </c>
      <c r="D532" s="9" t="s">
        <v>799</v>
      </c>
      <c r="E532" s="9" t="s">
        <v>39</v>
      </c>
      <c r="F532" s="17">
        <v>0.47520000000000001</v>
      </c>
      <c r="G532" s="17">
        <v>0.47420000000000001</v>
      </c>
      <c r="H532" s="17">
        <v>2.0000000000000001E-4</v>
      </c>
      <c r="I532" s="17">
        <v>8.0000000000000004E-4</v>
      </c>
      <c r="J532" s="17">
        <v>0</v>
      </c>
      <c r="K532" s="9" t="s">
        <v>1343</v>
      </c>
      <c r="L532" s="9" t="s">
        <v>260</v>
      </c>
      <c r="M532" s="9">
        <v>2023</v>
      </c>
      <c r="N532" s="9" t="s">
        <v>319</v>
      </c>
      <c r="O532" s="10" t="s">
        <v>320</v>
      </c>
      <c r="P532" s="9" t="s">
        <v>321</v>
      </c>
      <c r="Q532" s="9" t="s">
        <v>264</v>
      </c>
      <c r="R532" s="9" t="s">
        <v>1344</v>
      </c>
      <c r="S532" s="9" t="s">
        <v>1869</v>
      </c>
    </row>
    <row r="533" spans="2:19" x14ac:dyDescent="0.35">
      <c r="B533" s="18" t="s">
        <v>800</v>
      </c>
      <c r="C533" s="9" t="s">
        <v>801</v>
      </c>
      <c r="D533" s="9" t="s">
        <v>799</v>
      </c>
      <c r="E533" s="9" t="s">
        <v>39</v>
      </c>
      <c r="F533" s="17">
        <v>4.82E-2</v>
      </c>
      <c r="G533" s="17"/>
      <c r="H533" s="17"/>
      <c r="I533" s="17"/>
      <c r="J533" s="17">
        <v>4.82E-2</v>
      </c>
      <c r="K533" s="9" t="s">
        <v>1343</v>
      </c>
      <c r="L533" s="9" t="s">
        <v>802</v>
      </c>
      <c r="M533" s="9">
        <v>2022</v>
      </c>
      <c r="N533" s="9" t="s">
        <v>319</v>
      </c>
      <c r="O533" s="10" t="s">
        <v>320</v>
      </c>
      <c r="P533" s="9" t="s">
        <v>321</v>
      </c>
      <c r="Q533" s="9" t="s">
        <v>264</v>
      </c>
      <c r="R533" s="9" t="s">
        <v>1344</v>
      </c>
      <c r="S533" s="9" t="s">
        <v>1870</v>
      </c>
    </row>
    <row r="534" spans="2:19" x14ac:dyDescent="0.35">
      <c r="B534" s="18" t="s">
        <v>800</v>
      </c>
      <c r="C534" s="9" t="s">
        <v>801</v>
      </c>
      <c r="D534" s="9" t="s">
        <v>799</v>
      </c>
      <c r="E534" s="9" t="s">
        <v>39</v>
      </c>
      <c r="F534" s="17">
        <v>6.0600000000000001E-2</v>
      </c>
      <c r="G534" s="17"/>
      <c r="H534" s="17"/>
      <c r="I534" s="17"/>
      <c r="J534" s="17">
        <v>6.0600000000000001E-2</v>
      </c>
      <c r="K534" s="9" t="s">
        <v>1343</v>
      </c>
      <c r="L534" s="9" t="s">
        <v>802</v>
      </c>
      <c r="M534" s="9">
        <v>2023</v>
      </c>
      <c r="N534" s="9" t="s">
        <v>319</v>
      </c>
      <c r="O534" s="10" t="s">
        <v>320</v>
      </c>
      <c r="P534" s="9" t="s">
        <v>321</v>
      </c>
      <c r="Q534" s="9" t="s">
        <v>264</v>
      </c>
      <c r="R534" s="9" t="s">
        <v>1344</v>
      </c>
      <c r="S534" s="9" t="s">
        <v>1871</v>
      </c>
    </row>
    <row r="535" spans="2:19" x14ac:dyDescent="0.35">
      <c r="B535" s="18" t="s">
        <v>800</v>
      </c>
      <c r="C535" s="9" t="s">
        <v>803</v>
      </c>
      <c r="D535" s="9" t="s">
        <v>799</v>
      </c>
      <c r="E535" s="9" t="s">
        <v>39</v>
      </c>
      <c r="F535" s="17">
        <v>5.9900000000000002E-2</v>
      </c>
      <c r="G535" s="17"/>
      <c r="H535" s="17"/>
      <c r="I535" s="17"/>
      <c r="J535" s="17">
        <v>5.9900000000000002E-2</v>
      </c>
      <c r="K535" s="9" t="s">
        <v>1343</v>
      </c>
      <c r="L535" s="9" t="s">
        <v>804</v>
      </c>
      <c r="M535" s="9">
        <v>2022</v>
      </c>
      <c r="N535" s="9" t="s">
        <v>319</v>
      </c>
      <c r="O535" s="10" t="s">
        <v>320</v>
      </c>
      <c r="P535" s="9" t="s">
        <v>321</v>
      </c>
      <c r="Q535" s="9" t="s">
        <v>264</v>
      </c>
      <c r="R535" s="9" t="s">
        <v>1344</v>
      </c>
      <c r="S535" s="9" t="s">
        <v>1872</v>
      </c>
    </row>
    <row r="536" spans="2:19" x14ac:dyDescent="0.35">
      <c r="B536" s="18" t="s">
        <v>800</v>
      </c>
      <c r="C536" s="9" t="s">
        <v>803</v>
      </c>
      <c r="D536" s="9" t="s">
        <v>799</v>
      </c>
      <c r="E536" s="9" t="s">
        <v>39</v>
      </c>
      <c r="F536" s="17">
        <v>7.5399999999999995E-2</v>
      </c>
      <c r="G536" s="17"/>
      <c r="H536" s="17"/>
      <c r="I536" s="17"/>
      <c r="J536" s="17">
        <v>7.5399999999999995E-2</v>
      </c>
      <c r="K536" s="9" t="s">
        <v>1343</v>
      </c>
      <c r="L536" s="9" t="s">
        <v>804</v>
      </c>
      <c r="M536" s="9">
        <v>2023</v>
      </c>
      <c r="N536" s="9" t="s">
        <v>319</v>
      </c>
      <c r="O536" s="10" t="s">
        <v>320</v>
      </c>
      <c r="P536" s="9" t="s">
        <v>321</v>
      </c>
      <c r="Q536" s="9" t="s">
        <v>264</v>
      </c>
      <c r="R536" s="9" t="s">
        <v>1344</v>
      </c>
      <c r="S536" s="9" t="s">
        <v>1873</v>
      </c>
    </row>
    <row r="537" spans="2:19" x14ac:dyDescent="0.35">
      <c r="B537" s="18" t="s">
        <v>258</v>
      </c>
      <c r="C537" s="9" t="s">
        <v>259</v>
      </c>
      <c r="D537" s="9" t="s">
        <v>799</v>
      </c>
      <c r="E537" s="9" t="s">
        <v>39</v>
      </c>
      <c r="F537" s="17">
        <v>0.54359999999999997</v>
      </c>
      <c r="G537" s="17">
        <v>0.54169999999999996</v>
      </c>
      <c r="H537" s="17">
        <v>2.0000000000000001E-4</v>
      </c>
      <c r="I537" s="17">
        <v>1.6999999999999999E-3</v>
      </c>
      <c r="J537" s="17">
        <v>0</v>
      </c>
      <c r="K537" s="9" t="s">
        <v>1343</v>
      </c>
      <c r="L537" s="9" t="s">
        <v>260</v>
      </c>
      <c r="M537" s="9">
        <v>2022</v>
      </c>
      <c r="N537" s="9" t="s">
        <v>347</v>
      </c>
      <c r="O537" s="10" t="s">
        <v>348</v>
      </c>
      <c r="P537" s="9" t="s">
        <v>349</v>
      </c>
      <c r="Q537" s="9" t="s">
        <v>264</v>
      </c>
      <c r="R537" s="9" t="s">
        <v>1344</v>
      </c>
      <c r="S537" s="9" t="s">
        <v>1874</v>
      </c>
    </row>
    <row r="538" spans="2:19" x14ac:dyDescent="0.35">
      <c r="B538" s="18" t="s">
        <v>258</v>
      </c>
      <c r="C538" s="9" t="s">
        <v>259</v>
      </c>
      <c r="D538" s="9" t="s">
        <v>799</v>
      </c>
      <c r="E538" s="9" t="s">
        <v>39</v>
      </c>
      <c r="F538" s="17">
        <v>0.59889999999999999</v>
      </c>
      <c r="G538" s="17">
        <v>0.5968</v>
      </c>
      <c r="H538" s="17">
        <v>2.0000000000000001E-4</v>
      </c>
      <c r="I538" s="17">
        <v>1.9E-3</v>
      </c>
      <c r="J538" s="17">
        <v>0</v>
      </c>
      <c r="K538" s="9" t="s">
        <v>1343</v>
      </c>
      <c r="L538" s="9" t="s">
        <v>260</v>
      </c>
      <c r="M538" s="9">
        <v>2024</v>
      </c>
      <c r="N538" s="9" t="s">
        <v>347</v>
      </c>
      <c r="O538" s="10" t="s">
        <v>348</v>
      </c>
      <c r="P538" s="9" t="s">
        <v>349</v>
      </c>
      <c r="Q538" s="9" t="s">
        <v>264</v>
      </c>
      <c r="R538" s="9" t="s">
        <v>1344</v>
      </c>
      <c r="S538" s="9" t="s">
        <v>1875</v>
      </c>
    </row>
    <row r="539" spans="2:19" x14ac:dyDescent="0.35">
      <c r="B539" s="18" t="s">
        <v>258</v>
      </c>
      <c r="C539" s="9" t="s">
        <v>259</v>
      </c>
      <c r="D539" s="9" t="s">
        <v>799</v>
      </c>
      <c r="E539" s="9" t="s">
        <v>39</v>
      </c>
      <c r="F539" s="17">
        <v>0.60819999999999996</v>
      </c>
      <c r="G539" s="17">
        <v>0.60609999999999997</v>
      </c>
      <c r="H539" s="17">
        <v>2.0000000000000001E-4</v>
      </c>
      <c r="I539" s="17">
        <v>1.9E-3</v>
      </c>
      <c r="J539" s="17">
        <v>0</v>
      </c>
      <c r="K539" s="9" t="s">
        <v>1343</v>
      </c>
      <c r="L539" s="9" t="s">
        <v>260</v>
      </c>
      <c r="M539" s="9">
        <v>2023</v>
      </c>
      <c r="N539" s="9" t="s">
        <v>347</v>
      </c>
      <c r="O539" s="10" t="s">
        <v>348</v>
      </c>
      <c r="P539" s="9" t="s">
        <v>349</v>
      </c>
      <c r="Q539" s="9" t="s">
        <v>264</v>
      </c>
      <c r="R539" s="9" t="s">
        <v>1344</v>
      </c>
      <c r="S539" s="9" t="s">
        <v>1876</v>
      </c>
    </row>
    <row r="540" spans="2:19" x14ac:dyDescent="0.35">
      <c r="B540" s="18" t="s">
        <v>800</v>
      </c>
      <c r="C540" s="9" t="s">
        <v>801</v>
      </c>
      <c r="D540" s="9" t="s">
        <v>799</v>
      </c>
      <c r="E540" s="9" t="s">
        <v>39</v>
      </c>
      <c r="F540" s="17">
        <v>5.8099999999999999E-2</v>
      </c>
      <c r="G540" s="17"/>
      <c r="H540" s="17"/>
      <c r="I540" s="17"/>
      <c r="J540" s="17">
        <v>5.8099999999999999E-2</v>
      </c>
      <c r="K540" s="9" t="s">
        <v>1343</v>
      </c>
      <c r="L540" s="9" t="s">
        <v>802</v>
      </c>
      <c r="M540" s="9">
        <v>2022</v>
      </c>
      <c r="N540" s="9" t="s">
        <v>347</v>
      </c>
      <c r="O540" s="10" t="s">
        <v>348</v>
      </c>
      <c r="P540" s="9" t="s">
        <v>349</v>
      </c>
      <c r="Q540" s="9" t="s">
        <v>264</v>
      </c>
      <c r="R540" s="9" t="s">
        <v>1344</v>
      </c>
      <c r="S540" s="9" t="s">
        <v>1877</v>
      </c>
    </row>
    <row r="541" spans="2:19" x14ac:dyDescent="0.35">
      <c r="B541" s="18" t="s">
        <v>800</v>
      </c>
      <c r="C541" s="9" t="s">
        <v>801</v>
      </c>
      <c r="D541" s="9" t="s">
        <v>799</v>
      </c>
      <c r="E541" s="9" t="s">
        <v>39</v>
      </c>
      <c r="F541" s="17">
        <v>7.5600000000000001E-2</v>
      </c>
      <c r="G541" s="17"/>
      <c r="H541" s="17"/>
      <c r="I541" s="17"/>
      <c r="J541" s="17">
        <v>7.5600000000000001E-2</v>
      </c>
      <c r="K541" s="9" t="s">
        <v>1343</v>
      </c>
      <c r="L541" s="9" t="s">
        <v>802</v>
      </c>
      <c r="M541" s="9">
        <v>2023</v>
      </c>
      <c r="N541" s="9" t="s">
        <v>347</v>
      </c>
      <c r="O541" s="10" t="s">
        <v>348</v>
      </c>
      <c r="P541" s="9" t="s">
        <v>349</v>
      </c>
      <c r="Q541" s="9" t="s">
        <v>264</v>
      </c>
      <c r="R541" s="9" t="s">
        <v>1344</v>
      </c>
      <c r="S541" s="9" t="s">
        <v>1878</v>
      </c>
    </row>
    <row r="542" spans="2:19" x14ac:dyDescent="0.35">
      <c r="B542" s="18" t="s">
        <v>800</v>
      </c>
      <c r="C542" s="9" t="s">
        <v>803</v>
      </c>
      <c r="D542" s="9" t="s">
        <v>799</v>
      </c>
      <c r="E542" s="9" t="s">
        <v>39</v>
      </c>
      <c r="F542" s="17">
        <v>0.129</v>
      </c>
      <c r="G542" s="17"/>
      <c r="H542" s="17"/>
      <c r="I542" s="17"/>
      <c r="J542" s="17">
        <v>0.129</v>
      </c>
      <c r="K542" s="9" t="s">
        <v>1343</v>
      </c>
      <c r="L542" s="9" t="s">
        <v>804</v>
      </c>
      <c r="M542" s="9">
        <v>2024</v>
      </c>
      <c r="N542" s="9" t="s">
        <v>347</v>
      </c>
      <c r="O542" s="10" t="s">
        <v>348</v>
      </c>
      <c r="P542" s="9" t="s">
        <v>349</v>
      </c>
      <c r="Q542" s="9" t="s">
        <v>264</v>
      </c>
      <c r="R542" s="9" t="s">
        <v>1344</v>
      </c>
      <c r="S542" s="9" t="s">
        <v>1879</v>
      </c>
    </row>
    <row r="543" spans="2:19" x14ac:dyDescent="0.35">
      <c r="B543" s="18" t="s">
        <v>800</v>
      </c>
      <c r="C543" s="9" t="s">
        <v>803</v>
      </c>
      <c r="D543" s="9" t="s">
        <v>799</v>
      </c>
      <c r="E543" s="9" t="s">
        <v>39</v>
      </c>
      <c r="F543" s="17">
        <v>0.13039999999999999</v>
      </c>
      <c r="G543" s="17"/>
      <c r="H543" s="17"/>
      <c r="I543" s="17"/>
      <c r="J543" s="17">
        <v>0.13039999999999999</v>
      </c>
      <c r="K543" s="9" t="s">
        <v>1343</v>
      </c>
      <c r="L543" s="9" t="s">
        <v>804</v>
      </c>
      <c r="M543" s="9">
        <v>2023</v>
      </c>
      <c r="N543" s="9" t="s">
        <v>347</v>
      </c>
      <c r="O543" s="10" t="s">
        <v>348</v>
      </c>
      <c r="P543" s="9" t="s">
        <v>349</v>
      </c>
      <c r="Q543" s="9" t="s">
        <v>264</v>
      </c>
      <c r="R543" s="9" t="s">
        <v>1344</v>
      </c>
      <c r="S543" s="9" t="s">
        <v>1880</v>
      </c>
    </row>
    <row r="544" spans="2:19" x14ac:dyDescent="0.35">
      <c r="B544" s="18" t="s">
        <v>800</v>
      </c>
      <c r="C544" s="9" t="s">
        <v>803</v>
      </c>
      <c r="D544" s="9" t="s">
        <v>799</v>
      </c>
      <c r="E544" s="9" t="s">
        <v>39</v>
      </c>
      <c r="F544" s="17">
        <v>0.1336</v>
      </c>
      <c r="G544" s="17"/>
      <c r="H544" s="17"/>
      <c r="I544" s="17"/>
      <c r="J544" s="17">
        <v>0.1336</v>
      </c>
      <c r="K544" s="9" t="s">
        <v>1343</v>
      </c>
      <c r="L544" s="9" t="s">
        <v>804</v>
      </c>
      <c r="M544" s="9">
        <v>2022</v>
      </c>
      <c r="N544" s="9" t="s">
        <v>347</v>
      </c>
      <c r="O544" s="10" t="s">
        <v>348</v>
      </c>
      <c r="P544" s="9" t="s">
        <v>349</v>
      </c>
      <c r="Q544" s="9" t="s">
        <v>264</v>
      </c>
      <c r="R544" s="9" t="s">
        <v>1344</v>
      </c>
      <c r="S544" s="9" t="s">
        <v>1881</v>
      </c>
    </row>
    <row r="545" spans="2:19" x14ac:dyDescent="0.35">
      <c r="B545" s="18" t="s">
        <v>258</v>
      </c>
      <c r="C545" s="9" t="s">
        <v>259</v>
      </c>
      <c r="D545" s="9" t="s">
        <v>799</v>
      </c>
      <c r="E545" s="9" t="s">
        <v>39</v>
      </c>
      <c r="F545" s="17">
        <v>8.3400000000000002E-2</v>
      </c>
      <c r="G545" s="17">
        <v>8.2699999999999996E-2</v>
      </c>
      <c r="H545" s="17">
        <v>2.9999999999999997E-4</v>
      </c>
      <c r="I545" s="17">
        <v>4.0000000000000002E-4</v>
      </c>
      <c r="J545" s="17">
        <v>0</v>
      </c>
      <c r="K545" s="9" t="s">
        <v>1343</v>
      </c>
      <c r="L545" s="9" t="s">
        <v>260</v>
      </c>
      <c r="M545" s="9">
        <v>2024</v>
      </c>
      <c r="N545" s="9" t="s">
        <v>490</v>
      </c>
      <c r="O545" s="10" t="s">
        <v>491</v>
      </c>
      <c r="P545" s="9" t="s">
        <v>492</v>
      </c>
      <c r="Q545" s="9" t="s">
        <v>264</v>
      </c>
      <c r="R545" s="9" t="s">
        <v>1344</v>
      </c>
      <c r="S545" s="9" t="s">
        <v>1882</v>
      </c>
    </row>
    <row r="546" spans="2:19" x14ac:dyDescent="0.35">
      <c r="B546" s="18" t="s">
        <v>258</v>
      </c>
      <c r="C546" s="9" t="s">
        <v>259</v>
      </c>
      <c r="D546" s="9" t="s">
        <v>799</v>
      </c>
      <c r="E546" s="9" t="s">
        <v>39</v>
      </c>
      <c r="F546" s="17">
        <v>9.7299999999999998E-2</v>
      </c>
      <c r="G546" s="17">
        <v>9.6600000000000005E-2</v>
      </c>
      <c r="H546" s="17">
        <v>2.9999999999999997E-4</v>
      </c>
      <c r="I546" s="17">
        <v>4.0000000000000002E-4</v>
      </c>
      <c r="J546" s="17">
        <v>0</v>
      </c>
      <c r="K546" s="9" t="s">
        <v>1343</v>
      </c>
      <c r="L546" s="9" t="s">
        <v>260</v>
      </c>
      <c r="M546" s="9">
        <v>2023</v>
      </c>
      <c r="N546" s="9" t="s">
        <v>490</v>
      </c>
      <c r="O546" s="10" t="s">
        <v>491</v>
      </c>
      <c r="P546" s="9" t="s">
        <v>492</v>
      </c>
      <c r="Q546" s="9" t="s">
        <v>264</v>
      </c>
      <c r="R546" s="9" t="s">
        <v>1344</v>
      </c>
      <c r="S546" s="9" t="s">
        <v>1883</v>
      </c>
    </row>
    <row r="547" spans="2:19" x14ac:dyDescent="0.35">
      <c r="B547" s="18" t="s">
        <v>258</v>
      </c>
      <c r="C547" s="9" t="s">
        <v>259</v>
      </c>
      <c r="D547" s="9" t="s">
        <v>799</v>
      </c>
      <c r="E547" s="9" t="s">
        <v>39</v>
      </c>
      <c r="F547" s="17">
        <v>0.1167</v>
      </c>
      <c r="G547" s="17">
        <v>0.1159</v>
      </c>
      <c r="H547" s="17">
        <v>2.9999999999999997E-4</v>
      </c>
      <c r="I547" s="17">
        <v>5.0000000000000001E-4</v>
      </c>
      <c r="J547" s="17">
        <v>0</v>
      </c>
      <c r="K547" s="9" t="s">
        <v>1343</v>
      </c>
      <c r="L547" s="9" t="s">
        <v>260</v>
      </c>
      <c r="M547" s="9">
        <v>2022</v>
      </c>
      <c r="N547" s="9" t="s">
        <v>490</v>
      </c>
      <c r="O547" s="10" t="s">
        <v>491</v>
      </c>
      <c r="P547" s="9" t="s">
        <v>492</v>
      </c>
      <c r="Q547" s="9" t="s">
        <v>264</v>
      </c>
      <c r="R547" s="9" t="s">
        <v>1344</v>
      </c>
      <c r="S547" s="9" t="s">
        <v>1884</v>
      </c>
    </row>
    <row r="548" spans="2:19" x14ac:dyDescent="0.35">
      <c r="B548" s="18" t="s">
        <v>800</v>
      </c>
      <c r="C548" s="9" t="s">
        <v>801</v>
      </c>
      <c r="D548" s="9" t="s">
        <v>799</v>
      </c>
      <c r="E548" s="9" t="s">
        <v>39</v>
      </c>
      <c r="F548" s="17">
        <v>3.2000000000000001E-2</v>
      </c>
      <c r="G548" s="17"/>
      <c r="H548" s="17"/>
      <c r="I548" s="17"/>
      <c r="J548" s="17">
        <v>3.2000000000000001E-2</v>
      </c>
      <c r="K548" s="9" t="s">
        <v>1343</v>
      </c>
      <c r="L548" s="9" t="s">
        <v>802</v>
      </c>
      <c r="M548" s="9">
        <v>2023</v>
      </c>
      <c r="N548" s="9" t="s">
        <v>490</v>
      </c>
      <c r="O548" s="10" t="s">
        <v>491</v>
      </c>
      <c r="P548" s="9" t="s">
        <v>492</v>
      </c>
      <c r="Q548" s="9" t="s">
        <v>264</v>
      </c>
      <c r="R548" s="9" t="s">
        <v>1344</v>
      </c>
      <c r="S548" s="9" t="s">
        <v>1885</v>
      </c>
    </row>
    <row r="549" spans="2:19" x14ac:dyDescent="0.35">
      <c r="B549" s="18" t="s">
        <v>800</v>
      </c>
      <c r="C549" s="9" t="s">
        <v>801</v>
      </c>
      <c r="D549" s="9" t="s">
        <v>799</v>
      </c>
      <c r="E549" s="9" t="s">
        <v>39</v>
      </c>
      <c r="F549" s="17">
        <v>3.6999999999999998E-2</v>
      </c>
      <c r="G549" s="17"/>
      <c r="H549" s="17"/>
      <c r="I549" s="17"/>
      <c r="J549" s="17">
        <v>3.6999999999999998E-2</v>
      </c>
      <c r="K549" s="9" t="s">
        <v>1343</v>
      </c>
      <c r="L549" s="9" t="s">
        <v>802</v>
      </c>
      <c r="M549" s="9">
        <v>2022</v>
      </c>
      <c r="N549" s="9" t="s">
        <v>490</v>
      </c>
      <c r="O549" s="10" t="s">
        <v>491</v>
      </c>
      <c r="P549" s="9" t="s">
        <v>492</v>
      </c>
      <c r="Q549" s="9" t="s">
        <v>264</v>
      </c>
      <c r="R549" s="9" t="s">
        <v>1344</v>
      </c>
      <c r="S549" s="9" t="s">
        <v>1886</v>
      </c>
    </row>
    <row r="550" spans="2:19" x14ac:dyDescent="0.35">
      <c r="B550" s="18" t="s">
        <v>800</v>
      </c>
      <c r="C550" s="9" t="s">
        <v>803</v>
      </c>
      <c r="D550" s="9" t="s">
        <v>799</v>
      </c>
      <c r="E550" s="9" t="s">
        <v>39</v>
      </c>
      <c r="F550" s="17">
        <v>3.85E-2</v>
      </c>
      <c r="G550" s="17"/>
      <c r="H550" s="17"/>
      <c r="I550" s="17"/>
      <c r="J550" s="17">
        <v>3.85E-2</v>
      </c>
      <c r="K550" s="9" t="s">
        <v>1343</v>
      </c>
      <c r="L550" s="9" t="s">
        <v>804</v>
      </c>
      <c r="M550" s="9">
        <v>2024</v>
      </c>
      <c r="N550" s="9" t="s">
        <v>490</v>
      </c>
      <c r="O550" s="10" t="s">
        <v>491</v>
      </c>
      <c r="P550" s="9" t="s">
        <v>492</v>
      </c>
      <c r="Q550" s="9" t="s">
        <v>264</v>
      </c>
      <c r="R550" s="9" t="s">
        <v>1344</v>
      </c>
      <c r="S550" s="9" t="s">
        <v>1887</v>
      </c>
    </row>
    <row r="551" spans="2:19" x14ac:dyDescent="0.35">
      <c r="B551" s="18" t="s">
        <v>800</v>
      </c>
      <c r="C551" s="9" t="s">
        <v>803</v>
      </c>
      <c r="D551" s="9" t="s">
        <v>799</v>
      </c>
      <c r="E551" s="9" t="s">
        <v>39</v>
      </c>
      <c r="F551" s="17">
        <v>4.3200000000000002E-2</v>
      </c>
      <c r="G551" s="17"/>
      <c r="H551" s="17"/>
      <c r="I551" s="17"/>
      <c r="J551" s="17">
        <v>4.3200000000000002E-2</v>
      </c>
      <c r="K551" s="9" t="s">
        <v>1343</v>
      </c>
      <c r="L551" s="9" t="s">
        <v>804</v>
      </c>
      <c r="M551" s="9">
        <v>2023</v>
      </c>
      <c r="N551" s="9" t="s">
        <v>490</v>
      </c>
      <c r="O551" s="10" t="s">
        <v>491</v>
      </c>
      <c r="P551" s="9" t="s">
        <v>492</v>
      </c>
      <c r="Q551" s="9" t="s">
        <v>264</v>
      </c>
      <c r="R551" s="9" t="s">
        <v>1344</v>
      </c>
      <c r="S551" s="9" t="s">
        <v>1888</v>
      </c>
    </row>
    <row r="552" spans="2:19" x14ac:dyDescent="0.35">
      <c r="B552" s="18" t="s">
        <v>800</v>
      </c>
      <c r="C552" s="9" t="s">
        <v>803</v>
      </c>
      <c r="D552" s="9" t="s">
        <v>799</v>
      </c>
      <c r="E552" s="9" t="s">
        <v>39</v>
      </c>
      <c r="F552" s="17">
        <v>4.6899999999999997E-2</v>
      </c>
      <c r="G552" s="17"/>
      <c r="H552" s="17"/>
      <c r="I552" s="17"/>
      <c r="J552" s="17">
        <v>4.6899999999999997E-2</v>
      </c>
      <c r="K552" s="9" t="s">
        <v>1343</v>
      </c>
      <c r="L552" s="9" t="s">
        <v>804</v>
      </c>
      <c r="M552" s="9">
        <v>2022</v>
      </c>
      <c r="N552" s="9" t="s">
        <v>490</v>
      </c>
      <c r="O552" s="10" t="s">
        <v>491</v>
      </c>
      <c r="P552" s="9" t="s">
        <v>492</v>
      </c>
      <c r="Q552" s="9" t="s">
        <v>264</v>
      </c>
      <c r="R552" s="9" t="s">
        <v>1344</v>
      </c>
      <c r="S552" s="9" t="s">
        <v>1889</v>
      </c>
    </row>
    <row r="553" spans="2:19" x14ac:dyDescent="0.35">
      <c r="B553" s="18" t="s">
        <v>258</v>
      </c>
      <c r="C553" s="9" t="s">
        <v>259</v>
      </c>
      <c r="D553" s="9" t="s">
        <v>799</v>
      </c>
      <c r="E553" s="9" t="s">
        <v>39</v>
      </c>
      <c r="F553" s="17">
        <v>0.83799999999999997</v>
      </c>
      <c r="G553" s="17">
        <v>0.83450000000000002</v>
      </c>
      <c r="H553" s="17">
        <v>2.0000000000000001E-4</v>
      </c>
      <c r="I553" s="17">
        <v>3.3E-3</v>
      </c>
      <c r="J553" s="17">
        <v>0</v>
      </c>
      <c r="K553" s="9" t="s">
        <v>1343</v>
      </c>
      <c r="L553" s="9" t="s">
        <v>260</v>
      </c>
      <c r="M553" s="9">
        <v>2023</v>
      </c>
      <c r="N553" s="9" t="s">
        <v>661</v>
      </c>
      <c r="O553" s="10" t="s">
        <v>662</v>
      </c>
      <c r="P553" s="9" t="s">
        <v>663</v>
      </c>
      <c r="Q553" s="9" t="s">
        <v>264</v>
      </c>
      <c r="R553" s="9" t="s">
        <v>1344</v>
      </c>
      <c r="S553" s="9" t="s">
        <v>1890</v>
      </c>
    </row>
    <row r="554" spans="2:19" x14ac:dyDescent="0.35">
      <c r="B554" s="18" t="s">
        <v>258</v>
      </c>
      <c r="C554" s="9" t="s">
        <v>259</v>
      </c>
      <c r="D554" s="9" t="s">
        <v>799</v>
      </c>
      <c r="E554" s="9" t="s">
        <v>39</v>
      </c>
      <c r="F554" s="17">
        <v>0.87809999999999999</v>
      </c>
      <c r="G554" s="17">
        <v>0.87460000000000004</v>
      </c>
      <c r="H554" s="17">
        <v>2.0000000000000001E-4</v>
      </c>
      <c r="I554" s="17">
        <v>3.3E-3</v>
      </c>
      <c r="J554" s="17">
        <v>0</v>
      </c>
      <c r="K554" s="9" t="s">
        <v>1343</v>
      </c>
      <c r="L554" s="9" t="s">
        <v>260</v>
      </c>
      <c r="M554" s="9">
        <v>2024</v>
      </c>
      <c r="N554" s="9" t="s">
        <v>661</v>
      </c>
      <c r="O554" s="10" t="s">
        <v>662</v>
      </c>
      <c r="P554" s="9" t="s">
        <v>663</v>
      </c>
      <c r="Q554" s="9" t="s">
        <v>264</v>
      </c>
      <c r="R554" s="9" t="s">
        <v>1344</v>
      </c>
      <c r="S554" s="9" t="s">
        <v>1891</v>
      </c>
    </row>
    <row r="555" spans="2:19" x14ac:dyDescent="0.35">
      <c r="B555" s="18" t="s">
        <v>258</v>
      </c>
      <c r="C555" s="9" t="s">
        <v>259</v>
      </c>
      <c r="D555" s="9" t="s">
        <v>799</v>
      </c>
      <c r="E555" s="9" t="s">
        <v>39</v>
      </c>
      <c r="F555" s="17">
        <v>0.88700000000000001</v>
      </c>
      <c r="G555" s="17">
        <v>0.88329999999999997</v>
      </c>
      <c r="H555" s="17">
        <v>2.0000000000000001E-4</v>
      </c>
      <c r="I555" s="17">
        <v>3.5000000000000001E-3</v>
      </c>
      <c r="J555" s="17">
        <v>0</v>
      </c>
      <c r="K555" s="9" t="s">
        <v>1343</v>
      </c>
      <c r="L555" s="9" t="s">
        <v>260</v>
      </c>
      <c r="M555" s="9">
        <v>2022</v>
      </c>
      <c r="N555" s="9" t="s">
        <v>661</v>
      </c>
      <c r="O555" s="10" t="s">
        <v>662</v>
      </c>
      <c r="P555" s="9" t="s">
        <v>663</v>
      </c>
      <c r="Q555" s="9" t="s">
        <v>264</v>
      </c>
      <c r="R555" s="9" t="s">
        <v>1344</v>
      </c>
      <c r="S555" s="9" t="s">
        <v>1892</v>
      </c>
    </row>
    <row r="556" spans="2:19" x14ac:dyDescent="0.35">
      <c r="B556" s="18" t="s">
        <v>800</v>
      </c>
      <c r="C556" s="9" t="s">
        <v>801</v>
      </c>
      <c r="D556" s="9" t="s">
        <v>799</v>
      </c>
      <c r="E556" s="9" t="s">
        <v>39</v>
      </c>
      <c r="F556" s="17">
        <v>8.5300000000000001E-2</v>
      </c>
      <c r="G556" s="17"/>
      <c r="H556" s="17"/>
      <c r="I556" s="17"/>
      <c r="J556" s="17">
        <v>8.5300000000000001E-2</v>
      </c>
      <c r="K556" s="9" t="s">
        <v>1343</v>
      </c>
      <c r="L556" s="9" t="s">
        <v>802</v>
      </c>
      <c r="M556" s="9">
        <v>2023</v>
      </c>
      <c r="N556" s="9" t="s">
        <v>661</v>
      </c>
      <c r="O556" s="10" t="s">
        <v>662</v>
      </c>
      <c r="P556" s="9" t="s">
        <v>663</v>
      </c>
      <c r="Q556" s="9" t="s">
        <v>264</v>
      </c>
      <c r="R556" s="9" t="s">
        <v>1344</v>
      </c>
      <c r="S556" s="9" t="s">
        <v>1893</v>
      </c>
    </row>
    <row r="557" spans="2:19" x14ac:dyDescent="0.35">
      <c r="B557" s="18" t="s">
        <v>800</v>
      </c>
      <c r="C557" s="9" t="s">
        <v>801</v>
      </c>
      <c r="D557" s="9" t="s">
        <v>799</v>
      </c>
      <c r="E557" s="9" t="s">
        <v>39</v>
      </c>
      <c r="F557" s="17">
        <v>9.1300000000000006E-2</v>
      </c>
      <c r="G557" s="17"/>
      <c r="H557" s="17"/>
      <c r="I557" s="17"/>
      <c r="J557" s="17">
        <v>9.1300000000000006E-2</v>
      </c>
      <c r="K557" s="9" t="s">
        <v>1343</v>
      </c>
      <c r="L557" s="9" t="s">
        <v>802</v>
      </c>
      <c r="M557" s="9">
        <v>2022</v>
      </c>
      <c r="N557" s="9" t="s">
        <v>661</v>
      </c>
      <c r="O557" s="10" t="s">
        <v>662</v>
      </c>
      <c r="P557" s="9" t="s">
        <v>663</v>
      </c>
      <c r="Q557" s="9" t="s">
        <v>264</v>
      </c>
      <c r="R557" s="9" t="s">
        <v>1344</v>
      </c>
      <c r="S557" s="9" t="s">
        <v>1894</v>
      </c>
    </row>
    <row r="558" spans="2:19" x14ac:dyDescent="0.35">
      <c r="B558" s="18" t="s">
        <v>800</v>
      </c>
      <c r="C558" s="9" t="s">
        <v>803</v>
      </c>
      <c r="D558" s="9" t="s">
        <v>799</v>
      </c>
      <c r="E558" s="9" t="s">
        <v>39</v>
      </c>
      <c r="F558" s="17">
        <v>0.16259999999999999</v>
      </c>
      <c r="G558" s="17"/>
      <c r="H558" s="17"/>
      <c r="I558" s="17"/>
      <c r="J558" s="17">
        <v>0.16259999999999999</v>
      </c>
      <c r="K558" s="9" t="s">
        <v>1343</v>
      </c>
      <c r="L558" s="9" t="s">
        <v>804</v>
      </c>
      <c r="M558" s="9">
        <v>2023</v>
      </c>
      <c r="N558" s="9" t="s">
        <v>661</v>
      </c>
      <c r="O558" s="10" t="s">
        <v>662</v>
      </c>
      <c r="P558" s="9" t="s">
        <v>663</v>
      </c>
      <c r="Q558" s="9" t="s">
        <v>264</v>
      </c>
      <c r="R558" s="9" t="s">
        <v>1344</v>
      </c>
      <c r="S558" s="9" t="s">
        <v>1895</v>
      </c>
    </row>
    <row r="559" spans="2:19" x14ac:dyDescent="0.35">
      <c r="B559" s="18" t="s">
        <v>800</v>
      </c>
      <c r="C559" s="9" t="s">
        <v>803</v>
      </c>
      <c r="D559" s="9" t="s">
        <v>799</v>
      </c>
      <c r="E559" s="9" t="s">
        <v>39</v>
      </c>
      <c r="F559" s="17">
        <v>0.16889999999999999</v>
      </c>
      <c r="G559" s="17"/>
      <c r="H559" s="17"/>
      <c r="I559" s="17"/>
      <c r="J559" s="17">
        <v>0.16889999999999999</v>
      </c>
      <c r="K559" s="9" t="s">
        <v>1343</v>
      </c>
      <c r="L559" s="9" t="s">
        <v>804</v>
      </c>
      <c r="M559" s="9">
        <v>2022</v>
      </c>
      <c r="N559" s="9" t="s">
        <v>661</v>
      </c>
      <c r="O559" s="10" t="s">
        <v>662</v>
      </c>
      <c r="P559" s="9" t="s">
        <v>663</v>
      </c>
      <c r="Q559" s="9" t="s">
        <v>264</v>
      </c>
      <c r="R559" s="9" t="s">
        <v>1344</v>
      </c>
      <c r="S559" s="9" t="s">
        <v>1896</v>
      </c>
    </row>
    <row r="560" spans="2:19" x14ac:dyDescent="0.35">
      <c r="B560" s="18" t="s">
        <v>800</v>
      </c>
      <c r="C560" s="9" t="s">
        <v>803</v>
      </c>
      <c r="D560" s="9" t="s">
        <v>799</v>
      </c>
      <c r="E560" s="9" t="s">
        <v>39</v>
      </c>
      <c r="F560" s="17">
        <v>0.1701</v>
      </c>
      <c r="G560" s="17"/>
      <c r="H560" s="17"/>
      <c r="I560" s="17"/>
      <c r="J560" s="17">
        <v>0.1701</v>
      </c>
      <c r="K560" s="9" t="s">
        <v>1343</v>
      </c>
      <c r="L560" s="9" t="s">
        <v>804</v>
      </c>
      <c r="M560" s="9">
        <v>2024</v>
      </c>
      <c r="N560" s="9" t="s">
        <v>661</v>
      </c>
      <c r="O560" s="10" t="s">
        <v>662</v>
      </c>
      <c r="P560" s="9" t="s">
        <v>663</v>
      </c>
      <c r="Q560" s="9" t="s">
        <v>264</v>
      </c>
      <c r="R560" s="9" t="s">
        <v>1344</v>
      </c>
      <c r="S560" s="9" t="s">
        <v>1897</v>
      </c>
    </row>
    <row r="561" spans="2:19" x14ac:dyDescent="0.35">
      <c r="B561" s="18" t="s">
        <v>258</v>
      </c>
      <c r="C561" s="9" t="s">
        <v>259</v>
      </c>
      <c r="D561" s="9" t="s">
        <v>799</v>
      </c>
      <c r="E561" s="9" t="s">
        <v>39</v>
      </c>
      <c r="F561" s="17">
        <v>0.5474</v>
      </c>
      <c r="G561" s="17">
        <v>0.54630000000000001</v>
      </c>
      <c r="H561" s="17">
        <v>4.0000000000000002E-4</v>
      </c>
      <c r="I561" s="17">
        <v>6.9999999999999999E-4</v>
      </c>
      <c r="J561" s="17">
        <v>0</v>
      </c>
      <c r="K561" s="9" t="s">
        <v>1343</v>
      </c>
      <c r="L561" s="9" t="s">
        <v>260</v>
      </c>
      <c r="M561" s="9">
        <v>2022</v>
      </c>
      <c r="N561" s="9" t="s">
        <v>727</v>
      </c>
      <c r="O561" s="10" t="s">
        <v>728</v>
      </c>
      <c r="P561" s="9" t="s">
        <v>729</v>
      </c>
      <c r="Q561" s="9" t="s">
        <v>264</v>
      </c>
      <c r="R561" s="9" t="s">
        <v>1344</v>
      </c>
      <c r="S561" s="9" t="s">
        <v>1898</v>
      </c>
    </row>
    <row r="562" spans="2:19" x14ac:dyDescent="0.35">
      <c r="B562" s="18" t="s">
        <v>258</v>
      </c>
      <c r="C562" s="9" t="s">
        <v>259</v>
      </c>
      <c r="D562" s="9" t="s">
        <v>799</v>
      </c>
      <c r="E562" s="9" t="s">
        <v>39</v>
      </c>
      <c r="F562" s="17">
        <v>0.57750000000000001</v>
      </c>
      <c r="G562" s="17">
        <v>0.57640000000000002</v>
      </c>
      <c r="H562" s="17">
        <v>4.0000000000000002E-4</v>
      </c>
      <c r="I562" s="17">
        <v>6.9999999999999999E-4</v>
      </c>
      <c r="J562" s="17">
        <v>0</v>
      </c>
      <c r="K562" s="9" t="s">
        <v>1343</v>
      </c>
      <c r="L562" s="9" t="s">
        <v>260</v>
      </c>
      <c r="M562" s="9">
        <v>2023</v>
      </c>
      <c r="N562" s="9" t="s">
        <v>727</v>
      </c>
      <c r="O562" s="10" t="s">
        <v>728</v>
      </c>
      <c r="P562" s="9" t="s">
        <v>729</v>
      </c>
      <c r="Q562" s="9" t="s">
        <v>264</v>
      </c>
      <c r="R562" s="9" t="s">
        <v>1344</v>
      </c>
      <c r="S562" s="9" t="s">
        <v>1899</v>
      </c>
    </row>
    <row r="563" spans="2:19" x14ac:dyDescent="0.35">
      <c r="B563" s="18" t="s">
        <v>800</v>
      </c>
      <c r="C563" s="9" t="s">
        <v>801</v>
      </c>
      <c r="D563" s="9" t="s">
        <v>799</v>
      </c>
      <c r="E563" s="9" t="s">
        <v>39</v>
      </c>
      <c r="F563" s="17">
        <v>6.1800000000000001E-2</v>
      </c>
      <c r="G563" s="17"/>
      <c r="H563" s="17"/>
      <c r="I563" s="17"/>
      <c r="J563" s="17">
        <v>6.1800000000000001E-2</v>
      </c>
      <c r="K563" s="9" t="s">
        <v>1343</v>
      </c>
      <c r="L563" s="9" t="s">
        <v>802</v>
      </c>
      <c r="M563" s="9">
        <v>2022</v>
      </c>
      <c r="N563" s="9" t="s">
        <v>727</v>
      </c>
      <c r="O563" s="10" t="s">
        <v>728</v>
      </c>
      <c r="P563" s="9" t="s">
        <v>729</v>
      </c>
      <c r="Q563" s="9" t="s">
        <v>264</v>
      </c>
      <c r="R563" s="9" t="s">
        <v>1344</v>
      </c>
      <c r="S563" s="9" t="s">
        <v>1900</v>
      </c>
    </row>
    <row r="564" spans="2:19" x14ac:dyDescent="0.35">
      <c r="B564" s="18" t="s">
        <v>800</v>
      </c>
      <c r="C564" s="9" t="s">
        <v>801</v>
      </c>
      <c r="D564" s="9" t="s">
        <v>799</v>
      </c>
      <c r="E564" s="9" t="s">
        <v>39</v>
      </c>
      <c r="F564" s="17">
        <v>6.4699999999999994E-2</v>
      </c>
      <c r="G564" s="17"/>
      <c r="H564" s="17"/>
      <c r="I564" s="17"/>
      <c r="J564" s="17">
        <v>6.4699999999999994E-2</v>
      </c>
      <c r="K564" s="9" t="s">
        <v>1343</v>
      </c>
      <c r="L564" s="9" t="s">
        <v>802</v>
      </c>
      <c r="M564" s="9">
        <v>2023</v>
      </c>
      <c r="N564" s="9" t="s">
        <v>727</v>
      </c>
      <c r="O564" s="10" t="s">
        <v>728</v>
      </c>
      <c r="P564" s="9" t="s">
        <v>729</v>
      </c>
      <c r="Q564" s="9" t="s">
        <v>264</v>
      </c>
      <c r="R564" s="9" t="s">
        <v>1344</v>
      </c>
      <c r="S564" s="9" t="s">
        <v>1901</v>
      </c>
    </row>
    <row r="565" spans="2:19" x14ac:dyDescent="0.35">
      <c r="B565" s="18" t="s">
        <v>800</v>
      </c>
      <c r="C565" s="9" t="s">
        <v>803</v>
      </c>
      <c r="D565" s="9" t="s">
        <v>799</v>
      </c>
      <c r="E565" s="9" t="s">
        <v>39</v>
      </c>
      <c r="F565" s="17">
        <v>9.5699999999999993E-2</v>
      </c>
      <c r="G565" s="17"/>
      <c r="H565" s="17"/>
      <c r="I565" s="17"/>
      <c r="J565" s="17">
        <v>9.5699999999999993E-2</v>
      </c>
      <c r="K565" s="9" t="s">
        <v>1343</v>
      </c>
      <c r="L565" s="9" t="s">
        <v>804</v>
      </c>
      <c r="M565" s="9">
        <v>2022</v>
      </c>
      <c r="N565" s="9" t="s">
        <v>727</v>
      </c>
      <c r="O565" s="10" t="s">
        <v>728</v>
      </c>
      <c r="P565" s="9" t="s">
        <v>729</v>
      </c>
      <c r="Q565" s="9" t="s">
        <v>264</v>
      </c>
      <c r="R565" s="9" t="s">
        <v>1344</v>
      </c>
      <c r="S565" s="9" t="s">
        <v>1902</v>
      </c>
    </row>
    <row r="566" spans="2:19" x14ac:dyDescent="0.35">
      <c r="B566" s="18" t="s">
        <v>800</v>
      </c>
      <c r="C566" s="9" t="s">
        <v>803</v>
      </c>
      <c r="D566" s="9" t="s">
        <v>799</v>
      </c>
      <c r="E566" s="9" t="s">
        <v>39</v>
      </c>
      <c r="F566" s="17">
        <v>9.7299999999999998E-2</v>
      </c>
      <c r="G566" s="17"/>
      <c r="H566" s="17"/>
      <c r="I566" s="17"/>
      <c r="J566" s="17">
        <v>9.7299999999999998E-2</v>
      </c>
      <c r="K566" s="9" t="s">
        <v>1343</v>
      </c>
      <c r="L566" s="9" t="s">
        <v>804</v>
      </c>
      <c r="M566" s="9">
        <v>2023</v>
      </c>
      <c r="N566" s="9" t="s">
        <v>727</v>
      </c>
      <c r="O566" s="10" t="s">
        <v>728</v>
      </c>
      <c r="P566" s="9" t="s">
        <v>729</v>
      </c>
      <c r="Q566" s="9" t="s">
        <v>264</v>
      </c>
      <c r="R566" s="9" t="s">
        <v>1344</v>
      </c>
      <c r="S566" s="9" t="s">
        <v>1903</v>
      </c>
    </row>
    <row r="567" spans="2:19" x14ac:dyDescent="0.35">
      <c r="B567" s="18" t="s">
        <v>258</v>
      </c>
      <c r="C567" s="9" t="s">
        <v>259</v>
      </c>
      <c r="D567" s="9" t="s">
        <v>799</v>
      </c>
      <c r="E567" s="9" t="s">
        <v>39</v>
      </c>
      <c r="F567" s="17">
        <v>8.1299999999999997E-2</v>
      </c>
      <c r="G567" s="17">
        <v>8.1000000000000003E-2</v>
      </c>
      <c r="H567" s="17"/>
      <c r="I567" s="17">
        <v>2.9999999999999997E-4</v>
      </c>
      <c r="J567" s="17">
        <v>0</v>
      </c>
      <c r="K567" s="9" t="s">
        <v>1343</v>
      </c>
      <c r="L567" s="9" t="s">
        <v>260</v>
      </c>
      <c r="M567" s="9">
        <v>2024</v>
      </c>
      <c r="N567" s="9" t="s">
        <v>646</v>
      </c>
      <c r="O567" s="10" t="s">
        <v>647</v>
      </c>
      <c r="P567" s="9" t="s">
        <v>648</v>
      </c>
      <c r="Q567" s="9" t="s">
        <v>264</v>
      </c>
      <c r="R567" s="9" t="s">
        <v>1344</v>
      </c>
      <c r="S567" s="9" t="s">
        <v>1904</v>
      </c>
    </row>
    <row r="568" spans="2:19" x14ac:dyDescent="0.35">
      <c r="B568" s="18" t="s">
        <v>258</v>
      </c>
      <c r="C568" s="9" t="s">
        <v>259</v>
      </c>
      <c r="D568" s="9" t="s">
        <v>799</v>
      </c>
      <c r="E568" s="9" t="s">
        <v>39</v>
      </c>
      <c r="F568" s="17">
        <v>8.9800000000000005E-2</v>
      </c>
      <c r="G568" s="17">
        <v>8.9499999999999996E-2</v>
      </c>
      <c r="H568" s="17"/>
      <c r="I568" s="17">
        <v>2.9999999999999997E-4</v>
      </c>
      <c r="J568" s="17">
        <v>0</v>
      </c>
      <c r="K568" s="9" t="s">
        <v>1343</v>
      </c>
      <c r="L568" s="9" t="s">
        <v>260</v>
      </c>
      <c r="M568" s="9">
        <v>2023</v>
      </c>
      <c r="N568" s="9" t="s">
        <v>646</v>
      </c>
      <c r="O568" s="10" t="s">
        <v>647</v>
      </c>
      <c r="P568" s="9" t="s">
        <v>648</v>
      </c>
      <c r="Q568" s="9" t="s">
        <v>264</v>
      </c>
      <c r="R568" s="9" t="s">
        <v>1344</v>
      </c>
      <c r="S568" s="9" t="s">
        <v>1905</v>
      </c>
    </row>
    <row r="569" spans="2:19" x14ac:dyDescent="0.35">
      <c r="B569" s="18" t="s">
        <v>258</v>
      </c>
      <c r="C569" s="9" t="s">
        <v>259</v>
      </c>
      <c r="D569" s="9" t="s">
        <v>799</v>
      </c>
      <c r="E569" s="9" t="s">
        <v>39</v>
      </c>
      <c r="F569" s="17">
        <v>9.9500000000000005E-2</v>
      </c>
      <c r="G569" s="17">
        <v>9.9099999999999994E-2</v>
      </c>
      <c r="H569" s="17"/>
      <c r="I569" s="17">
        <v>4.0000000000000002E-4</v>
      </c>
      <c r="J569" s="17">
        <v>0</v>
      </c>
      <c r="K569" s="9" t="s">
        <v>1343</v>
      </c>
      <c r="L569" s="9" t="s">
        <v>260</v>
      </c>
      <c r="M569" s="9">
        <v>2022</v>
      </c>
      <c r="N569" s="9" t="s">
        <v>646</v>
      </c>
      <c r="O569" s="10" t="s">
        <v>647</v>
      </c>
      <c r="P569" s="9" t="s">
        <v>648</v>
      </c>
      <c r="Q569" s="9" t="s">
        <v>264</v>
      </c>
      <c r="R569" s="9" t="s">
        <v>1344</v>
      </c>
      <c r="S569" s="9" t="s">
        <v>1906</v>
      </c>
    </row>
    <row r="570" spans="2:19" x14ac:dyDescent="0.35">
      <c r="B570" s="18" t="s">
        <v>800</v>
      </c>
      <c r="C570" s="9" t="s">
        <v>801</v>
      </c>
      <c r="D570" s="9" t="s">
        <v>799</v>
      </c>
      <c r="E570" s="9" t="s">
        <v>39</v>
      </c>
      <c r="F570" s="17">
        <v>1.72E-2</v>
      </c>
      <c r="G570" s="17"/>
      <c r="H570" s="17"/>
      <c r="I570" s="17"/>
      <c r="J570" s="17">
        <v>1.72E-2</v>
      </c>
      <c r="K570" s="9" t="s">
        <v>1343</v>
      </c>
      <c r="L570" s="9" t="s">
        <v>802</v>
      </c>
      <c r="M570" s="9">
        <v>2023</v>
      </c>
      <c r="N570" s="9" t="s">
        <v>646</v>
      </c>
      <c r="O570" s="10" t="s">
        <v>647</v>
      </c>
      <c r="P570" s="9" t="s">
        <v>648</v>
      </c>
      <c r="Q570" s="9" t="s">
        <v>264</v>
      </c>
      <c r="R570" s="9" t="s">
        <v>1344</v>
      </c>
      <c r="S570" s="9" t="s">
        <v>1907</v>
      </c>
    </row>
    <row r="571" spans="2:19" x14ac:dyDescent="0.35">
      <c r="B571" s="18" t="s">
        <v>800</v>
      </c>
      <c r="C571" s="9" t="s">
        <v>801</v>
      </c>
      <c r="D571" s="9" t="s">
        <v>799</v>
      </c>
      <c r="E571" s="9" t="s">
        <v>39</v>
      </c>
      <c r="F571" s="17">
        <v>1.8700000000000001E-2</v>
      </c>
      <c r="G571" s="17"/>
      <c r="H571" s="17"/>
      <c r="I571" s="17"/>
      <c r="J571" s="17">
        <v>1.8700000000000001E-2</v>
      </c>
      <c r="K571" s="9" t="s">
        <v>1343</v>
      </c>
      <c r="L571" s="9" t="s">
        <v>802</v>
      </c>
      <c r="M571" s="9">
        <v>2022</v>
      </c>
      <c r="N571" s="9" t="s">
        <v>646</v>
      </c>
      <c r="O571" s="10" t="s">
        <v>647</v>
      </c>
      <c r="P571" s="9" t="s">
        <v>648</v>
      </c>
      <c r="Q571" s="9" t="s">
        <v>264</v>
      </c>
      <c r="R571" s="9" t="s">
        <v>1344</v>
      </c>
      <c r="S571" s="9" t="s">
        <v>1908</v>
      </c>
    </row>
    <row r="572" spans="2:19" x14ac:dyDescent="0.35">
      <c r="B572" s="18" t="s">
        <v>800</v>
      </c>
      <c r="C572" s="9" t="s">
        <v>803</v>
      </c>
      <c r="D572" s="9" t="s">
        <v>799</v>
      </c>
      <c r="E572" s="9" t="s">
        <v>39</v>
      </c>
      <c r="F572" s="17">
        <v>2.0500000000000001E-2</v>
      </c>
      <c r="G572" s="17"/>
      <c r="H572" s="17"/>
      <c r="I572" s="17"/>
      <c r="J572" s="17">
        <v>2.0500000000000001E-2</v>
      </c>
      <c r="K572" s="9" t="s">
        <v>1343</v>
      </c>
      <c r="L572" s="9" t="s">
        <v>804</v>
      </c>
      <c r="M572" s="9">
        <v>2024</v>
      </c>
      <c r="N572" s="9" t="s">
        <v>646</v>
      </c>
      <c r="O572" s="10" t="s">
        <v>647</v>
      </c>
      <c r="P572" s="9" t="s">
        <v>648</v>
      </c>
      <c r="Q572" s="9" t="s">
        <v>264</v>
      </c>
      <c r="R572" s="9" t="s">
        <v>1344</v>
      </c>
      <c r="S572" s="9" t="s">
        <v>1909</v>
      </c>
    </row>
    <row r="573" spans="2:19" x14ac:dyDescent="0.35">
      <c r="B573" s="18" t="s">
        <v>800</v>
      </c>
      <c r="C573" s="9" t="s">
        <v>803</v>
      </c>
      <c r="D573" s="9" t="s">
        <v>799</v>
      </c>
      <c r="E573" s="9" t="s">
        <v>39</v>
      </c>
      <c r="F573" s="17">
        <v>2.5999999999999999E-2</v>
      </c>
      <c r="G573" s="17"/>
      <c r="H573" s="17"/>
      <c r="I573" s="17"/>
      <c r="J573" s="17">
        <v>2.5999999999999999E-2</v>
      </c>
      <c r="K573" s="9" t="s">
        <v>1343</v>
      </c>
      <c r="L573" s="9" t="s">
        <v>804</v>
      </c>
      <c r="M573" s="9">
        <v>2023</v>
      </c>
      <c r="N573" s="9" t="s">
        <v>646</v>
      </c>
      <c r="O573" s="10" t="s">
        <v>647</v>
      </c>
      <c r="P573" s="9" t="s">
        <v>648</v>
      </c>
      <c r="Q573" s="9" t="s">
        <v>264</v>
      </c>
      <c r="R573" s="9" t="s">
        <v>1344</v>
      </c>
      <c r="S573" s="9" t="s">
        <v>1910</v>
      </c>
    </row>
    <row r="574" spans="2:19" x14ac:dyDescent="0.35">
      <c r="B574" s="18" t="s">
        <v>800</v>
      </c>
      <c r="C574" s="9" t="s">
        <v>803</v>
      </c>
      <c r="D574" s="9" t="s">
        <v>799</v>
      </c>
      <c r="E574" s="9" t="s">
        <v>39</v>
      </c>
      <c r="F574" s="17">
        <v>2.8500000000000001E-2</v>
      </c>
      <c r="G574" s="17"/>
      <c r="H574" s="17"/>
      <c r="I574" s="17"/>
      <c r="J574" s="17">
        <v>2.8500000000000001E-2</v>
      </c>
      <c r="K574" s="9" t="s">
        <v>1343</v>
      </c>
      <c r="L574" s="9" t="s">
        <v>804</v>
      </c>
      <c r="M574" s="9">
        <v>2022</v>
      </c>
      <c r="N574" s="9" t="s">
        <v>646</v>
      </c>
      <c r="O574" s="10" t="s">
        <v>647</v>
      </c>
      <c r="P574" s="9" t="s">
        <v>648</v>
      </c>
      <c r="Q574" s="9" t="s">
        <v>264</v>
      </c>
      <c r="R574" s="9" t="s">
        <v>1344</v>
      </c>
      <c r="S574" s="9" t="s">
        <v>1911</v>
      </c>
    </row>
    <row r="575" spans="2:19" x14ac:dyDescent="0.35">
      <c r="B575" s="18" t="s">
        <v>258</v>
      </c>
      <c r="C575" s="9" t="s">
        <v>259</v>
      </c>
      <c r="D575" s="9" t="s">
        <v>799</v>
      </c>
      <c r="E575" s="9" t="s">
        <v>39</v>
      </c>
      <c r="F575" s="17">
        <v>0.28960000000000002</v>
      </c>
      <c r="G575" s="17">
        <v>0.28839999999999999</v>
      </c>
      <c r="H575" s="17">
        <v>1E-4</v>
      </c>
      <c r="I575" s="17">
        <v>1.1000000000000001E-3</v>
      </c>
      <c r="J575" s="17">
        <v>0</v>
      </c>
      <c r="K575" s="9" t="s">
        <v>1343</v>
      </c>
      <c r="L575" s="9" t="s">
        <v>260</v>
      </c>
      <c r="M575" s="9">
        <v>2023</v>
      </c>
      <c r="N575" s="9" t="s">
        <v>546</v>
      </c>
      <c r="O575" s="10" t="s">
        <v>547</v>
      </c>
      <c r="P575" s="9" t="s">
        <v>548</v>
      </c>
      <c r="Q575" s="9" t="s">
        <v>264</v>
      </c>
      <c r="R575" s="9" t="s">
        <v>1344</v>
      </c>
      <c r="S575" s="9" t="s">
        <v>1912</v>
      </c>
    </row>
    <row r="576" spans="2:19" x14ac:dyDescent="0.35">
      <c r="B576" s="18" t="s">
        <v>258</v>
      </c>
      <c r="C576" s="9" t="s">
        <v>259</v>
      </c>
      <c r="D576" s="9" t="s">
        <v>799</v>
      </c>
      <c r="E576" s="9" t="s">
        <v>39</v>
      </c>
      <c r="F576" s="17">
        <v>0.2903</v>
      </c>
      <c r="G576" s="17">
        <v>0.28910000000000002</v>
      </c>
      <c r="H576" s="17">
        <v>1E-4</v>
      </c>
      <c r="I576" s="17">
        <v>1.1000000000000001E-3</v>
      </c>
      <c r="J576" s="17">
        <v>0</v>
      </c>
      <c r="K576" s="9" t="s">
        <v>1343</v>
      </c>
      <c r="L576" s="9" t="s">
        <v>260</v>
      </c>
      <c r="M576" s="9">
        <v>2022</v>
      </c>
      <c r="N576" s="9" t="s">
        <v>546</v>
      </c>
      <c r="O576" s="10" t="s">
        <v>547</v>
      </c>
      <c r="P576" s="9" t="s">
        <v>548</v>
      </c>
      <c r="Q576" s="9" t="s">
        <v>264</v>
      </c>
      <c r="R576" s="9" t="s">
        <v>1344</v>
      </c>
      <c r="S576" s="9" t="s">
        <v>1913</v>
      </c>
    </row>
    <row r="577" spans="2:19" x14ac:dyDescent="0.35">
      <c r="B577" s="18" t="s">
        <v>800</v>
      </c>
      <c r="C577" s="9" t="s">
        <v>801</v>
      </c>
      <c r="D577" s="9" t="s">
        <v>799</v>
      </c>
      <c r="E577" s="9" t="s">
        <v>39</v>
      </c>
      <c r="F577" s="17">
        <v>1.55E-2</v>
      </c>
      <c r="G577" s="17"/>
      <c r="H577" s="17"/>
      <c r="I577" s="17"/>
      <c r="J577" s="17">
        <v>1.55E-2</v>
      </c>
      <c r="K577" s="9" t="s">
        <v>1343</v>
      </c>
      <c r="L577" s="9" t="s">
        <v>802</v>
      </c>
      <c r="M577" s="9">
        <v>2022</v>
      </c>
      <c r="N577" s="9" t="s">
        <v>546</v>
      </c>
      <c r="O577" s="10" t="s">
        <v>547</v>
      </c>
      <c r="P577" s="9" t="s">
        <v>548</v>
      </c>
      <c r="Q577" s="9" t="s">
        <v>264</v>
      </c>
      <c r="R577" s="9" t="s">
        <v>1344</v>
      </c>
      <c r="S577" s="9" t="s">
        <v>1914</v>
      </c>
    </row>
    <row r="578" spans="2:19" x14ac:dyDescent="0.35">
      <c r="B578" s="18" t="s">
        <v>800</v>
      </c>
      <c r="C578" s="9" t="s">
        <v>801</v>
      </c>
      <c r="D578" s="9" t="s">
        <v>799</v>
      </c>
      <c r="E578" s="9" t="s">
        <v>39</v>
      </c>
      <c r="F578" s="17">
        <v>2.0299999999999999E-2</v>
      </c>
      <c r="G578" s="17"/>
      <c r="H578" s="17"/>
      <c r="I578" s="17"/>
      <c r="J578" s="17">
        <v>2.0299999999999999E-2</v>
      </c>
      <c r="K578" s="9" t="s">
        <v>1343</v>
      </c>
      <c r="L578" s="9" t="s">
        <v>802</v>
      </c>
      <c r="M578" s="9">
        <v>2023</v>
      </c>
      <c r="N578" s="9" t="s">
        <v>546</v>
      </c>
      <c r="O578" s="10" t="s">
        <v>547</v>
      </c>
      <c r="P578" s="9" t="s">
        <v>548</v>
      </c>
      <c r="Q578" s="9" t="s">
        <v>264</v>
      </c>
      <c r="R578" s="9" t="s">
        <v>1344</v>
      </c>
      <c r="S578" s="9" t="s">
        <v>1915</v>
      </c>
    </row>
    <row r="579" spans="2:19" x14ac:dyDescent="0.35">
      <c r="B579" s="18" t="s">
        <v>800</v>
      </c>
      <c r="C579" s="9" t="s">
        <v>803</v>
      </c>
      <c r="D579" s="9" t="s">
        <v>799</v>
      </c>
      <c r="E579" s="9" t="s">
        <v>39</v>
      </c>
      <c r="F579" s="17">
        <v>4.7199999999999999E-2</v>
      </c>
      <c r="G579" s="17"/>
      <c r="H579" s="17"/>
      <c r="I579" s="17"/>
      <c r="J579" s="17">
        <v>4.7199999999999999E-2</v>
      </c>
      <c r="K579" s="9" t="s">
        <v>1343</v>
      </c>
      <c r="L579" s="9" t="s">
        <v>804</v>
      </c>
      <c r="M579" s="9">
        <v>2023</v>
      </c>
      <c r="N579" s="9" t="s">
        <v>546</v>
      </c>
      <c r="O579" s="10" t="s">
        <v>547</v>
      </c>
      <c r="P579" s="9" t="s">
        <v>548</v>
      </c>
      <c r="Q579" s="9" t="s">
        <v>264</v>
      </c>
      <c r="R579" s="9" t="s">
        <v>1344</v>
      </c>
      <c r="S579" s="9" t="s">
        <v>1916</v>
      </c>
    </row>
    <row r="580" spans="2:19" x14ac:dyDescent="0.35">
      <c r="B580" s="18" t="s">
        <v>800</v>
      </c>
      <c r="C580" s="9" t="s">
        <v>803</v>
      </c>
      <c r="D580" s="9" t="s">
        <v>799</v>
      </c>
      <c r="E580" s="9" t="s">
        <v>39</v>
      </c>
      <c r="F580" s="17">
        <v>4.7300000000000002E-2</v>
      </c>
      <c r="G580" s="17"/>
      <c r="H580" s="17"/>
      <c r="I580" s="17"/>
      <c r="J580" s="17">
        <v>4.7300000000000002E-2</v>
      </c>
      <c r="K580" s="9" t="s">
        <v>1343</v>
      </c>
      <c r="L580" s="9" t="s">
        <v>804</v>
      </c>
      <c r="M580" s="9">
        <v>2022</v>
      </c>
      <c r="N580" s="9" t="s">
        <v>546</v>
      </c>
      <c r="O580" s="10" t="s">
        <v>547</v>
      </c>
      <c r="P580" s="9" t="s">
        <v>548</v>
      </c>
      <c r="Q580" s="9" t="s">
        <v>264</v>
      </c>
      <c r="R580" s="9" t="s">
        <v>1344</v>
      </c>
      <c r="S580" s="9" t="s">
        <v>1917</v>
      </c>
    </row>
    <row r="581" spans="2:19" x14ac:dyDescent="0.35">
      <c r="B581" s="18" t="s">
        <v>258</v>
      </c>
      <c r="C581" s="9" t="s">
        <v>259</v>
      </c>
      <c r="D581" s="9" t="s">
        <v>799</v>
      </c>
      <c r="E581" s="9" t="s">
        <v>39</v>
      </c>
      <c r="F581" s="17">
        <v>6.9099999999999995E-2</v>
      </c>
      <c r="G581" s="17">
        <v>6.9099999999999995E-2</v>
      </c>
      <c r="H581" s="17"/>
      <c r="I581" s="17"/>
      <c r="J581" s="17">
        <v>0</v>
      </c>
      <c r="K581" s="9" t="s">
        <v>1343</v>
      </c>
      <c r="L581" s="9" t="s">
        <v>260</v>
      </c>
      <c r="M581" s="9">
        <v>2023</v>
      </c>
      <c r="N581" s="9" t="s">
        <v>295</v>
      </c>
      <c r="O581" s="10" t="s">
        <v>296</v>
      </c>
      <c r="P581" s="9" t="s">
        <v>297</v>
      </c>
      <c r="Q581" s="9" t="s">
        <v>264</v>
      </c>
      <c r="R581" s="9" t="s">
        <v>1344</v>
      </c>
      <c r="S581" s="9" t="s">
        <v>1918</v>
      </c>
    </row>
    <row r="582" spans="2:19" x14ac:dyDescent="0.35">
      <c r="B582" s="18" t="s">
        <v>258</v>
      </c>
      <c r="C582" s="9" t="s">
        <v>259</v>
      </c>
      <c r="D582" s="9" t="s">
        <v>799</v>
      </c>
      <c r="E582" s="9" t="s">
        <v>39</v>
      </c>
      <c r="F582" s="17">
        <v>7.1800000000000003E-2</v>
      </c>
      <c r="G582" s="17">
        <v>7.1800000000000003E-2</v>
      </c>
      <c r="H582" s="17"/>
      <c r="I582" s="17"/>
      <c r="J582" s="17">
        <v>0</v>
      </c>
      <c r="K582" s="9" t="s">
        <v>1343</v>
      </c>
      <c r="L582" s="9" t="s">
        <v>260</v>
      </c>
      <c r="M582" s="9">
        <v>2022</v>
      </c>
      <c r="N582" s="9" t="s">
        <v>295</v>
      </c>
      <c r="O582" s="10" t="s">
        <v>296</v>
      </c>
      <c r="P582" s="9" t="s">
        <v>297</v>
      </c>
      <c r="Q582" s="9" t="s">
        <v>264</v>
      </c>
      <c r="R582" s="9" t="s">
        <v>1344</v>
      </c>
      <c r="S582" s="9" t="s">
        <v>1919</v>
      </c>
    </row>
    <row r="583" spans="2:19" x14ac:dyDescent="0.35">
      <c r="B583" s="18" t="s">
        <v>258</v>
      </c>
      <c r="C583" s="9" t="s">
        <v>259</v>
      </c>
      <c r="D583" s="9" t="s">
        <v>799</v>
      </c>
      <c r="E583" s="9" t="s">
        <v>39</v>
      </c>
      <c r="F583" s="17">
        <v>7.9699999999999993E-2</v>
      </c>
      <c r="G583" s="17">
        <v>7.9699999999999993E-2</v>
      </c>
      <c r="H583" s="17"/>
      <c r="I583" s="17"/>
      <c r="J583" s="17">
        <v>0</v>
      </c>
      <c r="K583" s="9" t="s">
        <v>1343</v>
      </c>
      <c r="L583" s="9" t="s">
        <v>260</v>
      </c>
      <c r="M583" s="9">
        <v>2024</v>
      </c>
      <c r="N583" s="9" t="s">
        <v>295</v>
      </c>
      <c r="O583" s="10" t="s">
        <v>296</v>
      </c>
      <c r="P583" s="9" t="s">
        <v>297</v>
      </c>
      <c r="Q583" s="9" t="s">
        <v>264</v>
      </c>
      <c r="R583" s="9" t="s">
        <v>1344</v>
      </c>
      <c r="S583" s="9" t="s">
        <v>1920</v>
      </c>
    </row>
    <row r="584" spans="2:19" x14ac:dyDescent="0.35">
      <c r="B584" s="18" t="s">
        <v>800</v>
      </c>
      <c r="C584" s="9" t="s">
        <v>801</v>
      </c>
      <c r="D584" s="9" t="s">
        <v>799</v>
      </c>
      <c r="E584" s="9" t="s">
        <v>39</v>
      </c>
      <c r="F584" s="17">
        <v>3.3999999999999998E-3</v>
      </c>
      <c r="G584" s="17"/>
      <c r="H584" s="17"/>
      <c r="I584" s="17"/>
      <c r="J584" s="17">
        <v>3.3999999999999998E-3</v>
      </c>
      <c r="K584" s="9" t="s">
        <v>1343</v>
      </c>
      <c r="L584" s="9" t="s">
        <v>802</v>
      </c>
      <c r="M584" s="9">
        <v>2022</v>
      </c>
      <c r="N584" s="9" t="s">
        <v>295</v>
      </c>
      <c r="O584" s="10" t="s">
        <v>296</v>
      </c>
      <c r="P584" s="9" t="s">
        <v>297</v>
      </c>
      <c r="Q584" s="9" t="s">
        <v>264</v>
      </c>
      <c r="R584" s="9" t="s">
        <v>1344</v>
      </c>
      <c r="S584" s="9" t="s">
        <v>1921</v>
      </c>
    </row>
    <row r="585" spans="2:19" x14ac:dyDescent="0.35">
      <c r="B585" s="18" t="s">
        <v>800</v>
      </c>
      <c r="C585" s="9" t="s">
        <v>801</v>
      </c>
      <c r="D585" s="9" t="s">
        <v>799</v>
      </c>
      <c r="E585" s="9" t="s">
        <v>39</v>
      </c>
      <c r="F585" s="17">
        <v>3.3999999999999998E-3</v>
      </c>
      <c r="G585" s="17"/>
      <c r="H585" s="17"/>
      <c r="I585" s="17"/>
      <c r="J585" s="17">
        <v>3.3999999999999998E-3</v>
      </c>
      <c r="K585" s="9" t="s">
        <v>1343</v>
      </c>
      <c r="L585" s="9" t="s">
        <v>802</v>
      </c>
      <c r="M585" s="9">
        <v>2023</v>
      </c>
      <c r="N585" s="9" t="s">
        <v>295</v>
      </c>
      <c r="O585" s="10" t="s">
        <v>296</v>
      </c>
      <c r="P585" s="9" t="s">
        <v>297</v>
      </c>
      <c r="Q585" s="9" t="s">
        <v>264</v>
      </c>
      <c r="R585" s="9" t="s">
        <v>1344</v>
      </c>
      <c r="S585" s="9" t="s">
        <v>1922</v>
      </c>
    </row>
    <row r="586" spans="2:19" x14ac:dyDescent="0.35">
      <c r="B586" s="18" t="s">
        <v>800</v>
      </c>
      <c r="C586" s="9" t="s">
        <v>803</v>
      </c>
      <c r="D586" s="9" t="s">
        <v>799</v>
      </c>
      <c r="E586" s="9" t="s">
        <v>39</v>
      </c>
      <c r="F586" s="17">
        <v>2.1399999999999999E-2</v>
      </c>
      <c r="G586" s="17"/>
      <c r="H586" s="17"/>
      <c r="I586" s="17"/>
      <c r="J586" s="17">
        <v>2.1399999999999999E-2</v>
      </c>
      <c r="K586" s="9" t="s">
        <v>1343</v>
      </c>
      <c r="L586" s="9" t="s">
        <v>804</v>
      </c>
      <c r="M586" s="9">
        <v>2023</v>
      </c>
      <c r="N586" s="9" t="s">
        <v>295</v>
      </c>
      <c r="O586" s="10" t="s">
        <v>296</v>
      </c>
      <c r="P586" s="9" t="s">
        <v>297</v>
      </c>
      <c r="Q586" s="9" t="s">
        <v>264</v>
      </c>
      <c r="R586" s="9" t="s">
        <v>1344</v>
      </c>
      <c r="S586" s="9" t="s">
        <v>1923</v>
      </c>
    </row>
    <row r="587" spans="2:19" x14ac:dyDescent="0.35">
      <c r="B587" s="18" t="s">
        <v>800</v>
      </c>
      <c r="C587" s="9" t="s">
        <v>803</v>
      </c>
      <c r="D587" s="9" t="s">
        <v>799</v>
      </c>
      <c r="E587" s="9" t="s">
        <v>39</v>
      </c>
      <c r="F587" s="17">
        <v>2.3E-2</v>
      </c>
      <c r="G587" s="17"/>
      <c r="H587" s="17"/>
      <c r="I587" s="17"/>
      <c r="J587" s="17">
        <v>2.3E-2</v>
      </c>
      <c r="K587" s="9" t="s">
        <v>1343</v>
      </c>
      <c r="L587" s="9" t="s">
        <v>804</v>
      </c>
      <c r="M587" s="9">
        <v>2022</v>
      </c>
      <c r="N587" s="9" t="s">
        <v>295</v>
      </c>
      <c r="O587" s="10" t="s">
        <v>296</v>
      </c>
      <c r="P587" s="9" t="s">
        <v>297</v>
      </c>
      <c r="Q587" s="9" t="s">
        <v>264</v>
      </c>
      <c r="R587" s="9" t="s">
        <v>1344</v>
      </c>
      <c r="S587" s="9" t="s">
        <v>1924</v>
      </c>
    </row>
    <row r="588" spans="2:19" x14ac:dyDescent="0.35">
      <c r="B588" s="18" t="s">
        <v>800</v>
      </c>
      <c r="C588" s="9" t="s">
        <v>803</v>
      </c>
      <c r="D588" s="9" t="s">
        <v>799</v>
      </c>
      <c r="E588" s="9" t="s">
        <v>39</v>
      </c>
      <c r="F588" s="17">
        <v>2.5000000000000001E-2</v>
      </c>
      <c r="G588" s="17"/>
      <c r="H588" s="17"/>
      <c r="I588" s="17"/>
      <c r="J588" s="17">
        <v>2.5000000000000001E-2</v>
      </c>
      <c r="K588" s="9" t="s">
        <v>1343</v>
      </c>
      <c r="L588" s="9" t="s">
        <v>804</v>
      </c>
      <c r="M588" s="9">
        <v>2024</v>
      </c>
      <c r="N588" s="9" t="s">
        <v>295</v>
      </c>
      <c r="O588" s="10" t="s">
        <v>296</v>
      </c>
      <c r="P588" s="9" t="s">
        <v>297</v>
      </c>
      <c r="Q588" s="9" t="s">
        <v>264</v>
      </c>
      <c r="R588" s="9" t="s">
        <v>1344</v>
      </c>
      <c r="S588" s="9" t="s">
        <v>1925</v>
      </c>
    </row>
    <row r="589" spans="2:19" x14ac:dyDescent="0.35">
      <c r="B589" s="18" t="s">
        <v>258</v>
      </c>
      <c r="C589" s="9" t="s">
        <v>259</v>
      </c>
      <c r="D589" s="9" t="s">
        <v>799</v>
      </c>
      <c r="E589" s="9" t="s">
        <v>39</v>
      </c>
      <c r="F589" s="17">
        <v>0.45329999999999998</v>
      </c>
      <c r="G589" s="17">
        <v>0.45179999999999998</v>
      </c>
      <c r="H589" s="17">
        <v>5.0000000000000001E-4</v>
      </c>
      <c r="I589" s="17">
        <v>1E-3</v>
      </c>
      <c r="J589" s="17">
        <v>0</v>
      </c>
      <c r="K589" s="9" t="s">
        <v>1343</v>
      </c>
      <c r="L589" s="9" t="s">
        <v>260</v>
      </c>
      <c r="M589" s="9">
        <v>2022</v>
      </c>
      <c r="N589" s="9" t="s">
        <v>772</v>
      </c>
      <c r="O589" s="10" t="s">
        <v>773</v>
      </c>
      <c r="P589" s="9" t="s">
        <v>774</v>
      </c>
      <c r="Q589" s="9" t="s">
        <v>264</v>
      </c>
      <c r="R589" s="9" t="s">
        <v>1344</v>
      </c>
      <c r="S589" s="9" t="s">
        <v>1926</v>
      </c>
    </row>
    <row r="590" spans="2:19" x14ac:dyDescent="0.35">
      <c r="B590" s="18" t="s">
        <v>258</v>
      </c>
      <c r="C590" s="9" t="s">
        <v>259</v>
      </c>
      <c r="D590" s="9" t="s">
        <v>799</v>
      </c>
      <c r="E590" s="9" t="s">
        <v>39</v>
      </c>
      <c r="F590" s="17">
        <v>0.54700000000000004</v>
      </c>
      <c r="G590" s="17">
        <v>0.54520000000000002</v>
      </c>
      <c r="H590" s="17">
        <v>5.9999999999999995E-4</v>
      </c>
      <c r="I590" s="17">
        <v>1.1999999999999999E-3</v>
      </c>
      <c r="J590" s="17">
        <v>0</v>
      </c>
      <c r="K590" s="9" t="s">
        <v>1343</v>
      </c>
      <c r="L590" s="9" t="s">
        <v>260</v>
      </c>
      <c r="M590" s="9">
        <v>2023</v>
      </c>
      <c r="N590" s="9" t="s">
        <v>772</v>
      </c>
      <c r="O590" s="10" t="s">
        <v>773</v>
      </c>
      <c r="P590" s="9" t="s">
        <v>774</v>
      </c>
      <c r="Q590" s="9" t="s">
        <v>264</v>
      </c>
      <c r="R590" s="9" t="s">
        <v>1344</v>
      </c>
      <c r="S590" s="9" t="s">
        <v>1927</v>
      </c>
    </row>
    <row r="591" spans="2:19" x14ac:dyDescent="0.35">
      <c r="B591" s="18" t="s">
        <v>800</v>
      </c>
      <c r="C591" s="9" t="s">
        <v>801</v>
      </c>
      <c r="D591" s="9" t="s">
        <v>799</v>
      </c>
      <c r="E591" s="9" t="s">
        <v>39</v>
      </c>
      <c r="F591" s="17">
        <v>5.62E-2</v>
      </c>
      <c r="G591" s="17"/>
      <c r="H591" s="17"/>
      <c r="I591" s="17"/>
      <c r="J591" s="17">
        <v>5.62E-2</v>
      </c>
      <c r="K591" s="9" t="s">
        <v>1343</v>
      </c>
      <c r="L591" s="9" t="s">
        <v>802</v>
      </c>
      <c r="M591" s="9">
        <v>2022</v>
      </c>
      <c r="N591" s="9" t="s">
        <v>772</v>
      </c>
      <c r="O591" s="10" t="s">
        <v>773</v>
      </c>
      <c r="P591" s="9" t="s">
        <v>774</v>
      </c>
      <c r="Q591" s="9" t="s">
        <v>264</v>
      </c>
      <c r="R591" s="9" t="s">
        <v>1344</v>
      </c>
      <c r="S591" s="9" t="s">
        <v>1928</v>
      </c>
    </row>
    <row r="592" spans="2:19" x14ac:dyDescent="0.35">
      <c r="B592" s="18" t="s">
        <v>800</v>
      </c>
      <c r="C592" s="9" t="s">
        <v>801</v>
      </c>
      <c r="D592" s="9" t="s">
        <v>799</v>
      </c>
      <c r="E592" s="9" t="s">
        <v>39</v>
      </c>
      <c r="F592" s="17">
        <v>6.6199999999999995E-2</v>
      </c>
      <c r="G592" s="17"/>
      <c r="H592" s="17"/>
      <c r="I592" s="17"/>
      <c r="J592" s="17">
        <v>6.6199999999999995E-2</v>
      </c>
      <c r="K592" s="9" t="s">
        <v>1343</v>
      </c>
      <c r="L592" s="9" t="s">
        <v>802</v>
      </c>
      <c r="M592" s="9">
        <v>2023</v>
      </c>
      <c r="N592" s="9" t="s">
        <v>772</v>
      </c>
      <c r="O592" s="10" t="s">
        <v>773</v>
      </c>
      <c r="P592" s="9" t="s">
        <v>774</v>
      </c>
      <c r="Q592" s="9" t="s">
        <v>264</v>
      </c>
      <c r="R592" s="9" t="s">
        <v>1344</v>
      </c>
      <c r="S592" s="9" t="s">
        <v>1929</v>
      </c>
    </row>
    <row r="593" spans="2:19" x14ac:dyDescent="0.35">
      <c r="B593" s="18" t="s">
        <v>800</v>
      </c>
      <c r="C593" s="9" t="s">
        <v>803</v>
      </c>
      <c r="D593" s="9" t="s">
        <v>799</v>
      </c>
      <c r="E593" s="9" t="s">
        <v>39</v>
      </c>
      <c r="F593" s="17">
        <v>0.1183</v>
      </c>
      <c r="G593" s="17"/>
      <c r="H593" s="17"/>
      <c r="I593" s="17"/>
      <c r="J593" s="17">
        <v>0.1183</v>
      </c>
      <c r="K593" s="9" t="s">
        <v>1343</v>
      </c>
      <c r="L593" s="9" t="s">
        <v>804</v>
      </c>
      <c r="M593" s="9">
        <v>2022</v>
      </c>
      <c r="N593" s="9" t="s">
        <v>772</v>
      </c>
      <c r="O593" s="10" t="s">
        <v>773</v>
      </c>
      <c r="P593" s="9" t="s">
        <v>774</v>
      </c>
      <c r="Q593" s="9" t="s">
        <v>264</v>
      </c>
      <c r="R593" s="9" t="s">
        <v>1344</v>
      </c>
      <c r="S593" s="9" t="s">
        <v>1930</v>
      </c>
    </row>
    <row r="594" spans="2:19" x14ac:dyDescent="0.35">
      <c r="B594" s="18" t="s">
        <v>800</v>
      </c>
      <c r="C594" s="9" t="s">
        <v>803</v>
      </c>
      <c r="D594" s="9" t="s">
        <v>799</v>
      </c>
      <c r="E594" s="9" t="s">
        <v>39</v>
      </c>
      <c r="F594" s="17">
        <v>0.1368</v>
      </c>
      <c r="G594" s="17"/>
      <c r="H594" s="17"/>
      <c r="I594" s="17"/>
      <c r="J594" s="17">
        <v>0.1368</v>
      </c>
      <c r="K594" s="9" t="s">
        <v>1343</v>
      </c>
      <c r="L594" s="9" t="s">
        <v>804</v>
      </c>
      <c r="M594" s="9">
        <v>2023</v>
      </c>
      <c r="N594" s="9" t="s">
        <v>772</v>
      </c>
      <c r="O594" s="10" t="s">
        <v>773</v>
      </c>
      <c r="P594" s="9" t="s">
        <v>774</v>
      </c>
      <c r="Q594" s="9" t="s">
        <v>264</v>
      </c>
      <c r="R594" s="9" t="s">
        <v>1344</v>
      </c>
      <c r="S594" s="9" t="s">
        <v>1931</v>
      </c>
    </row>
    <row r="595" spans="2:19" x14ac:dyDescent="0.35">
      <c r="B595" s="18" t="s">
        <v>258</v>
      </c>
      <c r="C595" s="9" t="s">
        <v>259</v>
      </c>
      <c r="D595" s="9" t="s">
        <v>799</v>
      </c>
      <c r="E595" s="9" t="s">
        <v>39</v>
      </c>
      <c r="F595" s="17">
        <v>0.62749999999999995</v>
      </c>
      <c r="G595" s="17">
        <v>0.62649999999999995</v>
      </c>
      <c r="H595" s="17">
        <v>4.0000000000000002E-4</v>
      </c>
      <c r="I595" s="17">
        <v>5.9999999999999995E-4</v>
      </c>
      <c r="J595" s="17">
        <v>0</v>
      </c>
      <c r="K595" s="9" t="s">
        <v>1343</v>
      </c>
      <c r="L595" s="9" t="s">
        <v>260</v>
      </c>
      <c r="M595" s="9">
        <v>2022</v>
      </c>
      <c r="N595" s="9" t="s">
        <v>739</v>
      </c>
      <c r="O595" s="10" t="s">
        <v>740</v>
      </c>
      <c r="P595" s="9" t="s">
        <v>741</v>
      </c>
      <c r="Q595" s="9" t="s">
        <v>264</v>
      </c>
      <c r="R595" s="9" t="s">
        <v>1344</v>
      </c>
      <c r="S595" s="9" t="s">
        <v>1932</v>
      </c>
    </row>
    <row r="596" spans="2:19" x14ac:dyDescent="0.35">
      <c r="B596" s="18" t="s">
        <v>258</v>
      </c>
      <c r="C596" s="9" t="s">
        <v>259</v>
      </c>
      <c r="D596" s="9" t="s">
        <v>799</v>
      </c>
      <c r="E596" s="9" t="s">
        <v>39</v>
      </c>
      <c r="F596" s="17">
        <v>0.63100000000000001</v>
      </c>
      <c r="G596" s="17">
        <v>0.63</v>
      </c>
      <c r="H596" s="17">
        <v>4.0000000000000002E-4</v>
      </c>
      <c r="I596" s="17">
        <v>5.9999999999999995E-4</v>
      </c>
      <c r="J596" s="17">
        <v>0</v>
      </c>
      <c r="K596" s="9" t="s">
        <v>1343</v>
      </c>
      <c r="L596" s="9" t="s">
        <v>260</v>
      </c>
      <c r="M596" s="9">
        <v>2023</v>
      </c>
      <c r="N596" s="9" t="s">
        <v>739</v>
      </c>
      <c r="O596" s="10" t="s">
        <v>740</v>
      </c>
      <c r="P596" s="9" t="s">
        <v>741</v>
      </c>
      <c r="Q596" s="9" t="s">
        <v>264</v>
      </c>
      <c r="R596" s="9" t="s">
        <v>1344</v>
      </c>
      <c r="S596" s="9" t="s">
        <v>1933</v>
      </c>
    </row>
    <row r="597" spans="2:19" x14ac:dyDescent="0.35">
      <c r="B597" s="18" t="s">
        <v>800</v>
      </c>
      <c r="C597" s="9" t="s">
        <v>801</v>
      </c>
      <c r="D597" s="9" t="s">
        <v>799</v>
      </c>
      <c r="E597" s="9" t="s">
        <v>39</v>
      </c>
      <c r="F597" s="17">
        <v>0.15490000000000001</v>
      </c>
      <c r="G597" s="17"/>
      <c r="H597" s="17"/>
      <c r="I597" s="17"/>
      <c r="J597" s="17">
        <v>0.15490000000000001</v>
      </c>
      <c r="K597" s="9" t="s">
        <v>1343</v>
      </c>
      <c r="L597" s="9" t="s">
        <v>802</v>
      </c>
      <c r="M597" s="9">
        <v>2022</v>
      </c>
      <c r="N597" s="9" t="s">
        <v>739</v>
      </c>
      <c r="O597" s="10" t="s">
        <v>740</v>
      </c>
      <c r="P597" s="9" t="s">
        <v>741</v>
      </c>
      <c r="Q597" s="9" t="s">
        <v>264</v>
      </c>
      <c r="R597" s="9" t="s">
        <v>1344</v>
      </c>
      <c r="S597" s="9" t="s">
        <v>1934</v>
      </c>
    </row>
    <row r="598" spans="2:19" x14ac:dyDescent="0.35">
      <c r="B598" s="18" t="s">
        <v>800</v>
      </c>
      <c r="C598" s="9" t="s">
        <v>801</v>
      </c>
      <c r="D598" s="9" t="s">
        <v>799</v>
      </c>
      <c r="E598" s="9" t="s">
        <v>39</v>
      </c>
      <c r="F598" s="17">
        <v>0.15579999999999999</v>
      </c>
      <c r="G598" s="17"/>
      <c r="H598" s="17"/>
      <c r="I598" s="17"/>
      <c r="J598" s="17">
        <v>0.15579999999999999</v>
      </c>
      <c r="K598" s="9" t="s">
        <v>1343</v>
      </c>
      <c r="L598" s="9" t="s">
        <v>802</v>
      </c>
      <c r="M598" s="9">
        <v>2023</v>
      </c>
      <c r="N598" s="9" t="s">
        <v>739</v>
      </c>
      <c r="O598" s="10" t="s">
        <v>740</v>
      </c>
      <c r="P598" s="9" t="s">
        <v>741</v>
      </c>
      <c r="Q598" s="9" t="s">
        <v>264</v>
      </c>
      <c r="R598" s="9" t="s">
        <v>1344</v>
      </c>
      <c r="S598" s="9" t="s">
        <v>1935</v>
      </c>
    </row>
    <row r="599" spans="2:19" x14ac:dyDescent="0.35">
      <c r="B599" s="18" t="s">
        <v>800</v>
      </c>
      <c r="C599" s="9" t="s">
        <v>803</v>
      </c>
      <c r="D599" s="9" t="s">
        <v>799</v>
      </c>
      <c r="E599" s="9" t="s">
        <v>39</v>
      </c>
      <c r="F599" s="17">
        <v>0.13400000000000001</v>
      </c>
      <c r="G599" s="17"/>
      <c r="H599" s="17"/>
      <c r="I599" s="17"/>
      <c r="J599" s="17">
        <v>0.13400000000000001</v>
      </c>
      <c r="K599" s="9" t="s">
        <v>1343</v>
      </c>
      <c r="L599" s="9" t="s">
        <v>804</v>
      </c>
      <c r="M599" s="9">
        <v>2022</v>
      </c>
      <c r="N599" s="9" t="s">
        <v>739</v>
      </c>
      <c r="O599" s="10" t="s">
        <v>740</v>
      </c>
      <c r="P599" s="9" t="s">
        <v>741</v>
      </c>
      <c r="Q599" s="9" t="s">
        <v>264</v>
      </c>
      <c r="R599" s="9" t="s">
        <v>1344</v>
      </c>
      <c r="S599" s="9" t="s">
        <v>1936</v>
      </c>
    </row>
    <row r="600" spans="2:19" x14ac:dyDescent="0.35">
      <c r="B600" s="18" t="s">
        <v>800</v>
      </c>
      <c r="C600" s="9" t="s">
        <v>803</v>
      </c>
      <c r="D600" s="9" t="s">
        <v>799</v>
      </c>
      <c r="E600" s="9" t="s">
        <v>39</v>
      </c>
      <c r="F600" s="17">
        <v>0.13800000000000001</v>
      </c>
      <c r="G600" s="17"/>
      <c r="H600" s="17"/>
      <c r="I600" s="17"/>
      <c r="J600" s="17">
        <v>0.13800000000000001</v>
      </c>
      <c r="K600" s="9" t="s">
        <v>1343</v>
      </c>
      <c r="L600" s="9" t="s">
        <v>804</v>
      </c>
      <c r="M600" s="9">
        <v>2023</v>
      </c>
      <c r="N600" s="9" t="s">
        <v>739</v>
      </c>
      <c r="O600" s="10" t="s">
        <v>740</v>
      </c>
      <c r="P600" s="9" t="s">
        <v>741</v>
      </c>
      <c r="Q600" s="9" t="s">
        <v>264</v>
      </c>
      <c r="R600" s="9" t="s">
        <v>1344</v>
      </c>
      <c r="S600" s="9" t="s">
        <v>1937</v>
      </c>
    </row>
    <row r="601" spans="2:19" x14ac:dyDescent="0.35">
      <c r="B601" s="18" t="s">
        <v>258</v>
      </c>
      <c r="C601" s="9" t="s">
        <v>259</v>
      </c>
      <c r="D601" s="9" t="s">
        <v>799</v>
      </c>
      <c r="E601" s="9" t="s">
        <v>39</v>
      </c>
      <c r="F601" s="17">
        <v>6.1199999999999997E-2</v>
      </c>
      <c r="G601" s="17">
        <v>6.08E-2</v>
      </c>
      <c r="H601" s="17">
        <v>2.0000000000000001E-4</v>
      </c>
      <c r="I601" s="17">
        <v>2.0000000000000001E-4</v>
      </c>
      <c r="J601" s="17">
        <v>0</v>
      </c>
      <c r="K601" s="9" t="s">
        <v>1343</v>
      </c>
      <c r="L601" s="9" t="s">
        <v>260</v>
      </c>
      <c r="M601" s="9">
        <v>2024</v>
      </c>
      <c r="N601" s="9" t="s">
        <v>280</v>
      </c>
      <c r="O601" s="10" t="s">
        <v>281</v>
      </c>
      <c r="P601" s="9" t="s">
        <v>282</v>
      </c>
      <c r="Q601" s="9" t="s">
        <v>264</v>
      </c>
      <c r="R601" s="9" t="s">
        <v>1344</v>
      </c>
      <c r="S601" s="9" t="s">
        <v>1938</v>
      </c>
    </row>
    <row r="602" spans="2:19" x14ac:dyDescent="0.35">
      <c r="B602" s="18" t="s">
        <v>258</v>
      </c>
      <c r="C602" s="9" t="s">
        <v>259</v>
      </c>
      <c r="D602" s="9" t="s">
        <v>799</v>
      </c>
      <c r="E602" s="9" t="s">
        <v>39</v>
      </c>
      <c r="F602" s="17">
        <v>6.83E-2</v>
      </c>
      <c r="G602" s="17">
        <v>6.7900000000000002E-2</v>
      </c>
      <c r="H602" s="17">
        <v>2.0000000000000001E-4</v>
      </c>
      <c r="I602" s="17">
        <v>2.0000000000000001E-4</v>
      </c>
      <c r="J602" s="17">
        <v>0</v>
      </c>
      <c r="K602" s="9" t="s">
        <v>1343</v>
      </c>
      <c r="L602" s="9" t="s">
        <v>260</v>
      </c>
      <c r="M602" s="9">
        <v>2023</v>
      </c>
      <c r="N602" s="9" t="s">
        <v>280</v>
      </c>
      <c r="O602" s="10" t="s">
        <v>281</v>
      </c>
      <c r="P602" s="9" t="s">
        <v>282</v>
      </c>
      <c r="Q602" s="9" t="s">
        <v>264</v>
      </c>
      <c r="R602" s="9" t="s">
        <v>1344</v>
      </c>
      <c r="S602" s="9" t="s">
        <v>1939</v>
      </c>
    </row>
    <row r="603" spans="2:19" x14ac:dyDescent="0.35">
      <c r="B603" s="18" t="s">
        <v>258</v>
      </c>
      <c r="C603" s="9" t="s">
        <v>259</v>
      </c>
      <c r="D603" s="9" t="s">
        <v>799</v>
      </c>
      <c r="E603" s="9" t="s">
        <v>39</v>
      </c>
      <c r="F603" s="17">
        <v>0.10050000000000001</v>
      </c>
      <c r="G603" s="17">
        <v>9.9900000000000003E-2</v>
      </c>
      <c r="H603" s="17">
        <v>2.9999999999999997E-4</v>
      </c>
      <c r="I603" s="17">
        <v>2.9999999999999997E-4</v>
      </c>
      <c r="J603" s="17">
        <v>0</v>
      </c>
      <c r="K603" s="9" t="s">
        <v>1343</v>
      </c>
      <c r="L603" s="9" t="s">
        <v>260</v>
      </c>
      <c r="M603" s="9">
        <v>2022</v>
      </c>
      <c r="N603" s="9" t="s">
        <v>280</v>
      </c>
      <c r="O603" s="10" t="s">
        <v>281</v>
      </c>
      <c r="P603" s="9" t="s">
        <v>282</v>
      </c>
      <c r="Q603" s="9" t="s">
        <v>264</v>
      </c>
      <c r="R603" s="9" t="s">
        <v>1344</v>
      </c>
      <c r="S603" s="9" t="s">
        <v>1940</v>
      </c>
    </row>
    <row r="604" spans="2:19" x14ac:dyDescent="0.35">
      <c r="B604" s="18" t="s">
        <v>800</v>
      </c>
      <c r="C604" s="9" t="s">
        <v>801</v>
      </c>
      <c r="D604" s="9" t="s">
        <v>799</v>
      </c>
      <c r="E604" s="9" t="s">
        <v>39</v>
      </c>
      <c r="F604" s="17">
        <v>5.1000000000000004E-3</v>
      </c>
      <c r="G604" s="17"/>
      <c r="H604" s="17"/>
      <c r="I604" s="17"/>
      <c r="J604" s="17">
        <v>5.1000000000000004E-3</v>
      </c>
      <c r="K604" s="9" t="s">
        <v>1343</v>
      </c>
      <c r="L604" s="9" t="s">
        <v>802</v>
      </c>
      <c r="M604" s="9">
        <v>2023</v>
      </c>
      <c r="N604" s="9" t="s">
        <v>280</v>
      </c>
      <c r="O604" s="10" t="s">
        <v>281</v>
      </c>
      <c r="P604" s="9" t="s">
        <v>282</v>
      </c>
      <c r="Q604" s="9" t="s">
        <v>264</v>
      </c>
      <c r="R604" s="9" t="s">
        <v>1344</v>
      </c>
      <c r="S604" s="9" t="s">
        <v>1941</v>
      </c>
    </row>
    <row r="605" spans="2:19" x14ac:dyDescent="0.35">
      <c r="B605" s="18" t="s">
        <v>800</v>
      </c>
      <c r="C605" s="9" t="s">
        <v>801</v>
      </c>
      <c r="D605" s="9" t="s">
        <v>799</v>
      </c>
      <c r="E605" s="9" t="s">
        <v>39</v>
      </c>
      <c r="F605" s="17">
        <v>6.7000000000000002E-3</v>
      </c>
      <c r="G605" s="17"/>
      <c r="H605" s="17"/>
      <c r="I605" s="17"/>
      <c r="J605" s="17">
        <v>6.7000000000000002E-3</v>
      </c>
      <c r="K605" s="9" t="s">
        <v>1343</v>
      </c>
      <c r="L605" s="9" t="s">
        <v>802</v>
      </c>
      <c r="M605" s="9">
        <v>2022</v>
      </c>
      <c r="N605" s="9" t="s">
        <v>280</v>
      </c>
      <c r="O605" s="10" t="s">
        <v>281</v>
      </c>
      <c r="P605" s="9" t="s">
        <v>282</v>
      </c>
      <c r="Q605" s="9" t="s">
        <v>264</v>
      </c>
      <c r="R605" s="9" t="s">
        <v>1344</v>
      </c>
      <c r="S605" s="9" t="s">
        <v>1942</v>
      </c>
    </row>
    <row r="606" spans="2:19" x14ac:dyDescent="0.35">
      <c r="B606" s="18" t="s">
        <v>800</v>
      </c>
      <c r="C606" s="9" t="s">
        <v>803</v>
      </c>
      <c r="D606" s="9" t="s">
        <v>799</v>
      </c>
      <c r="E606" s="9" t="s">
        <v>39</v>
      </c>
      <c r="F606" s="17">
        <v>2.8199999999999999E-2</v>
      </c>
      <c r="G606" s="17"/>
      <c r="H606" s="17"/>
      <c r="I606" s="17"/>
      <c r="J606" s="17">
        <v>2.8199999999999999E-2</v>
      </c>
      <c r="K606" s="9" t="s">
        <v>1343</v>
      </c>
      <c r="L606" s="9" t="s">
        <v>804</v>
      </c>
      <c r="M606" s="9">
        <v>2024</v>
      </c>
      <c r="N606" s="9" t="s">
        <v>280</v>
      </c>
      <c r="O606" s="10" t="s">
        <v>281</v>
      </c>
      <c r="P606" s="9" t="s">
        <v>282</v>
      </c>
      <c r="Q606" s="9" t="s">
        <v>264</v>
      </c>
      <c r="R606" s="9" t="s">
        <v>1344</v>
      </c>
      <c r="S606" s="9" t="s">
        <v>1943</v>
      </c>
    </row>
    <row r="607" spans="2:19" x14ac:dyDescent="0.35">
      <c r="B607" s="18" t="s">
        <v>800</v>
      </c>
      <c r="C607" s="9" t="s">
        <v>803</v>
      </c>
      <c r="D607" s="9" t="s">
        <v>799</v>
      </c>
      <c r="E607" s="9" t="s">
        <v>39</v>
      </c>
      <c r="F607" s="17">
        <v>2.93E-2</v>
      </c>
      <c r="G607" s="17"/>
      <c r="H607" s="17"/>
      <c r="I607" s="17"/>
      <c r="J607" s="17">
        <v>2.93E-2</v>
      </c>
      <c r="K607" s="9" t="s">
        <v>1343</v>
      </c>
      <c r="L607" s="9" t="s">
        <v>804</v>
      </c>
      <c r="M607" s="9">
        <v>2023</v>
      </c>
      <c r="N607" s="9" t="s">
        <v>280</v>
      </c>
      <c r="O607" s="10" t="s">
        <v>281</v>
      </c>
      <c r="P607" s="9" t="s">
        <v>282</v>
      </c>
      <c r="Q607" s="9" t="s">
        <v>264</v>
      </c>
      <c r="R607" s="9" t="s">
        <v>1344</v>
      </c>
      <c r="S607" s="9" t="s">
        <v>1944</v>
      </c>
    </row>
    <row r="608" spans="2:19" x14ac:dyDescent="0.35">
      <c r="B608" s="18" t="s">
        <v>800</v>
      </c>
      <c r="C608" s="9" t="s">
        <v>803</v>
      </c>
      <c r="D608" s="9" t="s">
        <v>799</v>
      </c>
      <c r="E608" s="9" t="s">
        <v>39</v>
      </c>
      <c r="F608" s="17">
        <v>3.3599999999999998E-2</v>
      </c>
      <c r="G608" s="17"/>
      <c r="H608" s="17"/>
      <c r="I608" s="17"/>
      <c r="J608" s="17">
        <v>3.3599999999999998E-2</v>
      </c>
      <c r="K608" s="9" t="s">
        <v>1343</v>
      </c>
      <c r="L608" s="9" t="s">
        <v>804</v>
      </c>
      <c r="M608" s="9">
        <v>2022</v>
      </c>
      <c r="N608" s="9" t="s">
        <v>280</v>
      </c>
      <c r="O608" s="10" t="s">
        <v>281</v>
      </c>
      <c r="P608" s="9" t="s">
        <v>282</v>
      </c>
      <c r="Q608" s="9" t="s">
        <v>264</v>
      </c>
      <c r="R608" s="9" t="s">
        <v>1344</v>
      </c>
      <c r="S608" s="9" t="s">
        <v>1945</v>
      </c>
    </row>
    <row r="609" spans="2:19" x14ac:dyDescent="0.35">
      <c r="B609" s="18" t="s">
        <v>258</v>
      </c>
      <c r="C609" s="9" t="s">
        <v>259</v>
      </c>
      <c r="D609" s="9" t="s">
        <v>799</v>
      </c>
      <c r="E609" s="9" t="s">
        <v>39</v>
      </c>
      <c r="F609" s="17">
        <v>5.6899999999999999E-2</v>
      </c>
      <c r="G609" s="17">
        <v>5.6000000000000001E-2</v>
      </c>
      <c r="H609" s="17">
        <v>4.0000000000000002E-4</v>
      </c>
      <c r="I609" s="17">
        <v>5.0000000000000001E-4</v>
      </c>
      <c r="J609" s="17">
        <v>0</v>
      </c>
      <c r="K609" s="9" t="s">
        <v>1343</v>
      </c>
      <c r="L609" s="9" t="s">
        <v>260</v>
      </c>
      <c r="M609" s="9">
        <v>2024</v>
      </c>
      <c r="N609" s="9" t="s">
        <v>286</v>
      </c>
      <c r="O609" s="10" t="s">
        <v>287</v>
      </c>
      <c r="P609" s="9" t="s">
        <v>288</v>
      </c>
      <c r="Q609" s="9" t="s">
        <v>264</v>
      </c>
      <c r="R609" s="9" t="s">
        <v>1344</v>
      </c>
      <c r="S609" s="9" t="s">
        <v>1946</v>
      </c>
    </row>
    <row r="610" spans="2:19" x14ac:dyDescent="0.35">
      <c r="B610" s="18" t="s">
        <v>258</v>
      </c>
      <c r="C610" s="9" t="s">
        <v>259</v>
      </c>
      <c r="D610" s="9" t="s">
        <v>799</v>
      </c>
      <c r="E610" s="9" t="s">
        <v>39</v>
      </c>
      <c r="F610" s="17">
        <v>6.1800000000000001E-2</v>
      </c>
      <c r="G610" s="17">
        <v>6.0900000000000003E-2</v>
      </c>
      <c r="H610" s="17">
        <v>4.0000000000000002E-4</v>
      </c>
      <c r="I610" s="17">
        <v>5.0000000000000001E-4</v>
      </c>
      <c r="J610" s="17">
        <v>0</v>
      </c>
      <c r="K610" s="9" t="s">
        <v>1343</v>
      </c>
      <c r="L610" s="9" t="s">
        <v>260</v>
      </c>
      <c r="M610" s="9">
        <v>2023</v>
      </c>
      <c r="N610" s="9" t="s">
        <v>286</v>
      </c>
      <c r="O610" s="10" t="s">
        <v>287</v>
      </c>
      <c r="P610" s="9" t="s">
        <v>288</v>
      </c>
      <c r="Q610" s="9" t="s">
        <v>264</v>
      </c>
      <c r="R610" s="9" t="s">
        <v>1344</v>
      </c>
      <c r="S610" s="9" t="s">
        <v>1947</v>
      </c>
    </row>
    <row r="611" spans="2:19" x14ac:dyDescent="0.35">
      <c r="B611" s="18" t="s">
        <v>258</v>
      </c>
      <c r="C611" s="9" t="s">
        <v>259</v>
      </c>
      <c r="D611" s="9" t="s">
        <v>799</v>
      </c>
      <c r="E611" s="9" t="s">
        <v>39</v>
      </c>
      <c r="F611" s="17">
        <v>9.3799999999999994E-2</v>
      </c>
      <c r="G611" s="17">
        <v>9.2499999999999999E-2</v>
      </c>
      <c r="H611" s="17">
        <v>5.9999999999999995E-4</v>
      </c>
      <c r="I611" s="17">
        <v>6.9999999999999999E-4</v>
      </c>
      <c r="J611" s="17">
        <v>0</v>
      </c>
      <c r="K611" s="9" t="s">
        <v>1343</v>
      </c>
      <c r="L611" s="9" t="s">
        <v>260</v>
      </c>
      <c r="M611" s="9">
        <v>2022</v>
      </c>
      <c r="N611" s="9" t="s">
        <v>286</v>
      </c>
      <c r="O611" s="10" t="s">
        <v>287</v>
      </c>
      <c r="P611" s="9" t="s">
        <v>288</v>
      </c>
      <c r="Q611" s="9" t="s">
        <v>264</v>
      </c>
      <c r="R611" s="9" t="s">
        <v>1344</v>
      </c>
      <c r="S611" s="9" t="s">
        <v>1948</v>
      </c>
    </row>
    <row r="612" spans="2:19" x14ac:dyDescent="0.35">
      <c r="B612" s="18" t="s">
        <v>800</v>
      </c>
      <c r="C612" s="9" t="s">
        <v>801</v>
      </c>
      <c r="D612" s="9" t="s">
        <v>799</v>
      </c>
      <c r="E612" s="9" t="s">
        <v>39</v>
      </c>
      <c r="F612" s="17">
        <v>1.4E-3</v>
      </c>
      <c r="G612" s="17"/>
      <c r="H612" s="17"/>
      <c r="I612" s="17"/>
      <c r="J612" s="17">
        <v>1.4E-3</v>
      </c>
      <c r="K612" s="9" t="s">
        <v>1343</v>
      </c>
      <c r="L612" s="9" t="s">
        <v>802</v>
      </c>
      <c r="M612" s="9">
        <v>2023</v>
      </c>
      <c r="N612" s="9" t="s">
        <v>286</v>
      </c>
      <c r="O612" s="10" t="s">
        <v>287</v>
      </c>
      <c r="P612" s="9" t="s">
        <v>288</v>
      </c>
      <c r="Q612" s="9" t="s">
        <v>264</v>
      </c>
      <c r="R612" s="9" t="s">
        <v>1344</v>
      </c>
      <c r="S612" s="9" t="s">
        <v>1949</v>
      </c>
    </row>
    <row r="613" spans="2:19" x14ac:dyDescent="0.35">
      <c r="B613" s="18" t="s">
        <v>800</v>
      </c>
      <c r="C613" s="9" t="s">
        <v>801</v>
      </c>
      <c r="D613" s="9" t="s">
        <v>799</v>
      </c>
      <c r="E613" s="9" t="s">
        <v>39</v>
      </c>
      <c r="F613" s="17">
        <v>2.3999999999999998E-3</v>
      </c>
      <c r="G613" s="17"/>
      <c r="H613" s="17"/>
      <c r="I613" s="17"/>
      <c r="J613" s="17">
        <v>2.3999999999999998E-3</v>
      </c>
      <c r="K613" s="9" t="s">
        <v>1343</v>
      </c>
      <c r="L613" s="9" t="s">
        <v>802</v>
      </c>
      <c r="M613" s="9">
        <v>2022</v>
      </c>
      <c r="N613" s="9" t="s">
        <v>286</v>
      </c>
      <c r="O613" s="10" t="s">
        <v>287</v>
      </c>
      <c r="P613" s="9" t="s">
        <v>288</v>
      </c>
      <c r="Q613" s="9" t="s">
        <v>264</v>
      </c>
      <c r="R613" s="9" t="s">
        <v>1344</v>
      </c>
      <c r="S613" s="9" t="s">
        <v>1950</v>
      </c>
    </row>
    <row r="614" spans="2:19" x14ac:dyDescent="0.35">
      <c r="B614" s="18" t="s">
        <v>800</v>
      </c>
      <c r="C614" s="9" t="s">
        <v>803</v>
      </c>
      <c r="D614" s="9" t="s">
        <v>799</v>
      </c>
      <c r="E614" s="9" t="s">
        <v>39</v>
      </c>
      <c r="F614" s="17">
        <v>2.9000000000000001E-2</v>
      </c>
      <c r="G614" s="17"/>
      <c r="H614" s="17"/>
      <c r="I614" s="17"/>
      <c r="J614" s="17">
        <v>2.9000000000000001E-2</v>
      </c>
      <c r="K614" s="9" t="s">
        <v>1343</v>
      </c>
      <c r="L614" s="9" t="s">
        <v>804</v>
      </c>
      <c r="M614" s="9">
        <v>2023</v>
      </c>
      <c r="N614" s="9" t="s">
        <v>286</v>
      </c>
      <c r="O614" s="10" t="s">
        <v>287</v>
      </c>
      <c r="P614" s="9" t="s">
        <v>288</v>
      </c>
      <c r="Q614" s="9" t="s">
        <v>264</v>
      </c>
      <c r="R614" s="9" t="s">
        <v>1344</v>
      </c>
      <c r="S614" s="9" t="s">
        <v>1951</v>
      </c>
    </row>
    <row r="615" spans="2:19" x14ac:dyDescent="0.35">
      <c r="B615" s="18" t="s">
        <v>800</v>
      </c>
      <c r="C615" s="9" t="s">
        <v>803</v>
      </c>
      <c r="D615" s="9" t="s">
        <v>799</v>
      </c>
      <c r="E615" s="9" t="s">
        <v>39</v>
      </c>
      <c r="F615" s="17">
        <v>3.0099999999999998E-2</v>
      </c>
      <c r="G615" s="17"/>
      <c r="H615" s="17"/>
      <c r="I615" s="17"/>
      <c r="J615" s="17">
        <v>3.0099999999999998E-2</v>
      </c>
      <c r="K615" s="9" t="s">
        <v>1343</v>
      </c>
      <c r="L615" s="9" t="s">
        <v>804</v>
      </c>
      <c r="M615" s="9">
        <v>2024</v>
      </c>
      <c r="N615" s="9" t="s">
        <v>286</v>
      </c>
      <c r="O615" s="10" t="s">
        <v>287</v>
      </c>
      <c r="P615" s="9" t="s">
        <v>288</v>
      </c>
      <c r="Q615" s="9" t="s">
        <v>264</v>
      </c>
      <c r="R615" s="9" t="s">
        <v>1344</v>
      </c>
      <c r="S615" s="9" t="s">
        <v>1952</v>
      </c>
    </row>
    <row r="616" spans="2:19" x14ac:dyDescent="0.35">
      <c r="B616" s="18" t="s">
        <v>800</v>
      </c>
      <c r="C616" s="9" t="s">
        <v>803</v>
      </c>
      <c r="D616" s="9" t="s">
        <v>799</v>
      </c>
      <c r="E616" s="9" t="s">
        <v>39</v>
      </c>
      <c r="F616" s="17">
        <v>3.4200000000000001E-2</v>
      </c>
      <c r="G616" s="17"/>
      <c r="H616" s="17"/>
      <c r="I616" s="17"/>
      <c r="J616" s="17">
        <v>3.4200000000000001E-2</v>
      </c>
      <c r="K616" s="9" t="s">
        <v>1343</v>
      </c>
      <c r="L616" s="9" t="s">
        <v>804</v>
      </c>
      <c r="M616" s="9">
        <v>2022</v>
      </c>
      <c r="N616" s="9" t="s">
        <v>286</v>
      </c>
      <c r="O616" s="10" t="s">
        <v>287</v>
      </c>
      <c r="P616" s="9" t="s">
        <v>288</v>
      </c>
      <c r="Q616" s="9" t="s">
        <v>264</v>
      </c>
      <c r="R616" s="9" t="s">
        <v>1344</v>
      </c>
      <c r="S616" s="9" t="s">
        <v>1953</v>
      </c>
    </row>
    <row r="617" spans="2:19" x14ac:dyDescent="0.35">
      <c r="B617" s="18" t="s">
        <v>258</v>
      </c>
      <c r="C617" s="9" t="s">
        <v>259</v>
      </c>
      <c r="D617" s="9" t="s">
        <v>799</v>
      </c>
      <c r="E617" s="9" t="s">
        <v>39</v>
      </c>
      <c r="F617" s="17">
        <v>0.52580000000000005</v>
      </c>
      <c r="G617" s="17">
        <v>0.52359999999999995</v>
      </c>
      <c r="H617" s="17">
        <v>5.0000000000000001E-4</v>
      </c>
      <c r="I617" s="17">
        <v>1.6999999999999999E-3</v>
      </c>
      <c r="J617" s="17">
        <v>0</v>
      </c>
      <c r="K617" s="9" t="s">
        <v>1343</v>
      </c>
      <c r="L617" s="9" t="s">
        <v>260</v>
      </c>
      <c r="M617" s="9">
        <v>2023</v>
      </c>
      <c r="N617" s="9" t="s">
        <v>525</v>
      </c>
      <c r="O617" s="10" t="s">
        <v>526</v>
      </c>
      <c r="P617" s="9" t="s">
        <v>527</v>
      </c>
      <c r="Q617" s="9" t="s">
        <v>264</v>
      </c>
      <c r="R617" s="9" t="s">
        <v>1344</v>
      </c>
      <c r="S617" s="9" t="s">
        <v>1954</v>
      </c>
    </row>
    <row r="618" spans="2:19" x14ac:dyDescent="0.35">
      <c r="B618" s="18" t="s">
        <v>258</v>
      </c>
      <c r="C618" s="9" t="s">
        <v>259</v>
      </c>
      <c r="D618" s="9" t="s">
        <v>799</v>
      </c>
      <c r="E618" s="9" t="s">
        <v>39</v>
      </c>
      <c r="F618" s="17">
        <v>0.63590000000000002</v>
      </c>
      <c r="G618" s="17">
        <v>0.63329999999999997</v>
      </c>
      <c r="H618" s="17">
        <v>5.9999999999999995E-4</v>
      </c>
      <c r="I618" s="17">
        <v>2E-3</v>
      </c>
      <c r="J618" s="17">
        <v>0</v>
      </c>
      <c r="K618" s="9" t="s">
        <v>1343</v>
      </c>
      <c r="L618" s="9" t="s">
        <v>260</v>
      </c>
      <c r="M618" s="9">
        <v>2022</v>
      </c>
      <c r="N618" s="9" t="s">
        <v>525</v>
      </c>
      <c r="O618" s="10" t="s">
        <v>526</v>
      </c>
      <c r="P618" s="9" t="s">
        <v>527</v>
      </c>
      <c r="Q618" s="9" t="s">
        <v>264</v>
      </c>
      <c r="R618" s="9" t="s">
        <v>1344</v>
      </c>
      <c r="S618" s="9" t="s">
        <v>1955</v>
      </c>
    </row>
    <row r="619" spans="2:19" x14ac:dyDescent="0.35">
      <c r="B619" s="18" t="s">
        <v>800</v>
      </c>
      <c r="C619" s="9" t="s">
        <v>801</v>
      </c>
      <c r="D619" s="9" t="s">
        <v>799</v>
      </c>
      <c r="E619" s="9" t="s">
        <v>39</v>
      </c>
      <c r="F619" s="17">
        <v>3.4099999999999998E-2</v>
      </c>
      <c r="G619" s="17"/>
      <c r="H619" s="17"/>
      <c r="I619" s="17"/>
      <c r="J619" s="17">
        <v>3.4099999999999998E-2</v>
      </c>
      <c r="K619" s="9" t="s">
        <v>1343</v>
      </c>
      <c r="L619" s="9" t="s">
        <v>802</v>
      </c>
      <c r="M619" s="9">
        <v>2023</v>
      </c>
      <c r="N619" s="9" t="s">
        <v>525</v>
      </c>
      <c r="O619" s="10" t="s">
        <v>526</v>
      </c>
      <c r="P619" s="9" t="s">
        <v>527</v>
      </c>
      <c r="Q619" s="9" t="s">
        <v>264</v>
      </c>
      <c r="R619" s="9" t="s">
        <v>1344</v>
      </c>
      <c r="S619" s="9" t="s">
        <v>1956</v>
      </c>
    </row>
    <row r="620" spans="2:19" x14ac:dyDescent="0.35">
      <c r="B620" s="18" t="s">
        <v>800</v>
      </c>
      <c r="C620" s="9" t="s">
        <v>801</v>
      </c>
      <c r="D620" s="9" t="s">
        <v>799</v>
      </c>
      <c r="E620" s="9" t="s">
        <v>39</v>
      </c>
      <c r="F620" s="17">
        <v>4.1399999999999999E-2</v>
      </c>
      <c r="G620" s="17"/>
      <c r="H620" s="17"/>
      <c r="I620" s="17"/>
      <c r="J620" s="17">
        <v>4.1399999999999999E-2</v>
      </c>
      <c r="K620" s="9" t="s">
        <v>1343</v>
      </c>
      <c r="L620" s="9" t="s">
        <v>802</v>
      </c>
      <c r="M620" s="9">
        <v>2022</v>
      </c>
      <c r="N620" s="9" t="s">
        <v>525</v>
      </c>
      <c r="O620" s="10" t="s">
        <v>526</v>
      </c>
      <c r="P620" s="9" t="s">
        <v>527</v>
      </c>
      <c r="Q620" s="9" t="s">
        <v>264</v>
      </c>
      <c r="R620" s="9" t="s">
        <v>1344</v>
      </c>
      <c r="S620" s="9" t="s">
        <v>1957</v>
      </c>
    </row>
    <row r="621" spans="2:19" x14ac:dyDescent="0.35">
      <c r="B621" s="18" t="s">
        <v>800</v>
      </c>
      <c r="C621" s="9" t="s">
        <v>803</v>
      </c>
      <c r="D621" s="9" t="s">
        <v>799</v>
      </c>
      <c r="E621" s="9" t="s">
        <v>39</v>
      </c>
      <c r="F621" s="17">
        <v>0.1114</v>
      </c>
      <c r="G621" s="17"/>
      <c r="H621" s="17"/>
      <c r="I621" s="17"/>
      <c r="J621" s="17">
        <v>0.1114</v>
      </c>
      <c r="K621" s="9" t="s">
        <v>1343</v>
      </c>
      <c r="L621" s="9" t="s">
        <v>804</v>
      </c>
      <c r="M621" s="9">
        <v>2023</v>
      </c>
      <c r="N621" s="9" t="s">
        <v>525</v>
      </c>
      <c r="O621" s="10" t="s">
        <v>526</v>
      </c>
      <c r="P621" s="9" t="s">
        <v>527</v>
      </c>
      <c r="Q621" s="9" t="s">
        <v>264</v>
      </c>
      <c r="R621" s="9" t="s">
        <v>1344</v>
      </c>
      <c r="S621" s="9" t="s">
        <v>1958</v>
      </c>
    </row>
    <row r="622" spans="2:19" x14ac:dyDescent="0.35">
      <c r="B622" s="18" t="s">
        <v>800</v>
      </c>
      <c r="C622" s="9" t="s">
        <v>803</v>
      </c>
      <c r="D622" s="9" t="s">
        <v>799</v>
      </c>
      <c r="E622" s="9" t="s">
        <v>39</v>
      </c>
      <c r="F622" s="17">
        <v>0.13589999999999999</v>
      </c>
      <c r="G622" s="17"/>
      <c r="H622" s="17"/>
      <c r="I622" s="17"/>
      <c r="J622" s="17">
        <v>0.13589999999999999</v>
      </c>
      <c r="K622" s="9" t="s">
        <v>1343</v>
      </c>
      <c r="L622" s="9" t="s">
        <v>804</v>
      </c>
      <c r="M622" s="9">
        <v>2022</v>
      </c>
      <c r="N622" s="9" t="s">
        <v>525</v>
      </c>
      <c r="O622" s="10" t="s">
        <v>526</v>
      </c>
      <c r="P622" s="9" t="s">
        <v>527</v>
      </c>
      <c r="Q622" s="9" t="s">
        <v>264</v>
      </c>
      <c r="R622" s="9" t="s">
        <v>1344</v>
      </c>
      <c r="S622" s="9" t="s">
        <v>1959</v>
      </c>
    </row>
    <row r="623" spans="2:19" x14ac:dyDescent="0.35">
      <c r="B623" s="18" t="s">
        <v>258</v>
      </c>
      <c r="C623" s="9" t="s">
        <v>259</v>
      </c>
      <c r="D623" s="9" t="s">
        <v>799</v>
      </c>
      <c r="E623" s="9" t="s">
        <v>39</v>
      </c>
      <c r="F623" s="17">
        <v>0.61770000000000003</v>
      </c>
      <c r="G623" s="17">
        <v>0.61539999999999995</v>
      </c>
      <c r="H623" s="17">
        <v>2.9999999999999997E-4</v>
      </c>
      <c r="I623" s="17">
        <v>2E-3</v>
      </c>
      <c r="J623" s="17">
        <v>0</v>
      </c>
      <c r="K623" s="9" t="s">
        <v>1343</v>
      </c>
      <c r="L623" s="9" t="s">
        <v>260</v>
      </c>
      <c r="M623" s="9">
        <v>2023</v>
      </c>
      <c r="N623" s="9" t="s">
        <v>463</v>
      </c>
      <c r="O623" s="10" t="s">
        <v>464</v>
      </c>
      <c r="P623" s="9" t="s">
        <v>465</v>
      </c>
      <c r="Q623" s="9" t="s">
        <v>264</v>
      </c>
      <c r="R623" s="9" t="s">
        <v>1344</v>
      </c>
      <c r="S623" s="9" t="s">
        <v>1960</v>
      </c>
    </row>
    <row r="624" spans="2:19" x14ac:dyDescent="0.35">
      <c r="B624" s="18" t="s">
        <v>258</v>
      </c>
      <c r="C624" s="9" t="s">
        <v>259</v>
      </c>
      <c r="D624" s="9" t="s">
        <v>799</v>
      </c>
      <c r="E624" s="9" t="s">
        <v>39</v>
      </c>
      <c r="F624" s="17">
        <v>0.622</v>
      </c>
      <c r="G624" s="17">
        <v>0.61970000000000003</v>
      </c>
      <c r="H624" s="17">
        <v>2.9999999999999997E-4</v>
      </c>
      <c r="I624" s="17">
        <v>2E-3</v>
      </c>
      <c r="J624" s="17">
        <v>0</v>
      </c>
      <c r="K624" s="9" t="s">
        <v>1343</v>
      </c>
      <c r="L624" s="9" t="s">
        <v>260</v>
      </c>
      <c r="M624" s="9">
        <v>2022</v>
      </c>
      <c r="N624" s="9" t="s">
        <v>463</v>
      </c>
      <c r="O624" s="10" t="s">
        <v>464</v>
      </c>
      <c r="P624" s="9" t="s">
        <v>465</v>
      </c>
      <c r="Q624" s="9" t="s">
        <v>264</v>
      </c>
      <c r="R624" s="9" t="s">
        <v>1344</v>
      </c>
      <c r="S624" s="9" t="s">
        <v>1961</v>
      </c>
    </row>
    <row r="625" spans="2:19" x14ac:dyDescent="0.35">
      <c r="B625" s="18" t="s">
        <v>800</v>
      </c>
      <c r="C625" s="9" t="s">
        <v>801</v>
      </c>
      <c r="D625" s="9" t="s">
        <v>799</v>
      </c>
      <c r="E625" s="9" t="s">
        <v>39</v>
      </c>
      <c r="F625" s="17">
        <v>5.2299999999999999E-2</v>
      </c>
      <c r="G625" s="17"/>
      <c r="H625" s="17"/>
      <c r="I625" s="17"/>
      <c r="J625" s="17">
        <v>5.2299999999999999E-2</v>
      </c>
      <c r="K625" s="9" t="s">
        <v>1343</v>
      </c>
      <c r="L625" s="9" t="s">
        <v>802</v>
      </c>
      <c r="M625" s="9">
        <v>2023</v>
      </c>
      <c r="N625" s="9" t="s">
        <v>463</v>
      </c>
      <c r="O625" s="10" t="s">
        <v>464</v>
      </c>
      <c r="P625" s="9" t="s">
        <v>465</v>
      </c>
      <c r="Q625" s="9" t="s">
        <v>264</v>
      </c>
      <c r="R625" s="9" t="s">
        <v>1344</v>
      </c>
      <c r="S625" s="9" t="s">
        <v>1962</v>
      </c>
    </row>
    <row r="626" spans="2:19" x14ac:dyDescent="0.35">
      <c r="B626" s="18" t="s">
        <v>800</v>
      </c>
      <c r="C626" s="9" t="s">
        <v>801</v>
      </c>
      <c r="D626" s="9" t="s">
        <v>799</v>
      </c>
      <c r="E626" s="9" t="s">
        <v>39</v>
      </c>
      <c r="F626" s="17">
        <v>5.2600000000000001E-2</v>
      </c>
      <c r="G626" s="17"/>
      <c r="H626" s="17"/>
      <c r="I626" s="17"/>
      <c r="J626" s="17">
        <v>5.2600000000000001E-2</v>
      </c>
      <c r="K626" s="9" t="s">
        <v>1343</v>
      </c>
      <c r="L626" s="9" t="s">
        <v>802</v>
      </c>
      <c r="M626" s="9">
        <v>2022</v>
      </c>
      <c r="N626" s="9" t="s">
        <v>463</v>
      </c>
      <c r="O626" s="10" t="s">
        <v>464</v>
      </c>
      <c r="P626" s="9" t="s">
        <v>465</v>
      </c>
      <c r="Q626" s="9" t="s">
        <v>264</v>
      </c>
      <c r="R626" s="9" t="s">
        <v>1344</v>
      </c>
      <c r="S626" s="9" t="s">
        <v>1963</v>
      </c>
    </row>
    <row r="627" spans="2:19" x14ac:dyDescent="0.35">
      <c r="B627" s="18" t="s">
        <v>800</v>
      </c>
      <c r="C627" s="9" t="s">
        <v>803</v>
      </c>
      <c r="D627" s="9" t="s">
        <v>799</v>
      </c>
      <c r="E627" s="9" t="s">
        <v>39</v>
      </c>
      <c r="F627" s="17">
        <v>0.1145</v>
      </c>
      <c r="G627" s="17"/>
      <c r="H627" s="17"/>
      <c r="I627" s="17"/>
      <c r="J627" s="17">
        <v>0.1145</v>
      </c>
      <c r="K627" s="9" t="s">
        <v>1343</v>
      </c>
      <c r="L627" s="9" t="s">
        <v>804</v>
      </c>
      <c r="M627" s="9">
        <v>2022</v>
      </c>
      <c r="N627" s="9" t="s">
        <v>463</v>
      </c>
      <c r="O627" s="10" t="s">
        <v>464</v>
      </c>
      <c r="P627" s="9" t="s">
        <v>465</v>
      </c>
      <c r="Q627" s="9" t="s">
        <v>264</v>
      </c>
      <c r="R627" s="9" t="s">
        <v>1344</v>
      </c>
      <c r="S627" s="9" t="s">
        <v>1964</v>
      </c>
    </row>
    <row r="628" spans="2:19" x14ac:dyDescent="0.35">
      <c r="B628" s="18" t="s">
        <v>800</v>
      </c>
      <c r="C628" s="9" t="s">
        <v>803</v>
      </c>
      <c r="D628" s="9" t="s">
        <v>799</v>
      </c>
      <c r="E628" s="9" t="s">
        <v>39</v>
      </c>
      <c r="F628" s="17">
        <v>0.1149</v>
      </c>
      <c r="G628" s="17"/>
      <c r="H628" s="17"/>
      <c r="I628" s="17"/>
      <c r="J628" s="17">
        <v>0.1149</v>
      </c>
      <c r="K628" s="9" t="s">
        <v>1343</v>
      </c>
      <c r="L628" s="9" t="s">
        <v>804</v>
      </c>
      <c r="M628" s="9">
        <v>2023</v>
      </c>
      <c r="N628" s="9" t="s">
        <v>463</v>
      </c>
      <c r="O628" s="10" t="s">
        <v>464</v>
      </c>
      <c r="P628" s="9" t="s">
        <v>465</v>
      </c>
      <c r="Q628" s="9" t="s">
        <v>264</v>
      </c>
      <c r="R628" s="9" t="s">
        <v>1344</v>
      </c>
      <c r="S628" s="9" t="s">
        <v>1965</v>
      </c>
    </row>
    <row r="629" spans="2:19" x14ac:dyDescent="0.35">
      <c r="B629" s="18" t="s">
        <v>258</v>
      </c>
      <c r="C629" s="9" t="s">
        <v>259</v>
      </c>
      <c r="D629" s="9" t="s">
        <v>799</v>
      </c>
      <c r="E629" s="9" t="s">
        <v>39</v>
      </c>
      <c r="F629" s="17">
        <v>0.53039999999999998</v>
      </c>
      <c r="G629" s="17">
        <v>0.52800000000000002</v>
      </c>
      <c r="H629" s="17">
        <v>8.9999999999999998E-4</v>
      </c>
      <c r="I629" s="17">
        <v>1.5E-3</v>
      </c>
      <c r="J629" s="17">
        <v>0</v>
      </c>
      <c r="K629" s="9" t="s">
        <v>1343</v>
      </c>
      <c r="L629" s="9" t="s">
        <v>260</v>
      </c>
      <c r="M629" s="9">
        <v>2023</v>
      </c>
      <c r="N629" s="9" t="s">
        <v>637</v>
      </c>
      <c r="O629" s="10" t="s">
        <v>638</v>
      </c>
      <c r="P629" s="9" t="s">
        <v>639</v>
      </c>
      <c r="Q629" s="9" t="s">
        <v>264</v>
      </c>
      <c r="R629" s="9" t="s">
        <v>1344</v>
      </c>
      <c r="S629" s="9" t="s">
        <v>1966</v>
      </c>
    </row>
    <row r="630" spans="2:19" x14ac:dyDescent="0.35">
      <c r="B630" s="18" t="s">
        <v>258</v>
      </c>
      <c r="C630" s="9" t="s">
        <v>259</v>
      </c>
      <c r="D630" s="9" t="s">
        <v>799</v>
      </c>
      <c r="E630" s="9" t="s">
        <v>39</v>
      </c>
      <c r="F630" s="17">
        <v>0.5333</v>
      </c>
      <c r="G630" s="17">
        <v>0.53090000000000004</v>
      </c>
      <c r="H630" s="17">
        <v>8.9999999999999998E-4</v>
      </c>
      <c r="I630" s="17">
        <v>1.5E-3</v>
      </c>
      <c r="J630" s="17">
        <v>0</v>
      </c>
      <c r="K630" s="9" t="s">
        <v>1343</v>
      </c>
      <c r="L630" s="9" t="s">
        <v>260</v>
      </c>
      <c r="M630" s="9">
        <v>2022</v>
      </c>
      <c r="N630" s="9" t="s">
        <v>637</v>
      </c>
      <c r="O630" s="10" t="s">
        <v>638</v>
      </c>
      <c r="P630" s="9" t="s">
        <v>639</v>
      </c>
      <c r="Q630" s="9" t="s">
        <v>264</v>
      </c>
      <c r="R630" s="9" t="s">
        <v>1344</v>
      </c>
      <c r="S630" s="9" t="s">
        <v>1967</v>
      </c>
    </row>
    <row r="631" spans="2:19" x14ac:dyDescent="0.35">
      <c r="B631" s="18" t="s">
        <v>258</v>
      </c>
      <c r="C631" s="9" t="s">
        <v>259</v>
      </c>
      <c r="D631" s="9" t="s">
        <v>799</v>
      </c>
      <c r="E631" s="9" t="s">
        <v>39</v>
      </c>
      <c r="F631" s="17">
        <v>0.33579999999999999</v>
      </c>
      <c r="G631" s="17">
        <v>0.33539999999999998</v>
      </c>
      <c r="H631" s="17">
        <v>2.0000000000000001E-4</v>
      </c>
      <c r="I631" s="17">
        <v>2.0000000000000001E-4</v>
      </c>
      <c r="J631" s="17">
        <v>0</v>
      </c>
      <c r="K631" s="9" t="s">
        <v>1343</v>
      </c>
      <c r="L631" s="9" t="s">
        <v>260</v>
      </c>
      <c r="M631" s="9">
        <v>2024</v>
      </c>
      <c r="N631" s="9" t="s">
        <v>265</v>
      </c>
      <c r="O631" s="10" t="s">
        <v>266</v>
      </c>
      <c r="P631" s="9" t="s">
        <v>267</v>
      </c>
      <c r="Q631" s="9" t="s">
        <v>264</v>
      </c>
      <c r="R631" s="9" t="s">
        <v>1344</v>
      </c>
      <c r="S631" s="9" t="s">
        <v>1968</v>
      </c>
    </row>
    <row r="632" spans="2:19" x14ac:dyDescent="0.35">
      <c r="B632" s="18" t="s">
        <v>258</v>
      </c>
      <c r="C632" s="9" t="s">
        <v>259</v>
      </c>
      <c r="D632" s="9" t="s">
        <v>799</v>
      </c>
      <c r="E632" s="9" t="s">
        <v>39</v>
      </c>
      <c r="F632" s="17">
        <v>0.34489999999999998</v>
      </c>
      <c r="G632" s="17">
        <v>0.34449999999999997</v>
      </c>
      <c r="H632" s="17">
        <v>2.0000000000000001E-4</v>
      </c>
      <c r="I632" s="17">
        <v>2.0000000000000001E-4</v>
      </c>
      <c r="J632" s="17">
        <v>0</v>
      </c>
      <c r="K632" s="9" t="s">
        <v>1343</v>
      </c>
      <c r="L632" s="9" t="s">
        <v>260</v>
      </c>
      <c r="M632" s="9">
        <v>2023</v>
      </c>
      <c r="N632" s="9" t="s">
        <v>265</v>
      </c>
      <c r="O632" s="10" t="s">
        <v>266</v>
      </c>
      <c r="P632" s="9" t="s">
        <v>267</v>
      </c>
      <c r="Q632" s="9" t="s">
        <v>264</v>
      </c>
      <c r="R632" s="9" t="s">
        <v>1344</v>
      </c>
      <c r="S632" s="9" t="s">
        <v>1969</v>
      </c>
    </row>
    <row r="633" spans="2:19" x14ac:dyDescent="0.35">
      <c r="B633" s="18" t="s">
        <v>258</v>
      </c>
      <c r="C633" s="9" t="s">
        <v>259</v>
      </c>
      <c r="D633" s="9" t="s">
        <v>799</v>
      </c>
      <c r="E633" s="9" t="s">
        <v>39</v>
      </c>
      <c r="F633" s="17">
        <v>0.3523</v>
      </c>
      <c r="G633" s="17">
        <v>0.35189999999999999</v>
      </c>
      <c r="H633" s="17">
        <v>2.0000000000000001E-4</v>
      </c>
      <c r="I633" s="17">
        <v>2.0000000000000001E-4</v>
      </c>
      <c r="J633" s="17">
        <v>0</v>
      </c>
      <c r="K633" s="9" t="s">
        <v>1343</v>
      </c>
      <c r="L633" s="9" t="s">
        <v>260</v>
      </c>
      <c r="M633" s="9">
        <v>2022</v>
      </c>
      <c r="N633" s="9" t="s">
        <v>265</v>
      </c>
      <c r="O633" s="10" t="s">
        <v>266</v>
      </c>
      <c r="P633" s="9" t="s">
        <v>267</v>
      </c>
      <c r="Q633" s="9" t="s">
        <v>264</v>
      </c>
      <c r="R633" s="9" t="s">
        <v>1344</v>
      </c>
      <c r="S633" s="9" t="s">
        <v>1970</v>
      </c>
    </row>
    <row r="634" spans="2:19" x14ac:dyDescent="0.35">
      <c r="B634" s="18" t="s">
        <v>800</v>
      </c>
      <c r="C634" s="9" t="s">
        <v>801</v>
      </c>
      <c r="D634" s="9" t="s">
        <v>799</v>
      </c>
      <c r="E634" s="9" t="s">
        <v>39</v>
      </c>
      <c r="F634" s="17">
        <v>2.64E-2</v>
      </c>
      <c r="G634" s="17"/>
      <c r="H634" s="17"/>
      <c r="I634" s="17"/>
      <c r="J634" s="17">
        <v>2.64E-2</v>
      </c>
      <c r="K634" s="9" t="s">
        <v>1343</v>
      </c>
      <c r="L634" s="9" t="s">
        <v>802</v>
      </c>
      <c r="M634" s="9">
        <v>2023</v>
      </c>
      <c r="N634" s="9" t="s">
        <v>265</v>
      </c>
      <c r="O634" s="10" t="s">
        <v>266</v>
      </c>
      <c r="P634" s="9" t="s">
        <v>267</v>
      </c>
      <c r="Q634" s="9" t="s">
        <v>264</v>
      </c>
      <c r="R634" s="9" t="s">
        <v>1344</v>
      </c>
      <c r="S634" s="9" t="s">
        <v>1971</v>
      </c>
    </row>
    <row r="635" spans="2:19" x14ac:dyDescent="0.35">
      <c r="B635" s="18" t="s">
        <v>800</v>
      </c>
      <c r="C635" s="9" t="s">
        <v>801</v>
      </c>
      <c r="D635" s="9" t="s">
        <v>799</v>
      </c>
      <c r="E635" s="9" t="s">
        <v>39</v>
      </c>
      <c r="F635" s="17">
        <v>2.8000000000000001E-2</v>
      </c>
      <c r="G635" s="17"/>
      <c r="H635" s="17"/>
      <c r="I635" s="17"/>
      <c r="J635" s="17">
        <v>2.8000000000000001E-2</v>
      </c>
      <c r="K635" s="9" t="s">
        <v>1343</v>
      </c>
      <c r="L635" s="9" t="s">
        <v>802</v>
      </c>
      <c r="M635" s="9">
        <v>2022</v>
      </c>
      <c r="N635" s="9" t="s">
        <v>265</v>
      </c>
      <c r="O635" s="10" t="s">
        <v>266</v>
      </c>
      <c r="P635" s="9" t="s">
        <v>267</v>
      </c>
      <c r="Q635" s="9" t="s">
        <v>264</v>
      </c>
      <c r="R635" s="9" t="s">
        <v>1344</v>
      </c>
      <c r="S635" s="9" t="s">
        <v>1972</v>
      </c>
    </row>
    <row r="636" spans="2:19" x14ac:dyDescent="0.35">
      <c r="B636" s="18" t="s">
        <v>800</v>
      </c>
      <c r="C636" s="9" t="s">
        <v>803</v>
      </c>
      <c r="D636" s="9" t="s">
        <v>799</v>
      </c>
      <c r="E636" s="9" t="s">
        <v>39</v>
      </c>
      <c r="F636" s="17">
        <v>7.1199999999999999E-2</v>
      </c>
      <c r="G636" s="17"/>
      <c r="H636" s="17"/>
      <c r="I636" s="17"/>
      <c r="J636" s="17">
        <v>7.1199999999999999E-2</v>
      </c>
      <c r="K636" s="9" t="s">
        <v>1343</v>
      </c>
      <c r="L636" s="9" t="s">
        <v>804</v>
      </c>
      <c r="M636" s="9">
        <v>2024</v>
      </c>
      <c r="N636" s="9" t="s">
        <v>265</v>
      </c>
      <c r="O636" s="10" t="s">
        <v>266</v>
      </c>
      <c r="P636" s="9" t="s">
        <v>267</v>
      </c>
      <c r="Q636" s="9" t="s">
        <v>264</v>
      </c>
      <c r="R636" s="9" t="s">
        <v>1344</v>
      </c>
      <c r="S636" s="9" t="s">
        <v>1973</v>
      </c>
    </row>
    <row r="637" spans="2:19" x14ac:dyDescent="0.35">
      <c r="B637" s="18" t="s">
        <v>800</v>
      </c>
      <c r="C637" s="9" t="s">
        <v>803</v>
      </c>
      <c r="D637" s="9" t="s">
        <v>799</v>
      </c>
      <c r="E637" s="9" t="s">
        <v>39</v>
      </c>
      <c r="F637" s="17">
        <v>8.5000000000000006E-2</v>
      </c>
      <c r="G637" s="17"/>
      <c r="H637" s="17"/>
      <c r="I637" s="17"/>
      <c r="J637" s="17">
        <v>8.5000000000000006E-2</v>
      </c>
      <c r="K637" s="9" t="s">
        <v>1343</v>
      </c>
      <c r="L637" s="9" t="s">
        <v>804</v>
      </c>
      <c r="M637" s="9">
        <v>2022</v>
      </c>
      <c r="N637" s="9" t="s">
        <v>265</v>
      </c>
      <c r="O637" s="10" t="s">
        <v>266</v>
      </c>
      <c r="P637" s="9" t="s">
        <v>267</v>
      </c>
      <c r="Q637" s="9" t="s">
        <v>264</v>
      </c>
      <c r="R637" s="9" t="s">
        <v>1344</v>
      </c>
      <c r="S637" s="9" t="s">
        <v>1974</v>
      </c>
    </row>
    <row r="638" spans="2:19" x14ac:dyDescent="0.35">
      <c r="B638" s="18" t="s">
        <v>800</v>
      </c>
      <c r="C638" s="9" t="s">
        <v>803</v>
      </c>
      <c r="D638" s="9" t="s">
        <v>799</v>
      </c>
      <c r="E638" s="9" t="s">
        <v>39</v>
      </c>
      <c r="F638" s="17">
        <v>8.5900000000000004E-2</v>
      </c>
      <c r="G638" s="17"/>
      <c r="H638" s="17"/>
      <c r="I638" s="17"/>
      <c r="J638" s="17">
        <v>8.5900000000000004E-2</v>
      </c>
      <c r="K638" s="9" t="s">
        <v>1343</v>
      </c>
      <c r="L638" s="9" t="s">
        <v>804</v>
      </c>
      <c r="M638" s="9">
        <v>2023</v>
      </c>
      <c r="N638" s="9" t="s">
        <v>265</v>
      </c>
      <c r="O638" s="10" t="s">
        <v>266</v>
      </c>
      <c r="P638" s="9" t="s">
        <v>267</v>
      </c>
      <c r="Q638" s="9" t="s">
        <v>264</v>
      </c>
      <c r="R638" s="9" t="s">
        <v>1344</v>
      </c>
      <c r="S638" s="9" t="s">
        <v>1975</v>
      </c>
    </row>
    <row r="639" spans="2:19" x14ac:dyDescent="0.35">
      <c r="B639" s="18" t="s">
        <v>258</v>
      </c>
      <c r="C639" s="9" t="s">
        <v>259</v>
      </c>
      <c r="D639" s="9" t="s">
        <v>799</v>
      </c>
      <c r="E639" s="9" t="s">
        <v>39</v>
      </c>
      <c r="F639" s="17">
        <v>0.96689999999999998</v>
      </c>
      <c r="G639" s="17">
        <v>0.96389999999999998</v>
      </c>
      <c r="H639" s="17">
        <v>1E-3</v>
      </c>
      <c r="I639" s="17">
        <v>2E-3</v>
      </c>
      <c r="J639" s="17">
        <v>0</v>
      </c>
      <c r="K639" s="9" t="s">
        <v>1343</v>
      </c>
      <c r="L639" s="9" t="s">
        <v>260</v>
      </c>
      <c r="M639" s="9">
        <v>2022</v>
      </c>
      <c r="N639" s="9" t="s">
        <v>793</v>
      </c>
      <c r="O639" s="10" t="s">
        <v>794</v>
      </c>
      <c r="P639" s="9" t="s">
        <v>795</v>
      </c>
      <c r="Q639" s="9" t="s">
        <v>264</v>
      </c>
      <c r="R639" s="9" t="s">
        <v>1344</v>
      </c>
      <c r="S639" s="9" t="s">
        <v>1976</v>
      </c>
    </row>
    <row r="640" spans="2:19" x14ac:dyDescent="0.35">
      <c r="B640" s="18" t="s">
        <v>258</v>
      </c>
      <c r="C640" s="9" t="s">
        <v>259</v>
      </c>
      <c r="D640" s="9" t="s">
        <v>799</v>
      </c>
      <c r="E640" s="9" t="s">
        <v>39</v>
      </c>
      <c r="F640" s="17">
        <v>0.97119999999999995</v>
      </c>
      <c r="G640" s="17">
        <v>0.96809999999999996</v>
      </c>
      <c r="H640" s="17">
        <v>1.1000000000000001E-3</v>
      </c>
      <c r="I640" s="17">
        <v>2E-3</v>
      </c>
      <c r="J640" s="17">
        <v>0</v>
      </c>
      <c r="K640" s="9" t="s">
        <v>1343</v>
      </c>
      <c r="L640" s="9" t="s">
        <v>260</v>
      </c>
      <c r="M640" s="9">
        <v>2023</v>
      </c>
      <c r="N640" s="9" t="s">
        <v>793</v>
      </c>
      <c r="O640" s="10" t="s">
        <v>794</v>
      </c>
      <c r="P640" s="9" t="s">
        <v>795</v>
      </c>
      <c r="Q640" s="9" t="s">
        <v>264</v>
      </c>
      <c r="R640" s="9" t="s">
        <v>1344</v>
      </c>
      <c r="S640" s="9" t="s">
        <v>1977</v>
      </c>
    </row>
    <row r="641" spans="2:19" x14ac:dyDescent="0.35">
      <c r="B641" s="18" t="s">
        <v>258</v>
      </c>
      <c r="C641" s="9" t="s">
        <v>259</v>
      </c>
      <c r="D641" s="9" t="s">
        <v>799</v>
      </c>
      <c r="E641" s="9" t="s">
        <v>39</v>
      </c>
      <c r="F641" s="17">
        <v>0.74770000000000003</v>
      </c>
      <c r="G641" s="17">
        <v>0.74199999999999999</v>
      </c>
      <c r="H641" s="17">
        <v>1.6999999999999999E-3</v>
      </c>
      <c r="I641" s="17">
        <v>4.0000000000000001E-3</v>
      </c>
      <c r="J641" s="17">
        <v>0</v>
      </c>
      <c r="K641" s="9" t="s">
        <v>1343</v>
      </c>
      <c r="L641" s="9" t="s">
        <v>260</v>
      </c>
      <c r="M641" s="9">
        <v>2022</v>
      </c>
      <c r="N641" s="9" t="s">
        <v>535</v>
      </c>
      <c r="O641" s="10" t="s">
        <v>536</v>
      </c>
      <c r="P641" s="9" t="s">
        <v>537</v>
      </c>
      <c r="Q641" s="9" t="s">
        <v>264</v>
      </c>
      <c r="R641" s="9" t="s">
        <v>1344</v>
      </c>
      <c r="S641" s="9" t="s">
        <v>1978</v>
      </c>
    </row>
    <row r="642" spans="2:19" x14ac:dyDescent="0.35">
      <c r="B642" s="18" t="s">
        <v>258</v>
      </c>
      <c r="C642" s="9" t="s">
        <v>259</v>
      </c>
      <c r="D642" s="9" t="s">
        <v>799</v>
      </c>
      <c r="E642" s="9" t="s">
        <v>39</v>
      </c>
      <c r="F642" s="17">
        <v>0.7772</v>
      </c>
      <c r="G642" s="17">
        <v>0.77139999999999997</v>
      </c>
      <c r="H642" s="17">
        <v>1.6999999999999999E-3</v>
      </c>
      <c r="I642" s="17">
        <v>4.1000000000000003E-3</v>
      </c>
      <c r="J642" s="17">
        <v>0</v>
      </c>
      <c r="K642" s="9" t="s">
        <v>1343</v>
      </c>
      <c r="L642" s="9" t="s">
        <v>260</v>
      </c>
      <c r="M642" s="9">
        <v>2023</v>
      </c>
      <c r="N642" s="9" t="s">
        <v>535</v>
      </c>
      <c r="O642" s="10" t="s">
        <v>536</v>
      </c>
      <c r="P642" s="9" t="s">
        <v>537</v>
      </c>
      <c r="Q642" s="9" t="s">
        <v>264</v>
      </c>
      <c r="R642" s="9" t="s">
        <v>1344</v>
      </c>
      <c r="S642" s="9" t="s">
        <v>1979</v>
      </c>
    </row>
    <row r="643" spans="2:19" x14ac:dyDescent="0.35">
      <c r="B643" s="18" t="s">
        <v>258</v>
      </c>
      <c r="C643" s="9" t="s">
        <v>259</v>
      </c>
      <c r="D643" s="9" t="s">
        <v>799</v>
      </c>
      <c r="E643" s="9" t="s">
        <v>39</v>
      </c>
      <c r="F643" s="17">
        <v>0.81479999999999997</v>
      </c>
      <c r="G643" s="17">
        <v>0.80900000000000005</v>
      </c>
      <c r="H643" s="17">
        <v>1.6999999999999999E-3</v>
      </c>
      <c r="I643" s="17">
        <v>4.1000000000000003E-3</v>
      </c>
      <c r="J643" s="17">
        <v>0</v>
      </c>
      <c r="K643" s="9" t="s">
        <v>1343</v>
      </c>
      <c r="L643" s="9" t="s">
        <v>260</v>
      </c>
      <c r="M643" s="9">
        <v>2024</v>
      </c>
      <c r="N643" s="9" t="s">
        <v>535</v>
      </c>
      <c r="O643" s="10" t="s">
        <v>536</v>
      </c>
      <c r="P643" s="9" t="s">
        <v>537</v>
      </c>
      <c r="Q643" s="9" t="s">
        <v>264</v>
      </c>
      <c r="R643" s="9" t="s">
        <v>1344</v>
      </c>
      <c r="S643" s="9" t="s">
        <v>1980</v>
      </c>
    </row>
    <row r="644" spans="2:19" x14ac:dyDescent="0.35">
      <c r="B644" s="18" t="s">
        <v>800</v>
      </c>
      <c r="C644" s="9" t="s">
        <v>801</v>
      </c>
      <c r="D644" s="9" t="s">
        <v>799</v>
      </c>
      <c r="E644" s="9" t="s">
        <v>39</v>
      </c>
      <c r="F644" s="17">
        <v>4.8300000000000003E-2</v>
      </c>
      <c r="G644" s="17"/>
      <c r="H644" s="17"/>
      <c r="I644" s="17"/>
      <c r="J644" s="17">
        <v>4.8300000000000003E-2</v>
      </c>
      <c r="K644" s="9" t="s">
        <v>1343</v>
      </c>
      <c r="L644" s="9" t="s">
        <v>802</v>
      </c>
      <c r="M644" s="9">
        <v>2022</v>
      </c>
      <c r="N644" s="9" t="s">
        <v>535</v>
      </c>
      <c r="O644" s="10" t="s">
        <v>536</v>
      </c>
      <c r="P644" s="9" t="s">
        <v>537</v>
      </c>
      <c r="Q644" s="9" t="s">
        <v>264</v>
      </c>
      <c r="R644" s="9" t="s">
        <v>1344</v>
      </c>
      <c r="S644" s="9" t="s">
        <v>1981</v>
      </c>
    </row>
    <row r="645" spans="2:19" x14ac:dyDescent="0.35">
      <c r="B645" s="18" t="s">
        <v>800</v>
      </c>
      <c r="C645" s="9" t="s">
        <v>801</v>
      </c>
      <c r="D645" s="9" t="s">
        <v>799</v>
      </c>
      <c r="E645" s="9" t="s">
        <v>39</v>
      </c>
      <c r="F645" s="17">
        <v>5.2200000000000003E-2</v>
      </c>
      <c r="G645" s="17"/>
      <c r="H645" s="17"/>
      <c r="I645" s="17"/>
      <c r="J645" s="17">
        <v>5.2200000000000003E-2</v>
      </c>
      <c r="K645" s="9" t="s">
        <v>1343</v>
      </c>
      <c r="L645" s="9" t="s">
        <v>802</v>
      </c>
      <c r="M645" s="9">
        <v>2023</v>
      </c>
      <c r="N645" s="9" t="s">
        <v>535</v>
      </c>
      <c r="O645" s="10" t="s">
        <v>536</v>
      </c>
      <c r="P645" s="9" t="s">
        <v>537</v>
      </c>
      <c r="Q645" s="9" t="s">
        <v>264</v>
      </c>
      <c r="R645" s="9" t="s">
        <v>1344</v>
      </c>
      <c r="S645" s="9" t="s">
        <v>1982</v>
      </c>
    </row>
    <row r="646" spans="2:19" x14ac:dyDescent="0.35">
      <c r="B646" s="18" t="s">
        <v>800</v>
      </c>
      <c r="C646" s="9" t="s">
        <v>803</v>
      </c>
      <c r="D646" s="9" t="s">
        <v>799</v>
      </c>
      <c r="E646" s="9" t="s">
        <v>39</v>
      </c>
      <c r="F646" s="17">
        <v>0.12509999999999999</v>
      </c>
      <c r="G646" s="17"/>
      <c r="H646" s="17"/>
      <c r="I646" s="17"/>
      <c r="J646" s="17">
        <v>0.12509999999999999</v>
      </c>
      <c r="K646" s="9" t="s">
        <v>1343</v>
      </c>
      <c r="L646" s="9" t="s">
        <v>804</v>
      </c>
      <c r="M646" s="9">
        <v>2022</v>
      </c>
      <c r="N646" s="9" t="s">
        <v>535</v>
      </c>
      <c r="O646" s="10" t="s">
        <v>536</v>
      </c>
      <c r="P646" s="9" t="s">
        <v>537</v>
      </c>
      <c r="Q646" s="9" t="s">
        <v>264</v>
      </c>
      <c r="R646" s="9" t="s">
        <v>1344</v>
      </c>
      <c r="S646" s="9" t="s">
        <v>1983</v>
      </c>
    </row>
    <row r="647" spans="2:19" x14ac:dyDescent="0.35">
      <c r="B647" s="18" t="s">
        <v>800</v>
      </c>
      <c r="C647" s="9" t="s">
        <v>803</v>
      </c>
      <c r="D647" s="9" t="s">
        <v>799</v>
      </c>
      <c r="E647" s="9" t="s">
        <v>39</v>
      </c>
      <c r="F647" s="17">
        <v>0.12870000000000001</v>
      </c>
      <c r="G647" s="17"/>
      <c r="H647" s="17"/>
      <c r="I647" s="17"/>
      <c r="J647" s="17">
        <v>0.12870000000000001</v>
      </c>
      <c r="K647" s="9" t="s">
        <v>1343</v>
      </c>
      <c r="L647" s="9" t="s">
        <v>804</v>
      </c>
      <c r="M647" s="9">
        <v>2023</v>
      </c>
      <c r="N647" s="9" t="s">
        <v>535</v>
      </c>
      <c r="O647" s="10" t="s">
        <v>536</v>
      </c>
      <c r="P647" s="9" t="s">
        <v>537</v>
      </c>
      <c r="Q647" s="9" t="s">
        <v>264</v>
      </c>
      <c r="R647" s="9" t="s">
        <v>1344</v>
      </c>
      <c r="S647" s="9" t="s">
        <v>1984</v>
      </c>
    </row>
    <row r="648" spans="2:19" x14ac:dyDescent="0.35">
      <c r="B648" s="18" t="s">
        <v>800</v>
      </c>
      <c r="C648" s="9" t="s">
        <v>803</v>
      </c>
      <c r="D648" s="9" t="s">
        <v>799</v>
      </c>
      <c r="E648" s="9" t="s">
        <v>39</v>
      </c>
      <c r="F648" s="17">
        <v>0.129</v>
      </c>
      <c r="G648" s="17"/>
      <c r="H648" s="17"/>
      <c r="I648" s="17"/>
      <c r="J648" s="17">
        <v>0.129</v>
      </c>
      <c r="K648" s="9" t="s">
        <v>1343</v>
      </c>
      <c r="L648" s="9" t="s">
        <v>804</v>
      </c>
      <c r="M648" s="9">
        <v>2024</v>
      </c>
      <c r="N648" s="9" t="s">
        <v>535</v>
      </c>
      <c r="O648" s="10" t="s">
        <v>536</v>
      </c>
      <c r="P648" s="9" t="s">
        <v>537</v>
      </c>
      <c r="Q648" s="9" t="s">
        <v>264</v>
      </c>
      <c r="R648" s="9" t="s">
        <v>1344</v>
      </c>
      <c r="S648" s="9" t="s">
        <v>1985</v>
      </c>
    </row>
    <row r="649" spans="2:19" x14ac:dyDescent="0.35">
      <c r="B649" s="18" t="s">
        <v>258</v>
      </c>
      <c r="C649" s="9" t="s">
        <v>259</v>
      </c>
      <c r="D649" s="9" t="s">
        <v>799</v>
      </c>
      <c r="E649" s="9" t="s">
        <v>39</v>
      </c>
      <c r="F649" s="17">
        <v>0.38279999999999997</v>
      </c>
      <c r="G649" s="17">
        <v>0.38179999999999997</v>
      </c>
      <c r="H649" s="17">
        <v>2.9999999999999997E-4</v>
      </c>
      <c r="I649" s="17">
        <v>6.9999999999999999E-4</v>
      </c>
      <c r="J649" s="17">
        <v>0</v>
      </c>
      <c r="K649" s="9" t="s">
        <v>1343</v>
      </c>
      <c r="L649" s="9" t="s">
        <v>260</v>
      </c>
      <c r="M649" s="9">
        <v>2022</v>
      </c>
      <c r="N649" s="9" t="s">
        <v>634</v>
      </c>
      <c r="O649" s="10" t="s">
        <v>635</v>
      </c>
      <c r="P649" s="9" t="s">
        <v>636</v>
      </c>
      <c r="Q649" s="9" t="s">
        <v>264</v>
      </c>
      <c r="R649" s="9" t="s">
        <v>1344</v>
      </c>
      <c r="S649" s="9" t="s">
        <v>1986</v>
      </c>
    </row>
    <row r="650" spans="2:19" x14ac:dyDescent="0.35">
      <c r="B650" s="18" t="s">
        <v>258</v>
      </c>
      <c r="C650" s="9" t="s">
        <v>259</v>
      </c>
      <c r="D650" s="9" t="s">
        <v>799</v>
      </c>
      <c r="E650" s="9" t="s">
        <v>39</v>
      </c>
      <c r="F650" s="17">
        <v>0.41539999999999999</v>
      </c>
      <c r="G650" s="17">
        <v>0.41439999999999999</v>
      </c>
      <c r="H650" s="17">
        <v>2.9999999999999997E-4</v>
      </c>
      <c r="I650" s="17">
        <v>6.9999999999999999E-4</v>
      </c>
      <c r="J650" s="17">
        <v>0</v>
      </c>
      <c r="K650" s="9" t="s">
        <v>1343</v>
      </c>
      <c r="L650" s="9" t="s">
        <v>260</v>
      </c>
      <c r="M650" s="9">
        <v>2024</v>
      </c>
      <c r="N650" s="9" t="s">
        <v>634</v>
      </c>
      <c r="O650" s="10" t="s">
        <v>635</v>
      </c>
      <c r="P650" s="9" t="s">
        <v>636</v>
      </c>
      <c r="Q650" s="9" t="s">
        <v>264</v>
      </c>
      <c r="R650" s="9" t="s">
        <v>1344</v>
      </c>
      <c r="S650" s="9" t="s">
        <v>1987</v>
      </c>
    </row>
    <row r="651" spans="2:19" x14ac:dyDescent="0.35">
      <c r="B651" s="18" t="s">
        <v>258</v>
      </c>
      <c r="C651" s="9" t="s">
        <v>259</v>
      </c>
      <c r="D651" s="9" t="s">
        <v>799</v>
      </c>
      <c r="E651" s="9" t="s">
        <v>39</v>
      </c>
      <c r="F651" s="17">
        <v>0.42149999999999999</v>
      </c>
      <c r="G651" s="17">
        <v>0.42049999999999998</v>
      </c>
      <c r="H651" s="17">
        <v>2.9999999999999997E-4</v>
      </c>
      <c r="I651" s="17">
        <v>6.9999999999999999E-4</v>
      </c>
      <c r="J651" s="17">
        <v>0</v>
      </c>
      <c r="K651" s="9" t="s">
        <v>1343</v>
      </c>
      <c r="L651" s="9" t="s">
        <v>260</v>
      </c>
      <c r="M651" s="9">
        <v>2023</v>
      </c>
      <c r="N651" s="9" t="s">
        <v>634</v>
      </c>
      <c r="O651" s="10" t="s">
        <v>635</v>
      </c>
      <c r="P651" s="9" t="s">
        <v>636</v>
      </c>
      <c r="Q651" s="9" t="s">
        <v>264</v>
      </c>
      <c r="R651" s="9" t="s">
        <v>1344</v>
      </c>
      <c r="S651" s="9" t="s">
        <v>1988</v>
      </c>
    </row>
    <row r="652" spans="2:19" x14ac:dyDescent="0.35">
      <c r="B652" s="18" t="s">
        <v>800</v>
      </c>
      <c r="C652" s="9" t="s">
        <v>801</v>
      </c>
      <c r="D652" s="9" t="s">
        <v>799</v>
      </c>
      <c r="E652" s="9" t="s">
        <v>39</v>
      </c>
      <c r="F652" s="17">
        <v>5.4399999999999997E-2</v>
      </c>
      <c r="G652" s="17"/>
      <c r="H652" s="17"/>
      <c r="I652" s="17"/>
      <c r="J652" s="17">
        <v>5.4399999999999997E-2</v>
      </c>
      <c r="K652" s="9" t="s">
        <v>1343</v>
      </c>
      <c r="L652" s="9" t="s">
        <v>802</v>
      </c>
      <c r="M652" s="9">
        <v>2022</v>
      </c>
      <c r="N652" s="9" t="s">
        <v>634</v>
      </c>
      <c r="O652" s="10" t="s">
        <v>635</v>
      </c>
      <c r="P652" s="9" t="s">
        <v>636</v>
      </c>
      <c r="Q652" s="9" t="s">
        <v>264</v>
      </c>
      <c r="R652" s="9" t="s">
        <v>1344</v>
      </c>
      <c r="S652" s="9" t="s">
        <v>1989</v>
      </c>
    </row>
    <row r="653" spans="2:19" x14ac:dyDescent="0.35">
      <c r="B653" s="18" t="s">
        <v>800</v>
      </c>
      <c r="C653" s="9" t="s">
        <v>801</v>
      </c>
      <c r="D653" s="9" t="s">
        <v>799</v>
      </c>
      <c r="E653" s="9" t="s">
        <v>39</v>
      </c>
      <c r="F653" s="17">
        <v>5.96E-2</v>
      </c>
      <c r="G653" s="17"/>
      <c r="H653" s="17"/>
      <c r="I653" s="17"/>
      <c r="J653" s="17">
        <v>5.96E-2</v>
      </c>
      <c r="K653" s="9" t="s">
        <v>1343</v>
      </c>
      <c r="L653" s="9" t="s">
        <v>802</v>
      </c>
      <c r="M653" s="9">
        <v>2023</v>
      </c>
      <c r="N653" s="9" t="s">
        <v>634</v>
      </c>
      <c r="O653" s="10" t="s">
        <v>635</v>
      </c>
      <c r="P653" s="9" t="s">
        <v>636</v>
      </c>
      <c r="Q653" s="9" t="s">
        <v>264</v>
      </c>
      <c r="R653" s="9" t="s">
        <v>1344</v>
      </c>
      <c r="S653" s="9" t="s">
        <v>1990</v>
      </c>
    </row>
    <row r="654" spans="2:19" x14ac:dyDescent="0.35">
      <c r="B654" s="18" t="s">
        <v>800</v>
      </c>
      <c r="C654" s="9" t="s">
        <v>803</v>
      </c>
      <c r="D654" s="9" t="s">
        <v>799</v>
      </c>
      <c r="E654" s="9" t="s">
        <v>39</v>
      </c>
      <c r="F654" s="17">
        <v>7.6999999999999999E-2</v>
      </c>
      <c r="G654" s="17"/>
      <c r="H654" s="17"/>
      <c r="I654" s="17"/>
      <c r="J654" s="17">
        <v>7.6999999999999999E-2</v>
      </c>
      <c r="K654" s="9" t="s">
        <v>1343</v>
      </c>
      <c r="L654" s="9" t="s">
        <v>804</v>
      </c>
      <c r="M654" s="9">
        <v>2022</v>
      </c>
      <c r="N654" s="9" t="s">
        <v>634</v>
      </c>
      <c r="O654" s="10" t="s">
        <v>635</v>
      </c>
      <c r="P654" s="9" t="s">
        <v>636</v>
      </c>
      <c r="Q654" s="9" t="s">
        <v>264</v>
      </c>
      <c r="R654" s="9" t="s">
        <v>1344</v>
      </c>
      <c r="S654" s="9" t="s">
        <v>1991</v>
      </c>
    </row>
    <row r="655" spans="2:19" x14ac:dyDescent="0.35">
      <c r="B655" s="18" t="s">
        <v>800</v>
      </c>
      <c r="C655" s="9" t="s">
        <v>803</v>
      </c>
      <c r="D655" s="9" t="s">
        <v>799</v>
      </c>
      <c r="E655" s="9" t="s">
        <v>39</v>
      </c>
      <c r="F655" s="17">
        <v>8.09E-2</v>
      </c>
      <c r="G655" s="17"/>
      <c r="H655" s="17"/>
      <c r="I655" s="17"/>
      <c r="J655" s="17">
        <v>8.09E-2</v>
      </c>
      <c r="K655" s="9" t="s">
        <v>1343</v>
      </c>
      <c r="L655" s="9" t="s">
        <v>804</v>
      </c>
      <c r="M655" s="9">
        <v>2024</v>
      </c>
      <c r="N655" s="9" t="s">
        <v>634</v>
      </c>
      <c r="O655" s="10" t="s">
        <v>635</v>
      </c>
      <c r="P655" s="9" t="s">
        <v>636</v>
      </c>
      <c r="Q655" s="9" t="s">
        <v>264</v>
      </c>
      <c r="R655" s="9" t="s">
        <v>1344</v>
      </c>
      <c r="S655" s="9" t="s">
        <v>1992</v>
      </c>
    </row>
    <row r="656" spans="2:19" x14ac:dyDescent="0.35">
      <c r="B656" s="18" t="s">
        <v>800</v>
      </c>
      <c r="C656" s="9" t="s">
        <v>803</v>
      </c>
      <c r="D656" s="9" t="s">
        <v>799</v>
      </c>
      <c r="E656" s="9" t="s">
        <v>39</v>
      </c>
      <c r="F656" s="17">
        <v>8.4400000000000003E-2</v>
      </c>
      <c r="G656" s="17"/>
      <c r="H656" s="17"/>
      <c r="I656" s="17"/>
      <c r="J656" s="17">
        <v>8.4400000000000003E-2</v>
      </c>
      <c r="K656" s="9" t="s">
        <v>1343</v>
      </c>
      <c r="L656" s="9" t="s">
        <v>804</v>
      </c>
      <c r="M656" s="9">
        <v>2023</v>
      </c>
      <c r="N656" s="9" t="s">
        <v>634</v>
      </c>
      <c r="O656" s="10" t="s">
        <v>635</v>
      </c>
      <c r="P656" s="9" t="s">
        <v>636</v>
      </c>
      <c r="Q656" s="9" t="s">
        <v>264</v>
      </c>
      <c r="R656" s="9" t="s">
        <v>1344</v>
      </c>
      <c r="S656" s="9" t="s">
        <v>1993</v>
      </c>
    </row>
    <row r="657" spans="2:19" x14ac:dyDescent="0.35">
      <c r="B657" s="18" t="s">
        <v>258</v>
      </c>
      <c r="C657" s="9" t="s">
        <v>259</v>
      </c>
      <c r="D657" s="9" t="s">
        <v>799</v>
      </c>
      <c r="E657" s="9" t="s">
        <v>39</v>
      </c>
      <c r="F657" s="17">
        <v>0.54720000000000002</v>
      </c>
      <c r="G657" s="17">
        <v>0.54620000000000002</v>
      </c>
      <c r="H657" s="17">
        <v>4.0000000000000002E-4</v>
      </c>
      <c r="I657" s="17">
        <v>5.9999999999999995E-4</v>
      </c>
      <c r="J657" s="17">
        <v>0</v>
      </c>
      <c r="K657" s="9" t="s">
        <v>1343</v>
      </c>
      <c r="L657" s="9" t="s">
        <v>260</v>
      </c>
      <c r="M657" s="9">
        <v>2023</v>
      </c>
      <c r="N657" s="9" t="s">
        <v>313</v>
      </c>
      <c r="O657" s="10" t="s">
        <v>313</v>
      </c>
      <c r="P657" s="9" t="s">
        <v>314</v>
      </c>
      <c r="Q657" s="9" t="s">
        <v>264</v>
      </c>
      <c r="R657" s="9" t="s">
        <v>1344</v>
      </c>
      <c r="S657" s="9" t="s">
        <v>1994</v>
      </c>
    </row>
    <row r="658" spans="2:19" x14ac:dyDescent="0.35">
      <c r="B658" s="18" t="s">
        <v>258</v>
      </c>
      <c r="C658" s="9" t="s">
        <v>259</v>
      </c>
      <c r="D658" s="9" t="s">
        <v>799</v>
      </c>
      <c r="E658" s="9" t="s">
        <v>39</v>
      </c>
      <c r="F658" s="17">
        <v>0.55930000000000002</v>
      </c>
      <c r="G658" s="17">
        <v>0.55830000000000002</v>
      </c>
      <c r="H658" s="17">
        <v>4.0000000000000002E-4</v>
      </c>
      <c r="I658" s="17">
        <v>5.9999999999999995E-4</v>
      </c>
      <c r="J658" s="17">
        <v>0</v>
      </c>
      <c r="K658" s="9" t="s">
        <v>1343</v>
      </c>
      <c r="L658" s="9" t="s">
        <v>260</v>
      </c>
      <c r="M658" s="9">
        <v>2022</v>
      </c>
      <c r="N658" s="9" t="s">
        <v>313</v>
      </c>
      <c r="O658" s="10" t="s">
        <v>313</v>
      </c>
      <c r="P658" s="9" t="s">
        <v>314</v>
      </c>
      <c r="Q658" s="9" t="s">
        <v>264</v>
      </c>
      <c r="R658" s="9" t="s">
        <v>1344</v>
      </c>
      <c r="S658" s="9" t="s">
        <v>1995</v>
      </c>
    </row>
    <row r="659" spans="2:19" x14ac:dyDescent="0.35">
      <c r="B659" s="18" t="s">
        <v>258</v>
      </c>
      <c r="C659" s="9" t="s">
        <v>259</v>
      </c>
      <c r="D659" s="9" t="s">
        <v>799</v>
      </c>
      <c r="E659" s="9" t="s">
        <v>39</v>
      </c>
      <c r="F659" s="17">
        <v>0.47460000000000002</v>
      </c>
      <c r="G659" s="17">
        <v>0.47399999999999998</v>
      </c>
      <c r="H659" s="17">
        <v>2.9999999999999997E-4</v>
      </c>
      <c r="I659" s="17">
        <v>2.9999999999999997E-4</v>
      </c>
      <c r="J659" s="17">
        <v>0</v>
      </c>
      <c r="K659" s="9" t="s">
        <v>1343</v>
      </c>
      <c r="L659" s="9" t="s">
        <v>260</v>
      </c>
      <c r="M659" s="9">
        <v>2024</v>
      </c>
      <c r="N659" s="9" t="s">
        <v>271</v>
      </c>
      <c r="O659" s="10" t="s">
        <v>272</v>
      </c>
      <c r="P659" s="9" t="s">
        <v>273</v>
      </c>
      <c r="Q659" s="9" t="s">
        <v>264</v>
      </c>
      <c r="R659" s="9" t="s">
        <v>1344</v>
      </c>
      <c r="S659" s="9" t="s">
        <v>1996</v>
      </c>
    </row>
    <row r="660" spans="2:19" x14ac:dyDescent="0.35">
      <c r="B660" s="18" t="s">
        <v>258</v>
      </c>
      <c r="C660" s="9" t="s">
        <v>259</v>
      </c>
      <c r="D660" s="9" t="s">
        <v>799</v>
      </c>
      <c r="E660" s="9" t="s">
        <v>39</v>
      </c>
      <c r="F660" s="17">
        <v>0.48480000000000001</v>
      </c>
      <c r="G660" s="17">
        <v>0.48420000000000002</v>
      </c>
      <c r="H660" s="17">
        <v>2.9999999999999997E-4</v>
      </c>
      <c r="I660" s="17">
        <v>2.9999999999999997E-4</v>
      </c>
      <c r="J660" s="17">
        <v>0</v>
      </c>
      <c r="K660" s="9" t="s">
        <v>1343</v>
      </c>
      <c r="L660" s="9" t="s">
        <v>260</v>
      </c>
      <c r="M660" s="9">
        <v>2022</v>
      </c>
      <c r="N660" s="9" t="s">
        <v>271</v>
      </c>
      <c r="O660" s="10" t="s">
        <v>272</v>
      </c>
      <c r="P660" s="9" t="s">
        <v>273</v>
      </c>
      <c r="Q660" s="9" t="s">
        <v>264</v>
      </c>
      <c r="R660" s="9" t="s">
        <v>1344</v>
      </c>
      <c r="S660" s="9" t="s">
        <v>1997</v>
      </c>
    </row>
    <row r="661" spans="2:19" x14ac:dyDescent="0.35">
      <c r="B661" s="18" t="s">
        <v>258</v>
      </c>
      <c r="C661" s="9" t="s">
        <v>259</v>
      </c>
      <c r="D661" s="9" t="s">
        <v>799</v>
      </c>
      <c r="E661" s="9" t="s">
        <v>39</v>
      </c>
      <c r="F661" s="17">
        <v>0.48520000000000002</v>
      </c>
      <c r="G661" s="17">
        <v>0.48459999999999998</v>
      </c>
      <c r="H661" s="17">
        <v>2.9999999999999997E-4</v>
      </c>
      <c r="I661" s="17">
        <v>2.9999999999999997E-4</v>
      </c>
      <c r="J661" s="17">
        <v>0</v>
      </c>
      <c r="K661" s="9" t="s">
        <v>1343</v>
      </c>
      <c r="L661" s="9" t="s">
        <v>260</v>
      </c>
      <c r="M661" s="9">
        <v>2023</v>
      </c>
      <c r="N661" s="9" t="s">
        <v>271</v>
      </c>
      <c r="O661" s="10" t="s">
        <v>272</v>
      </c>
      <c r="P661" s="9" t="s">
        <v>273</v>
      </c>
      <c r="Q661" s="9" t="s">
        <v>264</v>
      </c>
      <c r="R661" s="9" t="s">
        <v>1344</v>
      </c>
      <c r="S661" s="9" t="s">
        <v>1998</v>
      </c>
    </row>
    <row r="662" spans="2:19" x14ac:dyDescent="0.35">
      <c r="B662" s="18" t="s">
        <v>800</v>
      </c>
      <c r="C662" s="9" t="s">
        <v>801</v>
      </c>
      <c r="D662" s="9" t="s">
        <v>799</v>
      </c>
      <c r="E662" s="9" t="s">
        <v>39</v>
      </c>
      <c r="F662" s="17">
        <v>5.8200000000000002E-2</v>
      </c>
      <c r="G662" s="17"/>
      <c r="H662" s="17"/>
      <c r="I662" s="17"/>
      <c r="J662" s="17">
        <v>5.8200000000000002E-2</v>
      </c>
      <c r="K662" s="9" t="s">
        <v>1343</v>
      </c>
      <c r="L662" s="9" t="s">
        <v>802</v>
      </c>
      <c r="M662" s="9">
        <v>2023</v>
      </c>
      <c r="N662" s="9" t="s">
        <v>271</v>
      </c>
      <c r="O662" s="10" t="s">
        <v>272</v>
      </c>
      <c r="P662" s="9" t="s">
        <v>273</v>
      </c>
      <c r="Q662" s="9" t="s">
        <v>264</v>
      </c>
      <c r="R662" s="9" t="s">
        <v>1344</v>
      </c>
      <c r="S662" s="9" t="s">
        <v>1999</v>
      </c>
    </row>
    <row r="663" spans="2:19" x14ac:dyDescent="0.35">
      <c r="B663" s="18" t="s">
        <v>800</v>
      </c>
      <c r="C663" s="9" t="s">
        <v>801</v>
      </c>
      <c r="D663" s="9" t="s">
        <v>799</v>
      </c>
      <c r="E663" s="9" t="s">
        <v>39</v>
      </c>
      <c r="F663" s="17">
        <v>6.1800000000000001E-2</v>
      </c>
      <c r="G663" s="17"/>
      <c r="H663" s="17"/>
      <c r="I663" s="17"/>
      <c r="J663" s="17">
        <v>6.1800000000000001E-2</v>
      </c>
      <c r="K663" s="9" t="s">
        <v>1343</v>
      </c>
      <c r="L663" s="9" t="s">
        <v>802</v>
      </c>
      <c r="M663" s="9">
        <v>2022</v>
      </c>
      <c r="N663" s="9" t="s">
        <v>271</v>
      </c>
      <c r="O663" s="10" t="s">
        <v>272</v>
      </c>
      <c r="P663" s="9" t="s">
        <v>273</v>
      </c>
      <c r="Q663" s="9" t="s">
        <v>264</v>
      </c>
      <c r="R663" s="9" t="s">
        <v>1344</v>
      </c>
      <c r="S663" s="9" t="s">
        <v>2000</v>
      </c>
    </row>
    <row r="664" spans="2:19" x14ac:dyDescent="0.35">
      <c r="B664" s="18" t="s">
        <v>800</v>
      </c>
      <c r="C664" s="9" t="s">
        <v>803</v>
      </c>
      <c r="D664" s="9" t="s">
        <v>799</v>
      </c>
      <c r="E664" s="9" t="s">
        <v>39</v>
      </c>
      <c r="F664" s="17">
        <v>0.15629999999999999</v>
      </c>
      <c r="G664" s="17"/>
      <c r="H664" s="17"/>
      <c r="I664" s="17"/>
      <c r="J664" s="17">
        <v>0.15629999999999999</v>
      </c>
      <c r="K664" s="9" t="s">
        <v>1343</v>
      </c>
      <c r="L664" s="9" t="s">
        <v>804</v>
      </c>
      <c r="M664" s="9">
        <v>2022</v>
      </c>
      <c r="N664" s="9" t="s">
        <v>271</v>
      </c>
      <c r="O664" s="10" t="s">
        <v>272</v>
      </c>
      <c r="P664" s="9" t="s">
        <v>273</v>
      </c>
      <c r="Q664" s="9" t="s">
        <v>264</v>
      </c>
      <c r="R664" s="9" t="s">
        <v>1344</v>
      </c>
      <c r="S664" s="9" t="s">
        <v>2001</v>
      </c>
    </row>
    <row r="665" spans="2:19" x14ac:dyDescent="0.35">
      <c r="B665" s="18" t="s">
        <v>800</v>
      </c>
      <c r="C665" s="9" t="s">
        <v>803</v>
      </c>
      <c r="D665" s="9" t="s">
        <v>799</v>
      </c>
      <c r="E665" s="9" t="s">
        <v>39</v>
      </c>
      <c r="F665" s="17">
        <v>0.15970000000000001</v>
      </c>
      <c r="G665" s="17"/>
      <c r="H665" s="17"/>
      <c r="I665" s="17"/>
      <c r="J665" s="17">
        <v>0.15970000000000001</v>
      </c>
      <c r="K665" s="9" t="s">
        <v>1343</v>
      </c>
      <c r="L665" s="9" t="s">
        <v>804</v>
      </c>
      <c r="M665" s="9">
        <v>2024</v>
      </c>
      <c r="N665" s="9" t="s">
        <v>271</v>
      </c>
      <c r="O665" s="10" t="s">
        <v>272</v>
      </c>
      <c r="P665" s="9" t="s">
        <v>273</v>
      </c>
      <c r="Q665" s="9" t="s">
        <v>264</v>
      </c>
      <c r="R665" s="9" t="s">
        <v>1344</v>
      </c>
      <c r="S665" s="9" t="s">
        <v>2002</v>
      </c>
    </row>
    <row r="666" spans="2:19" x14ac:dyDescent="0.35">
      <c r="B666" s="18" t="s">
        <v>800</v>
      </c>
      <c r="C666" s="9" t="s">
        <v>803</v>
      </c>
      <c r="D666" s="9" t="s">
        <v>799</v>
      </c>
      <c r="E666" s="9" t="s">
        <v>39</v>
      </c>
      <c r="F666" s="17">
        <v>0.1618</v>
      </c>
      <c r="G666" s="17"/>
      <c r="H666" s="17"/>
      <c r="I666" s="17"/>
      <c r="J666" s="17">
        <v>0.1618</v>
      </c>
      <c r="K666" s="9" t="s">
        <v>1343</v>
      </c>
      <c r="L666" s="9" t="s">
        <v>804</v>
      </c>
      <c r="M666" s="9">
        <v>2023</v>
      </c>
      <c r="N666" s="9" t="s">
        <v>271</v>
      </c>
      <c r="O666" s="10" t="s">
        <v>272</v>
      </c>
      <c r="P666" s="9" t="s">
        <v>273</v>
      </c>
      <c r="Q666" s="9" t="s">
        <v>264</v>
      </c>
      <c r="R666" s="9" t="s">
        <v>1344</v>
      </c>
      <c r="S666" s="9" t="s">
        <v>2003</v>
      </c>
    </row>
    <row r="667" spans="2:19" x14ac:dyDescent="0.35">
      <c r="B667" s="18" t="s">
        <v>258</v>
      </c>
      <c r="C667" s="9" t="s">
        <v>259</v>
      </c>
      <c r="D667" s="9" t="s">
        <v>799</v>
      </c>
      <c r="E667" s="9" t="s">
        <v>39</v>
      </c>
      <c r="F667" s="17">
        <v>1.0991</v>
      </c>
      <c r="G667" s="17">
        <v>1.0945</v>
      </c>
      <c r="H667" s="17">
        <v>2.9999999999999997E-4</v>
      </c>
      <c r="I667" s="17">
        <v>4.3E-3</v>
      </c>
      <c r="J667" s="17">
        <v>0</v>
      </c>
      <c r="K667" s="9" t="s">
        <v>1343</v>
      </c>
      <c r="L667" s="9" t="s">
        <v>260</v>
      </c>
      <c r="M667" s="9">
        <v>2022</v>
      </c>
      <c r="N667" s="9" t="s">
        <v>673</v>
      </c>
      <c r="O667" s="10" t="s">
        <v>674</v>
      </c>
      <c r="P667" s="9" t="s">
        <v>675</v>
      </c>
      <c r="Q667" s="9" t="s">
        <v>264</v>
      </c>
      <c r="R667" s="9" t="s">
        <v>1344</v>
      </c>
      <c r="S667" s="9" t="s">
        <v>2004</v>
      </c>
    </row>
    <row r="668" spans="2:19" x14ac:dyDescent="0.35">
      <c r="B668" s="18" t="s">
        <v>258</v>
      </c>
      <c r="C668" s="9" t="s">
        <v>259</v>
      </c>
      <c r="D668" s="9" t="s">
        <v>799</v>
      </c>
      <c r="E668" s="9" t="s">
        <v>39</v>
      </c>
      <c r="F668" s="17">
        <v>1.1012999999999999</v>
      </c>
      <c r="G668" s="17">
        <v>1.0966</v>
      </c>
      <c r="H668" s="17">
        <v>4.0000000000000002E-4</v>
      </c>
      <c r="I668" s="17">
        <v>4.3E-3</v>
      </c>
      <c r="J668" s="17">
        <v>0</v>
      </c>
      <c r="K668" s="9" t="s">
        <v>1343</v>
      </c>
      <c r="L668" s="9" t="s">
        <v>260</v>
      </c>
      <c r="M668" s="9">
        <v>2024</v>
      </c>
      <c r="N668" s="9" t="s">
        <v>673</v>
      </c>
      <c r="O668" s="10" t="s">
        <v>674</v>
      </c>
      <c r="P668" s="9" t="s">
        <v>675</v>
      </c>
      <c r="Q668" s="9" t="s">
        <v>264</v>
      </c>
      <c r="R668" s="9" t="s">
        <v>1344</v>
      </c>
      <c r="S668" s="9" t="s">
        <v>2005</v>
      </c>
    </row>
    <row r="669" spans="2:19" x14ac:dyDescent="0.35">
      <c r="B669" s="18" t="s">
        <v>258</v>
      </c>
      <c r="C669" s="9" t="s">
        <v>259</v>
      </c>
      <c r="D669" s="9" t="s">
        <v>799</v>
      </c>
      <c r="E669" s="9" t="s">
        <v>39</v>
      </c>
      <c r="F669" s="17">
        <v>1.1042000000000001</v>
      </c>
      <c r="G669" s="17">
        <v>1.0994999999999999</v>
      </c>
      <c r="H669" s="17">
        <v>4.0000000000000002E-4</v>
      </c>
      <c r="I669" s="17">
        <v>4.3E-3</v>
      </c>
      <c r="J669" s="17">
        <v>0</v>
      </c>
      <c r="K669" s="9" t="s">
        <v>1343</v>
      </c>
      <c r="L669" s="9" t="s">
        <v>260</v>
      </c>
      <c r="M669" s="9">
        <v>2023</v>
      </c>
      <c r="N669" s="9" t="s">
        <v>673</v>
      </c>
      <c r="O669" s="10" t="s">
        <v>674</v>
      </c>
      <c r="P669" s="9" t="s">
        <v>675</v>
      </c>
      <c r="Q669" s="9" t="s">
        <v>264</v>
      </c>
      <c r="R669" s="9" t="s">
        <v>1344</v>
      </c>
      <c r="S669" s="9" t="s">
        <v>2006</v>
      </c>
    </row>
    <row r="670" spans="2:19" x14ac:dyDescent="0.35">
      <c r="B670" s="18" t="s">
        <v>800</v>
      </c>
      <c r="C670" s="9" t="s">
        <v>801</v>
      </c>
      <c r="D670" s="9" t="s">
        <v>799</v>
      </c>
      <c r="E670" s="9" t="s">
        <v>39</v>
      </c>
      <c r="F670" s="17">
        <v>0.15529999999999999</v>
      </c>
      <c r="G670" s="17"/>
      <c r="H670" s="17"/>
      <c r="I670" s="17"/>
      <c r="J670" s="17">
        <v>0.15529999999999999</v>
      </c>
      <c r="K670" s="9" t="s">
        <v>1343</v>
      </c>
      <c r="L670" s="9" t="s">
        <v>802</v>
      </c>
      <c r="M670" s="9">
        <v>2022</v>
      </c>
      <c r="N670" s="9" t="s">
        <v>673</v>
      </c>
      <c r="O670" s="10" t="s">
        <v>674</v>
      </c>
      <c r="P670" s="9" t="s">
        <v>675</v>
      </c>
      <c r="Q670" s="9" t="s">
        <v>264</v>
      </c>
      <c r="R670" s="9" t="s">
        <v>1344</v>
      </c>
      <c r="S670" s="9" t="s">
        <v>2007</v>
      </c>
    </row>
    <row r="671" spans="2:19" x14ac:dyDescent="0.35">
      <c r="B671" s="18" t="s">
        <v>800</v>
      </c>
      <c r="C671" s="9" t="s">
        <v>801</v>
      </c>
      <c r="D671" s="9" t="s">
        <v>799</v>
      </c>
      <c r="E671" s="9" t="s">
        <v>39</v>
      </c>
      <c r="F671" s="17">
        <v>0.15590000000000001</v>
      </c>
      <c r="G671" s="17"/>
      <c r="H671" s="17"/>
      <c r="I671" s="17"/>
      <c r="J671" s="17">
        <v>0.15590000000000001</v>
      </c>
      <c r="K671" s="9" t="s">
        <v>1343</v>
      </c>
      <c r="L671" s="9" t="s">
        <v>802</v>
      </c>
      <c r="M671" s="9">
        <v>2023</v>
      </c>
      <c r="N671" s="9" t="s">
        <v>673</v>
      </c>
      <c r="O671" s="10" t="s">
        <v>674</v>
      </c>
      <c r="P671" s="9" t="s">
        <v>675</v>
      </c>
      <c r="Q671" s="9" t="s">
        <v>264</v>
      </c>
      <c r="R671" s="9" t="s">
        <v>1344</v>
      </c>
      <c r="S671" s="9" t="s">
        <v>2008</v>
      </c>
    </row>
    <row r="672" spans="2:19" x14ac:dyDescent="0.35">
      <c r="B672" s="18" t="s">
        <v>800</v>
      </c>
      <c r="C672" s="9" t="s">
        <v>803</v>
      </c>
      <c r="D672" s="9" t="s">
        <v>799</v>
      </c>
      <c r="E672" s="9" t="s">
        <v>39</v>
      </c>
      <c r="F672" s="17">
        <v>0.1709</v>
      </c>
      <c r="G672" s="17"/>
      <c r="H672" s="17"/>
      <c r="I672" s="17"/>
      <c r="J672" s="17">
        <v>0.1709</v>
      </c>
      <c r="K672" s="9" t="s">
        <v>1343</v>
      </c>
      <c r="L672" s="9" t="s">
        <v>804</v>
      </c>
      <c r="M672" s="9">
        <v>2022</v>
      </c>
      <c r="N672" s="9" t="s">
        <v>673</v>
      </c>
      <c r="O672" s="10" t="s">
        <v>674</v>
      </c>
      <c r="P672" s="9" t="s">
        <v>675</v>
      </c>
      <c r="Q672" s="9" t="s">
        <v>264</v>
      </c>
      <c r="R672" s="9" t="s">
        <v>1344</v>
      </c>
      <c r="S672" s="9" t="s">
        <v>2009</v>
      </c>
    </row>
    <row r="673" spans="2:19" x14ac:dyDescent="0.35">
      <c r="B673" s="18" t="s">
        <v>800</v>
      </c>
      <c r="C673" s="9" t="s">
        <v>803</v>
      </c>
      <c r="D673" s="9" t="s">
        <v>799</v>
      </c>
      <c r="E673" s="9" t="s">
        <v>39</v>
      </c>
      <c r="F673" s="17">
        <v>0.1721</v>
      </c>
      <c r="G673" s="17"/>
      <c r="H673" s="17"/>
      <c r="I673" s="17"/>
      <c r="J673" s="17">
        <v>0.1721</v>
      </c>
      <c r="K673" s="9" t="s">
        <v>1343</v>
      </c>
      <c r="L673" s="9" t="s">
        <v>804</v>
      </c>
      <c r="M673" s="9">
        <v>2024</v>
      </c>
      <c r="N673" s="9" t="s">
        <v>673</v>
      </c>
      <c r="O673" s="10" t="s">
        <v>674</v>
      </c>
      <c r="P673" s="9" t="s">
        <v>675</v>
      </c>
      <c r="Q673" s="9" t="s">
        <v>264</v>
      </c>
      <c r="R673" s="9" t="s">
        <v>1344</v>
      </c>
      <c r="S673" s="9" t="s">
        <v>2010</v>
      </c>
    </row>
    <row r="674" spans="2:19" x14ac:dyDescent="0.35">
      <c r="B674" s="18" t="s">
        <v>800</v>
      </c>
      <c r="C674" s="9" t="s">
        <v>803</v>
      </c>
      <c r="D674" s="9" t="s">
        <v>799</v>
      </c>
      <c r="E674" s="9" t="s">
        <v>39</v>
      </c>
      <c r="F674" s="17">
        <v>0.1726</v>
      </c>
      <c r="G674" s="17"/>
      <c r="H674" s="17"/>
      <c r="I674" s="17"/>
      <c r="J674" s="17">
        <v>0.1726</v>
      </c>
      <c r="K674" s="9" t="s">
        <v>1343</v>
      </c>
      <c r="L674" s="9" t="s">
        <v>804</v>
      </c>
      <c r="M674" s="9">
        <v>2023</v>
      </c>
      <c r="N674" s="9" t="s">
        <v>673</v>
      </c>
      <c r="O674" s="10" t="s">
        <v>674</v>
      </c>
      <c r="P674" s="9" t="s">
        <v>675</v>
      </c>
      <c r="Q674" s="9" t="s">
        <v>264</v>
      </c>
      <c r="R674" s="9" t="s">
        <v>1344</v>
      </c>
      <c r="S674" s="9" t="s">
        <v>2011</v>
      </c>
    </row>
    <row r="675" spans="2:19" x14ac:dyDescent="0.35">
      <c r="B675" s="18" t="s">
        <v>258</v>
      </c>
      <c r="C675" s="9" t="s">
        <v>259</v>
      </c>
      <c r="D675" s="9" t="s">
        <v>799</v>
      </c>
      <c r="E675" s="9" t="s">
        <v>39</v>
      </c>
      <c r="F675" s="17">
        <v>0.38390000000000002</v>
      </c>
      <c r="G675" s="17">
        <v>0.38229999999999997</v>
      </c>
      <c r="H675" s="17">
        <v>1E-4</v>
      </c>
      <c r="I675" s="17">
        <v>1.5E-3</v>
      </c>
      <c r="J675" s="17">
        <v>0</v>
      </c>
      <c r="K675" s="9" t="s">
        <v>1343</v>
      </c>
      <c r="L675" s="9" t="s">
        <v>260</v>
      </c>
      <c r="M675" s="9">
        <v>2023</v>
      </c>
      <c r="N675" s="9" t="s">
        <v>664</v>
      </c>
      <c r="O675" s="10" t="s">
        <v>665</v>
      </c>
      <c r="P675" s="9" t="s">
        <v>666</v>
      </c>
      <c r="Q675" s="9" t="s">
        <v>264</v>
      </c>
      <c r="R675" s="9" t="s">
        <v>1344</v>
      </c>
      <c r="S675" s="9" t="s">
        <v>2012</v>
      </c>
    </row>
    <row r="676" spans="2:19" x14ac:dyDescent="0.35">
      <c r="B676" s="18" t="s">
        <v>258</v>
      </c>
      <c r="C676" s="9" t="s">
        <v>259</v>
      </c>
      <c r="D676" s="9" t="s">
        <v>799</v>
      </c>
      <c r="E676" s="9" t="s">
        <v>39</v>
      </c>
      <c r="F676" s="17">
        <v>0.39200000000000002</v>
      </c>
      <c r="G676" s="17">
        <v>0.39040000000000002</v>
      </c>
      <c r="H676" s="17">
        <v>1E-4</v>
      </c>
      <c r="I676" s="17">
        <v>1.5E-3</v>
      </c>
      <c r="J676" s="17">
        <v>0</v>
      </c>
      <c r="K676" s="9" t="s">
        <v>1343</v>
      </c>
      <c r="L676" s="9" t="s">
        <v>260</v>
      </c>
      <c r="M676" s="9">
        <v>2024</v>
      </c>
      <c r="N676" s="9" t="s">
        <v>664</v>
      </c>
      <c r="O676" s="10" t="s">
        <v>665</v>
      </c>
      <c r="P676" s="9" t="s">
        <v>666</v>
      </c>
      <c r="Q676" s="9" t="s">
        <v>264</v>
      </c>
      <c r="R676" s="9" t="s">
        <v>1344</v>
      </c>
      <c r="S676" s="9" t="s">
        <v>2013</v>
      </c>
    </row>
    <row r="677" spans="2:19" x14ac:dyDescent="0.35">
      <c r="B677" s="18" t="s">
        <v>258</v>
      </c>
      <c r="C677" s="9" t="s">
        <v>259</v>
      </c>
      <c r="D677" s="9" t="s">
        <v>799</v>
      </c>
      <c r="E677" s="9" t="s">
        <v>39</v>
      </c>
      <c r="F677" s="17">
        <v>0.44919999999999999</v>
      </c>
      <c r="G677" s="17">
        <v>0.44729999999999998</v>
      </c>
      <c r="H677" s="17">
        <v>1E-4</v>
      </c>
      <c r="I677" s="17">
        <v>1.8E-3</v>
      </c>
      <c r="J677" s="17">
        <v>0</v>
      </c>
      <c r="K677" s="9" t="s">
        <v>1343</v>
      </c>
      <c r="L677" s="9" t="s">
        <v>260</v>
      </c>
      <c r="M677" s="9">
        <v>2022</v>
      </c>
      <c r="N677" s="9" t="s">
        <v>664</v>
      </c>
      <c r="O677" s="10" t="s">
        <v>665</v>
      </c>
      <c r="P677" s="9" t="s">
        <v>666</v>
      </c>
      <c r="Q677" s="9" t="s">
        <v>264</v>
      </c>
      <c r="R677" s="9" t="s">
        <v>1344</v>
      </c>
      <c r="S677" s="9" t="s">
        <v>2014</v>
      </c>
    </row>
    <row r="678" spans="2:19" x14ac:dyDescent="0.35">
      <c r="B678" s="18" t="s">
        <v>800</v>
      </c>
      <c r="C678" s="9" t="s">
        <v>801</v>
      </c>
      <c r="D678" s="9" t="s">
        <v>799</v>
      </c>
      <c r="E678" s="9" t="s">
        <v>39</v>
      </c>
      <c r="F678" s="17">
        <v>2.3E-2</v>
      </c>
      <c r="G678" s="17"/>
      <c r="H678" s="17"/>
      <c r="I678" s="17"/>
      <c r="J678" s="17">
        <v>2.3E-2</v>
      </c>
      <c r="K678" s="9" t="s">
        <v>1343</v>
      </c>
      <c r="L678" s="9" t="s">
        <v>802</v>
      </c>
      <c r="M678" s="9">
        <v>2023</v>
      </c>
      <c r="N678" s="9" t="s">
        <v>664</v>
      </c>
      <c r="O678" s="10" t="s">
        <v>665</v>
      </c>
      <c r="P678" s="9" t="s">
        <v>666</v>
      </c>
      <c r="Q678" s="9" t="s">
        <v>264</v>
      </c>
      <c r="R678" s="9" t="s">
        <v>1344</v>
      </c>
      <c r="S678" s="9" t="s">
        <v>2015</v>
      </c>
    </row>
    <row r="679" spans="2:19" x14ac:dyDescent="0.35">
      <c r="B679" s="18" t="s">
        <v>800</v>
      </c>
      <c r="C679" s="9" t="s">
        <v>801</v>
      </c>
      <c r="D679" s="9" t="s">
        <v>799</v>
      </c>
      <c r="E679" s="9" t="s">
        <v>39</v>
      </c>
      <c r="F679" s="17">
        <v>0.03</v>
      </c>
      <c r="G679" s="17"/>
      <c r="H679" s="17"/>
      <c r="I679" s="17"/>
      <c r="J679" s="17">
        <v>0.03</v>
      </c>
      <c r="K679" s="9" t="s">
        <v>1343</v>
      </c>
      <c r="L679" s="9" t="s">
        <v>802</v>
      </c>
      <c r="M679" s="9">
        <v>2022</v>
      </c>
      <c r="N679" s="9" t="s">
        <v>664</v>
      </c>
      <c r="O679" s="10" t="s">
        <v>665</v>
      </c>
      <c r="P679" s="9" t="s">
        <v>666</v>
      </c>
      <c r="Q679" s="9" t="s">
        <v>264</v>
      </c>
      <c r="R679" s="9" t="s">
        <v>1344</v>
      </c>
      <c r="S679" s="9" t="s">
        <v>2016</v>
      </c>
    </row>
    <row r="680" spans="2:19" x14ac:dyDescent="0.35">
      <c r="B680" s="18" t="s">
        <v>800</v>
      </c>
      <c r="C680" s="9" t="s">
        <v>803</v>
      </c>
      <c r="D680" s="9" t="s">
        <v>799</v>
      </c>
      <c r="E680" s="9" t="s">
        <v>39</v>
      </c>
      <c r="F680" s="17">
        <v>7.5499999999999998E-2</v>
      </c>
      <c r="G680" s="17"/>
      <c r="H680" s="17"/>
      <c r="I680" s="17"/>
      <c r="J680" s="17">
        <v>7.5499999999999998E-2</v>
      </c>
      <c r="K680" s="9" t="s">
        <v>1343</v>
      </c>
      <c r="L680" s="9" t="s">
        <v>804</v>
      </c>
      <c r="M680" s="9">
        <v>2023</v>
      </c>
      <c r="N680" s="9" t="s">
        <v>664</v>
      </c>
      <c r="O680" s="10" t="s">
        <v>665</v>
      </c>
      <c r="P680" s="9" t="s">
        <v>666</v>
      </c>
      <c r="Q680" s="9" t="s">
        <v>264</v>
      </c>
      <c r="R680" s="9" t="s">
        <v>1344</v>
      </c>
      <c r="S680" s="9" t="s">
        <v>2017</v>
      </c>
    </row>
    <row r="681" spans="2:19" x14ac:dyDescent="0.35">
      <c r="B681" s="18" t="s">
        <v>800</v>
      </c>
      <c r="C681" s="9" t="s">
        <v>803</v>
      </c>
      <c r="D681" s="9" t="s">
        <v>799</v>
      </c>
      <c r="E681" s="9" t="s">
        <v>39</v>
      </c>
      <c r="F681" s="17">
        <v>7.8200000000000006E-2</v>
      </c>
      <c r="G681" s="17"/>
      <c r="H681" s="17"/>
      <c r="I681" s="17"/>
      <c r="J681" s="17">
        <v>7.8200000000000006E-2</v>
      </c>
      <c r="K681" s="9" t="s">
        <v>1343</v>
      </c>
      <c r="L681" s="9" t="s">
        <v>804</v>
      </c>
      <c r="M681" s="9">
        <v>2024</v>
      </c>
      <c r="N681" s="9" t="s">
        <v>664</v>
      </c>
      <c r="O681" s="10" t="s">
        <v>665</v>
      </c>
      <c r="P681" s="9" t="s">
        <v>666</v>
      </c>
      <c r="Q681" s="9" t="s">
        <v>264</v>
      </c>
      <c r="R681" s="9" t="s">
        <v>1344</v>
      </c>
      <c r="S681" s="9" t="s">
        <v>2018</v>
      </c>
    </row>
    <row r="682" spans="2:19" x14ac:dyDescent="0.35">
      <c r="B682" s="18" t="s">
        <v>800</v>
      </c>
      <c r="C682" s="9" t="s">
        <v>803</v>
      </c>
      <c r="D682" s="9" t="s">
        <v>799</v>
      </c>
      <c r="E682" s="9" t="s">
        <v>39</v>
      </c>
      <c r="F682" s="17">
        <v>8.9300000000000004E-2</v>
      </c>
      <c r="G682" s="17"/>
      <c r="H682" s="17"/>
      <c r="I682" s="17"/>
      <c r="J682" s="17">
        <v>8.9300000000000004E-2</v>
      </c>
      <c r="K682" s="9" t="s">
        <v>1343</v>
      </c>
      <c r="L682" s="9" t="s">
        <v>804</v>
      </c>
      <c r="M682" s="9">
        <v>2022</v>
      </c>
      <c r="N682" s="9" t="s">
        <v>664</v>
      </c>
      <c r="O682" s="10" t="s">
        <v>665</v>
      </c>
      <c r="P682" s="9" t="s">
        <v>666</v>
      </c>
      <c r="Q682" s="9" t="s">
        <v>264</v>
      </c>
      <c r="R682" s="9" t="s">
        <v>1344</v>
      </c>
      <c r="S682" s="9" t="s">
        <v>2019</v>
      </c>
    </row>
    <row r="683" spans="2:19" x14ac:dyDescent="0.35">
      <c r="B683" s="18" t="s">
        <v>258</v>
      </c>
      <c r="C683" s="9" t="s">
        <v>259</v>
      </c>
      <c r="D683" s="9" t="s">
        <v>799</v>
      </c>
      <c r="E683" s="9" t="s">
        <v>39</v>
      </c>
      <c r="F683" s="17">
        <v>0.63560000000000005</v>
      </c>
      <c r="G683" s="17">
        <v>0.63280000000000003</v>
      </c>
      <c r="H683" s="17">
        <v>2.0000000000000001E-4</v>
      </c>
      <c r="I683" s="17">
        <v>2.5999999999999999E-3</v>
      </c>
      <c r="J683" s="17">
        <v>0</v>
      </c>
      <c r="K683" s="9" t="s">
        <v>1343</v>
      </c>
      <c r="L683" s="9" t="s">
        <v>260</v>
      </c>
      <c r="M683" s="9">
        <v>2024</v>
      </c>
      <c r="N683" s="9" t="s">
        <v>667</v>
      </c>
      <c r="O683" s="10" t="s">
        <v>668</v>
      </c>
      <c r="P683" s="9" t="s">
        <v>669</v>
      </c>
      <c r="Q683" s="9" t="s">
        <v>264</v>
      </c>
      <c r="R683" s="9" t="s">
        <v>1344</v>
      </c>
      <c r="S683" s="9" t="s">
        <v>2020</v>
      </c>
    </row>
    <row r="684" spans="2:19" x14ac:dyDescent="0.35">
      <c r="B684" s="18" t="s">
        <v>258</v>
      </c>
      <c r="C684" s="9" t="s">
        <v>259</v>
      </c>
      <c r="D684" s="9" t="s">
        <v>799</v>
      </c>
      <c r="E684" s="9" t="s">
        <v>39</v>
      </c>
      <c r="F684" s="17">
        <v>0.67800000000000005</v>
      </c>
      <c r="G684" s="17">
        <v>0.67520000000000002</v>
      </c>
      <c r="H684" s="17">
        <v>2.0000000000000001E-4</v>
      </c>
      <c r="I684" s="17">
        <v>2.5999999999999999E-3</v>
      </c>
      <c r="J684" s="17">
        <v>0</v>
      </c>
      <c r="K684" s="9" t="s">
        <v>1343</v>
      </c>
      <c r="L684" s="9" t="s">
        <v>260</v>
      </c>
      <c r="M684" s="9">
        <v>2023</v>
      </c>
      <c r="N684" s="9" t="s">
        <v>667</v>
      </c>
      <c r="O684" s="10" t="s">
        <v>668</v>
      </c>
      <c r="P684" s="9" t="s">
        <v>669</v>
      </c>
      <c r="Q684" s="9" t="s">
        <v>264</v>
      </c>
      <c r="R684" s="9" t="s">
        <v>1344</v>
      </c>
      <c r="S684" s="9" t="s">
        <v>2021</v>
      </c>
    </row>
    <row r="685" spans="2:19" x14ac:dyDescent="0.35">
      <c r="B685" s="18" t="s">
        <v>258</v>
      </c>
      <c r="C685" s="9" t="s">
        <v>259</v>
      </c>
      <c r="D685" s="9" t="s">
        <v>799</v>
      </c>
      <c r="E685" s="9" t="s">
        <v>39</v>
      </c>
      <c r="F685" s="17">
        <v>0.75780000000000003</v>
      </c>
      <c r="G685" s="17">
        <v>0.75449999999999995</v>
      </c>
      <c r="H685" s="17">
        <v>2.9999999999999997E-4</v>
      </c>
      <c r="I685" s="17">
        <v>3.0000000000000001E-3</v>
      </c>
      <c r="J685" s="17">
        <v>0</v>
      </c>
      <c r="K685" s="9" t="s">
        <v>1343</v>
      </c>
      <c r="L685" s="9" t="s">
        <v>260</v>
      </c>
      <c r="M685" s="9">
        <v>2022</v>
      </c>
      <c r="N685" s="9" t="s">
        <v>667</v>
      </c>
      <c r="O685" s="10" t="s">
        <v>668</v>
      </c>
      <c r="P685" s="9" t="s">
        <v>669</v>
      </c>
      <c r="Q685" s="9" t="s">
        <v>264</v>
      </c>
      <c r="R685" s="9" t="s">
        <v>1344</v>
      </c>
      <c r="S685" s="9" t="s">
        <v>2022</v>
      </c>
    </row>
    <row r="686" spans="2:19" x14ac:dyDescent="0.35">
      <c r="B686" s="18" t="s">
        <v>800</v>
      </c>
      <c r="C686" s="9" t="s">
        <v>801</v>
      </c>
      <c r="D686" s="9" t="s">
        <v>799</v>
      </c>
      <c r="E686" s="9" t="s">
        <v>39</v>
      </c>
      <c r="F686" s="17">
        <v>0.13739999999999999</v>
      </c>
      <c r="G686" s="17"/>
      <c r="H686" s="17"/>
      <c r="I686" s="17"/>
      <c r="J686" s="17">
        <v>0.13739999999999999</v>
      </c>
      <c r="K686" s="9" t="s">
        <v>1343</v>
      </c>
      <c r="L686" s="9" t="s">
        <v>802</v>
      </c>
      <c r="M686" s="9">
        <v>2023</v>
      </c>
      <c r="N686" s="9" t="s">
        <v>667</v>
      </c>
      <c r="O686" s="10" t="s">
        <v>668</v>
      </c>
      <c r="P686" s="9" t="s">
        <v>669</v>
      </c>
      <c r="Q686" s="9" t="s">
        <v>264</v>
      </c>
      <c r="R686" s="9" t="s">
        <v>1344</v>
      </c>
      <c r="S686" s="9" t="s">
        <v>2023</v>
      </c>
    </row>
    <row r="687" spans="2:19" x14ac:dyDescent="0.35">
      <c r="B687" s="18" t="s">
        <v>800</v>
      </c>
      <c r="C687" s="9" t="s">
        <v>801</v>
      </c>
      <c r="D687" s="9" t="s">
        <v>799</v>
      </c>
      <c r="E687" s="9" t="s">
        <v>39</v>
      </c>
      <c r="F687" s="17">
        <v>0.15340000000000001</v>
      </c>
      <c r="G687" s="17"/>
      <c r="H687" s="17"/>
      <c r="I687" s="17"/>
      <c r="J687" s="17">
        <v>0.15340000000000001</v>
      </c>
      <c r="K687" s="9" t="s">
        <v>1343</v>
      </c>
      <c r="L687" s="9" t="s">
        <v>802</v>
      </c>
      <c r="M687" s="9">
        <v>2022</v>
      </c>
      <c r="N687" s="9" t="s">
        <v>667</v>
      </c>
      <c r="O687" s="10" t="s">
        <v>668</v>
      </c>
      <c r="P687" s="9" t="s">
        <v>669</v>
      </c>
      <c r="Q687" s="9" t="s">
        <v>264</v>
      </c>
      <c r="R687" s="9" t="s">
        <v>1344</v>
      </c>
      <c r="S687" s="9" t="s">
        <v>2024</v>
      </c>
    </row>
    <row r="688" spans="2:19" x14ac:dyDescent="0.35">
      <c r="B688" s="18" t="s">
        <v>800</v>
      </c>
      <c r="C688" s="9" t="s">
        <v>803</v>
      </c>
      <c r="D688" s="9" t="s">
        <v>799</v>
      </c>
      <c r="E688" s="9" t="s">
        <v>39</v>
      </c>
      <c r="F688" s="17">
        <v>0.1055</v>
      </c>
      <c r="G688" s="17"/>
      <c r="H688" s="17"/>
      <c r="I688" s="17"/>
      <c r="J688" s="17">
        <v>0.1055</v>
      </c>
      <c r="K688" s="9" t="s">
        <v>1343</v>
      </c>
      <c r="L688" s="9" t="s">
        <v>804</v>
      </c>
      <c r="M688" s="9">
        <v>2024</v>
      </c>
      <c r="N688" s="9" t="s">
        <v>667</v>
      </c>
      <c r="O688" s="10" t="s">
        <v>668</v>
      </c>
      <c r="P688" s="9" t="s">
        <v>669</v>
      </c>
      <c r="Q688" s="9" t="s">
        <v>264</v>
      </c>
      <c r="R688" s="9" t="s">
        <v>1344</v>
      </c>
      <c r="S688" s="9" t="s">
        <v>2025</v>
      </c>
    </row>
    <row r="689" spans="2:19" x14ac:dyDescent="0.35">
      <c r="B689" s="18" t="s">
        <v>800</v>
      </c>
      <c r="C689" s="9" t="s">
        <v>803</v>
      </c>
      <c r="D689" s="9" t="s">
        <v>799</v>
      </c>
      <c r="E689" s="9" t="s">
        <v>39</v>
      </c>
      <c r="F689" s="17">
        <v>0.1133</v>
      </c>
      <c r="G689" s="17"/>
      <c r="H689" s="17"/>
      <c r="I689" s="17"/>
      <c r="J689" s="17">
        <v>0.1133</v>
      </c>
      <c r="K689" s="9" t="s">
        <v>1343</v>
      </c>
      <c r="L689" s="9" t="s">
        <v>804</v>
      </c>
      <c r="M689" s="9">
        <v>2023</v>
      </c>
      <c r="N689" s="9" t="s">
        <v>667</v>
      </c>
      <c r="O689" s="10" t="s">
        <v>668</v>
      </c>
      <c r="P689" s="9" t="s">
        <v>669</v>
      </c>
      <c r="Q689" s="9" t="s">
        <v>264</v>
      </c>
      <c r="R689" s="9" t="s">
        <v>1344</v>
      </c>
      <c r="S689" s="9" t="s">
        <v>2026</v>
      </c>
    </row>
    <row r="690" spans="2:19" x14ac:dyDescent="0.35">
      <c r="B690" s="18" t="s">
        <v>800</v>
      </c>
      <c r="C690" s="9" t="s">
        <v>803</v>
      </c>
      <c r="D690" s="9" t="s">
        <v>799</v>
      </c>
      <c r="E690" s="9" t="s">
        <v>39</v>
      </c>
      <c r="F690" s="17">
        <v>0.13350000000000001</v>
      </c>
      <c r="G690" s="17"/>
      <c r="H690" s="17"/>
      <c r="I690" s="17"/>
      <c r="J690" s="17">
        <v>0.13350000000000001</v>
      </c>
      <c r="K690" s="9" t="s">
        <v>1343</v>
      </c>
      <c r="L690" s="9" t="s">
        <v>804</v>
      </c>
      <c r="M690" s="9">
        <v>2022</v>
      </c>
      <c r="N690" s="9" t="s">
        <v>667</v>
      </c>
      <c r="O690" s="10" t="s">
        <v>668</v>
      </c>
      <c r="P690" s="9" t="s">
        <v>669</v>
      </c>
      <c r="Q690" s="9" t="s">
        <v>264</v>
      </c>
      <c r="R690" s="9" t="s">
        <v>1344</v>
      </c>
      <c r="S690" s="9" t="s">
        <v>2027</v>
      </c>
    </row>
    <row r="691" spans="2:19" x14ac:dyDescent="0.35">
      <c r="B691" s="18" t="s">
        <v>258</v>
      </c>
      <c r="C691" s="9" t="s">
        <v>259</v>
      </c>
      <c r="D691" s="9" t="s">
        <v>799</v>
      </c>
      <c r="E691" s="9" t="s">
        <v>39</v>
      </c>
      <c r="F691" s="17">
        <v>8.6499999999999994E-2</v>
      </c>
      <c r="G691" s="17">
        <v>8.6099999999999996E-2</v>
      </c>
      <c r="H691" s="17">
        <v>2.0000000000000001E-4</v>
      </c>
      <c r="I691" s="17">
        <v>2.0000000000000001E-4</v>
      </c>
      <c r="J691" s="17">
        <v>0</v>
      </c>
      <c r="K691" s="9" t="s">
        <v>1343</v>
      </c>
      <c r="L691" s="9" t="s">
        <v>260</v>
      </c>
      <c r="M691" s="9">
        <v>2022</v>
      </c>
      <c r="N691" s="9" t="s">
        <v>598</v>
      </c>
      <c r="O691" s="10" t="s">
        <v>599</v>
      </c>
      <c r="P691" s="9" t="s">
        <v>600</v>
      </c>
      <c r="Q691" s="9" t="s">
        <v>264</v>
      </c>
      <c r="R691" s="9" t="s">
        <v>1344</v>
      </c>
      <c r="S691" s="9" t="s">
        <v>2028</v>
      </c>
    </row>
    <row r="692" spans="2:19" x14ac:dyDescent="0.35">
      <c r="B692" s="18" t="s">
        <v>258</v>
      </c>
      <c r="C692" s="9" t="s">
        <v>259</v>
      </c>
      <c r="D692" s="9" t="s">
        <v>799</v>
      </c>
      <c r="E692" s="9" t="s">
        <v>39</v>
      </c>
      <c r="F692" s="17">
        <v>8.7599999999999997E-2</v>
      </c>
      <c r="G692" s="17">
        <v>8.7400000000000005E-2</v>
      </c>
      <c r="H692" s="17">
        <v>1E-4</v>
      </c>
      <c r="I692" s="17">
        <v>1E-4</v>
      </c>
      <c r="J692" s="17">
        <v>0</v>
      </c>
      <c r="K692" s="9" t="s">
        <v>1343</v>
      </c>
      <c r="L692" s="9" t="s">
        <v>260</v>
      </c>
      <c r="M692" s="9">
        <v>2023</v>
      </c>
      <c r="N692" s="9" t="s">
        <v>598</v>
      </c>
      <c r="O692" s="10" t="s">
        <v>599</v>
      </c>
      <c r="P692" s="9" t="s">
        <v>600</v>
      </c>
      <c r="Q692" s="9" t="s">
        <v>264</v>
      </c>
      <c r="R692" s="9" t="s">
        <v>1344</v>
      </c>
      <c r="S692" s="9" t="s">
        <v>2029</v>
      </c>
    </row>
    <row r="693" spans="2:19" x14ac:dyDescent="0.35">
      <c r="B693" s="18" t="s">
        <v>800</v>
      </c>
      <c r="C693" s="9" t="s">
        <v>801</v>
      </c>
      <c r="D693" s="9" t="s">
        <v>799</v>
      </c>
      <c r="E693" s="9" t="s">
        <v>39</v>
      </c>
      <c r="F693" s="17">
        <v>1.26E-2</v>
      </c>
      <c r="G693" s="17"/>
      <c r="H693" s="17"/>
      <c r="I693" s="17"/>
      <c r="J693" s="17">
        <v>1.26E-2</v>
      </c>
      <c r="K693" s="9" t="s">
        <v>1343</v>
      </c>
      <c r="L693" s="9" t="s">
        <v>802</v>
      </c>
      <c r="M693" s="9">
        <v>2023</v>
      </c>
      <c r="N693" s="9" t="s">
        <v>598</v>
      </c>
      <c r="O693" s="10" t="s">
        <v>599</v>
      </c>
      <c r="P693" s="9" t="s">
        <v>600</v>
      </c>
      <c r="Q693" s="9" t="s">
        <v>264</v>
      </c>
      <c r="R693" s="9" t="s">
        <v>1344</v>
      </c>
      <c r="S693" s="9" t="s">
        <v>2030</v>
      </c>
    </row>
    <row r="694" spans="2:19" x14ac:dyDescent="0.35">
      <c r="B694" s="18" t="s">
        <v>800</v>
      </c>
      <c r="C694" s="9" t="s">
        <v>801</v>
      </c>
      <c r="D694" s="9" t="s">
        <v>799</v>
      </c>
      <c r="E694" s="9" t="s">
        <v>39</v>
      </c>
      <c r="F694" s="17">
        <v>1.2699999999999999E-2</v>
      </c>
      <c r="G694" s="17"/>
      <c r="H694" s="17"/>
      <c r="I694" s="17"/>
      <c r="J694" s="17">
        <v>1.2699999999999999E-2</v>
      </c>
      <c r="K694" s="9" t="s">
        <v>1343</v>
      </c>
      <c r="L694" s="9" t="s">
        <v>802</v>
      </c>
      <c r="M694" s="9">
        <v>2022</v>
      </c>
      <c r="N694" s="9" t="s">
        <v>598</v>
      </c>
      <c r="O694" s="10" t="s">
        <v>599</v>
      </c>
      <c r="P694" s="9" t="s">
        <v>600</v>
      </c>
      <c r="Q694" s="9" t="s">
        <v>264</v>
      </c>
      <c r="R694" s="9" t="s">
        <v>1344</v>
      </c>
      <c r="S694" s="9" t="s">
        <v>2031</v>
      </c>
    </row>
    <row r="695" spans="2:19" x14ac:dyDescent="0.35">
      <c r="B695" s="18" t="s">
        <v>800</v>
      </c>
      <c r="C695" s="9" t="s">
        <v>803</v>
      </c>
      <c r="D695" s="9" t="s">
        <v>799</v>
      </c>
      <c r="E695" s="9" t="s">
        <v>39</v>
      </c>
      <c r="F695" s="17">
        <v>1.6899999999999998E-2</v>
      </c>
      <c r="G695" s="17"/>
      <c r="H695" s="17"/>
      <c r="I695" s="17"/>
      <c r="J695" s="17">
        <v>1.6899999999999998E-2</v>
      </c>
      <c r="K695" s="9" t="s">
        <v>1343</v>
      </c>
      <c r="L695" s="9" t="s">
        <v>804</v>
      </c>
      <c r="M695" s="9">
        <v>2022</v>
      </c>
      <c r="N695" s="9" t="s">
        <v>598</v>
      </c>
      <c r="O695" s="10" t="s">
        <v>599</v>
      </c>
      <c r="P695" s="9" t="s">
        <v>600</v>
      </c>
      <c r="Q695" s="9" t="s">
        <v>264</v>
      </c>
      <c r="R695" s="9" t="s">
        <v>1344</v>
      </c>
      <c r="S695" s="9" t="s">
        <v>2032</v>
      </c>
    </row>
    <row r="696" spans="2:19" x14ac:dyDescent="0.35">
      <c r="B696" s="18" t="s">
        <v>800</v>
      </c>
      <c r="C696" s="9" t="s">
        <v>803</v>
      </c>
      <c r="D696" s="9" t="s">
        <v>799</v>
      </c>
      <c r="E696" s="9" t="s">
        <v>39</v>
      </c>
      <c r="F696" s="17">
        <v>1.7100000000000001E-2</v>
      </c>
      <c r="G696" s="17"/>
      <c r="H696" s="17"/>
      <c r="I696" s="17"/>
      <c r="J696" s="17">
        <v>1.7100000000000001E-2</v>
      </c>
      <c r="K696" s="9" t="s">
        <v>1343</v>
      </c>
      <c r="L696" s="9" t="s">
        <v>804</v>
      </c>
      <c r="M696" s="9">
        <v>2023</v>
      </c>
      <c r="N696" s="9" t="s">
        <v>598</v>
      </c>
      <c r="O696" s="10" t="s">
        <v>599</v>
      </c>
      <c r="P696" s="9" t="s">
        <v>600</v>
      </c>
      <c r="Q696" s="9" t="s">
        <v>264</v>
      </c>
      <c r="R696" s="9" t="s">
        <v>1344</v>
      </c>
      <c r="S696" s="9" t="s">
        <v>2033</v>
      </c>
    </row>
    <row r="697" spans="2:19" x14ac:dyDescent="0.35">
      <c r="B697" s="18" t="s">
        <v>258</v>
      </c>
      <c r="C697" s="9" t="s">
        <v>259</v>
      </c>
      <c r="D697" s="9" t="s">
        <v>799</v>
      </c>
      <c r="E697" s="9" t="s">
        <v>39</v>
      </c>
      <c r="F697" s="17">
        <v>0.32440000000000002</v>
      </c>
      <c r="G697" s="17">
        <v>0.32350000000000001</v>
      </c>
      <c r="H697" s="17">
        <v>2.9999999999999997E-4</v>
      </c>
      <c r="I697" s="17">
        <v>5.9999999999999995E-4</v>
      </c>
      <c r="J697" s="17">
        <v>0</v>
      </c>
      <c r="K697" s="9" t="s">
        <v>1343</v>
      </c>
      <c r="L697" s="9" t="s">
        <v>260</v>
      </c>
      <c r="M697" s="9">
        <v>2023</v>
      </c>
      <c r="N697" s="9" t="s">
        <v>563</v>
      </c>
      <c r="O697" s="10" t="s">
        <v>564</v>
      </c>
      <c r="P697" s="9" t="s">
        <v>565</v>
      </c>
      <c r="Q697" s="9" t="s">
        <v>264</v>
      </c>
      <c r="R697" s="9" t="s">
        <v>1344</v>
      </c>
      <c r="S697" s="9" t="s">
        <v>2034</v>
      </c>
    </row>
    <row r="698" spans="2:19" x14ac:dyDescent="0.35">
      <c r="B698" s="18" t="s">
        <v>258</v>
      </c>
      <c r="C698" s="9" t="s">
        <v>259</v>
      </c>
      <c r="D698" s="9" t="s">
        <v>799</v>
      </c>
      <c r="E698" s="9" t="s">
        <v>39</v>
      </c>
      <c r="F698" s="17">
        <v>0.33179999999999998</v>
      </c>
      <c r="G698" s="17">
        <v>0.33100000000000002</v>
      </c>
      <c r="H698" s="17">
        <v>2.9999999999999997E-4</v>
      </c>
      <c r="I698" s="17">
        <v>5.0000000000000001E-4</v>
      </c>
      <c r="J698" s="17">
        <v>0</v>
      </c>
      <c r="K698" s="9" t="s">
        <v>1343</v>
      </c>
      <c r="L698" s="9" t="s">
        <v>260</v>
      </c>
      <c r="M698" s="9">
        <v>2022</v>
      </c>
      <c r="N698" s="9" t="s">
        <v>563</v>
      </c>
      <c r="O698" s="10" t="s">
        <v>564</v>
      </c>
      <c r="P698" s="9" t="s">
        <v>565</v>
      </c>
      <c r="Q698" s="9" t="s">
        <v>264</v>
      </c>
      <c r="R698" s="9" t="s">
        <v>1344</v>
      </c>
      <c r="S698" s="9" t="s">
        <v>2035</v>
      </c>
    </row>
    <row r="699" spans="2:19" x14ac:dyDescent="0.35">
      <c r="B699" s="18" t="s">
        <v>800</v>
      </c>
      <c r="C699" s="9" t="s">
        <v>801</v>
      </c>
      <c r="D699" s="9" t="s">
        <v>799</v>
      </c>
      <c r="E699" s="9" t="s">
        <v>39</v>
      </c>
      <c r="F699" s="17">
        <v>3.04E-2</v>
      </c>
      <c r="G699" s="17"/>
      <c r="H699" s="17"/>
      <c r="I699" s="17"/>
      <c r="J699" s="17">
        <v>3.04E-2</v>
      </c>
      <c r="K699" s="9" t="s">
        <v>1343</v>
      </c>
      <c r="L699" s="9" t="s">
        <v>802</v>
      </c>
      <c r="M699" s="9">
        <v>2023</v>
      </c>
      <c r="N699" s="9" t="s">
        <v>563</v>
      </c>
      <c r="O699" s="10" t="s">
        <v>564</v>
      </c>
      <c r="P699" s="9" t="s">
        <v>565</v>
      </c>
      <c r="Q699" s="9" t="s">
        <v>264</v>
      </c>
      <c r="R699" s="9" t="s">
        <v>1344</v>
      </c>
      <c r="S699" s="9" t="s">
        <v>2036</v>
      </c>
    </row>
    <row r="700" spans="2:19" x14ac:dyDescent="0.35">
      <c r="B700" s="18" t="s">
        <v>800</v>
      </c>
      <c r="C700" s="9" t="s">
        <v>801</v>
      </c>
      <c r="D700" s="9" t="s">
        <v>799</v>
      </c>
      <c r="E700" s="9" t="s">
        <v>39</v>
      </c>
      <c r="F700" s="17">
        <v>3.0800000000000001E-2</v>
      </c>
      <c r="G700" s="17"/>
      <c r="H700" s="17"/>
      <c r="I700" s="17"/>
      <c r="J700" s="17">
        <v>3.0800000000000001E-2</v>
      </c>
      <c r="K700" s="9" t="s">
        <v>1343</v>
      </c>
      <c r="L700" s="9" t="s">
        <v>802</v>
      </c>
      <c r="M700" s="9">
        <v>2022</v>
      </c>
      <c r="N700" s="9" t="s">
        <v>563</v>
      </c>
      <c r="O700" s="10" t="s">
        <v>564</v>
      </c>
      <c r="P700" s="9" t="s">
        <v>565</v>
      </c>
      <c r="Q700" s="9" t="s">
        <v>264</v>
      </c>
      <c r="R700" s="9" t="s">
        <v>1344</v>
      </c>
      <c r="S700" s="9" t="s">
        <v>2037</v>
      </c>
    </row>
    <row r="701" spans="2:19" x14ac:dyDescent="0.35">
      <c r="B701" s="18" t="s">
        <v>800</v>
      </c>
      <c r="C701" s="9" t="s">
        <v>803</v>
      </c>
      <c r="D701" s="9" t="s">
        <v>799</v>
      </c>
      <c r="E701" s="9" t="s">
        <v>39</v>
      </c>
      <c r="F701" s="17">
        <v>7.1900000000000006E-2</v>
      </c>
      <c r="G701" s="17"/>
      <c r="H701" s="17"/>
      <c r="I701" s="17"/>
      <c r="J701" s="17">
        <v>7.1900000000000006E-2</v>
      </c>
      <c r="K701" s="9" t="s">
        <v>1343</v>
      </c>
      <c r="L701" s="9" t="s">
        <v>804</v>
      </c>
      <c r="M701" s="9">
        <v>2023</v>
      </c>
      <c r="N701" s="9" t="s">
        <v>563</v>
      </c>
      <c r="O701" s="10" t="s">
        <v>564</v>
      </c>
      <c r="P701" s="9" t="s">
        <v>565</v>
      </c>
      <c r="Q701" s="9" t="s">
        <v>264</v>
      </c>
      <c r="R701" s="9" t="s">
        <v>1344</v>
      </c>
      <c r="S701" s="9" t="s">
        <v>2038</v>
      </c>
    </row>
    <row r="702" spans="2:19" x14ac:dyDescent="0.35">
      <c r="B702" s="18" t="s">
        <v>800</v>
      </c>
      <c r="C702" s="9" t="s">
        <v>803</v>
      </c>
      <c r="D702" s="9" t="s">
        <v>799</v>
      </c>
      <c r="E702" s="9" t="s">
        <v>39</v>
      </c>
      <c r="F702" s="17">
        <v>7.3499999999999996E-2</v>
      </c>
      <c r="G702" s="17"/>
      <c r="H702" s="17"/>
      <c r="I702" s="17"/>
      <c r="J702" s="17">
        <v>7.3499999999999996E-2</v>
      </c>
      <c r="K702" s="9" t="s">
        <v>1343</v>
      </c>
      <c r="L702" s="9" t="s">
        <v>804</v>
      </c>
      <c r="M702" s="9">
        <v>2022</v>
      </c>
      <c r="N702" s="9" t="s">
        <v>563</v>
      </c>
      <c r="O702" s="10" t="s">
        <v>564</v>
      </c>
      <c r="P702" s="9" t="s">
        <v>565</v>
      </c>
      <c r="Q702" s="9" t="s">
        <v>264</v>
      </c>
      <c r="R702" s="9" t="s">
        <v>1344</v>
      </c>
      <c r="S702" s="9" t="s">
        <v>2039</v>
      </c>
    </row>
    <row r="703" spans="2:19" x14ac:dyDescent="0.35">
      <c r="B703" s="18" t="s">
        <v>258</v>
      </c>
      <c r="C703" s="9" t="s">
        <v>259</v>
      </c>
      <c r="D703" s="9" t="s">
        <v>799</v>
      </c>
      <c r="E703" s="9" t="s">
        <v>39</v>
      </c>
      <c r="F703" s="17">
        <v>2.5899999999999999E-2</v>
      </c>
      <c r="G703" s="17">
        <v>2.58E-2</v>
      </c>
      <c r="H703" s="17"/>
      <c r="I703" s="17">
        <v>1E-4</v>
      </c>
      <c r="J703" s="17">
        <v>0</v>
      </c>
      <c r="K703" s="9" t="s">
        <v>1343</v>
      </c>
      <c r="L703" s="9" t="s">
        <v>260</v>
      </c>
      <c r="M703" s="9">
        <v>2022</v>
      </c>
      <c r="N703" s="9" t="s">
        <v>688</v>
      </c>
      <c r="O703" s="10" t="s">
        <v>689</v>
      </c>
      <c r="P703" s="9" t="s">
        <v>690</v>
      </c>
      <c r="Q703" s="9" t="s">
        <v>264</v>
      </c>
      <c r="R703" s="9" t="s">
        <v>1344</v>
      </c>
      <c r="S703" s="9" t="s">
        <v>2040</v>
      </c>
    </row>
    <row r="704" spans="2:19" x14ac:dyDescent="0.35">
      <c r="B704" s="18" t="s">
        <v>258</v>
      </c>
      <c r="C704" s="9" t="s">
        <v>259</v>
      </c>
      <c r="D704" s="9" t="s">
        <v>799</v>
      </c>
      <c r="E704" s="9" t="s">
        <v>39</v>
      </c>
      <c r="F704" s="17">
        <v>3.1199999999999999E-2</v>
      </c>
      <c r="G704" s="17">
        <v>3.1099999999999999E-2</v>
      </c>
      <c r="H704" s="17"/>
      <c r="I704" s="17">
        <v>1E-4</v>
      </c>
      <c r="J704" s="17">
        <v>0</v>
      </c>
      <c r="K704" s="9" t="s">
        <v>1343</v>
      </c>
      <c r="L704" s="9" t="s">
        <v>260</v>
      </c>
      <c r="M704" s="9">
        <v>2024</v>
      </c>
      <c r="N704" s="9" t="s">
        <v>688</v>
      </c>
      <c r="O704" s="10" t="s">
        <v>689</v>
      </c>
      <c r="P704" s="9" t="s">
        <v>690</v>
      </c>
      <c r="Q704" s="9" t="s">
        <v>264</v>
      </c>
      <c r="R704" s="9" t="s">
        <v>1344</v>
      </c>
      <c r="S704" s="9" t="s">
        <v>2041</v>
      </c>
    </row>
    <row r="705" spans="2:19" x14ac:dyDescent="0.35">
      <c r="B705" s="18" t="s">
        <v>258</v>
      </c>
      <c r="C705" s="9" t="s">
        <v>259</v>
      </c>
      <c r="D705" s="9" t="s">
        <v>799</v>
      </c>
      <c r="E705" s="9" t="s">
        <v>39</v>
      </c>
      <c r="F705" s="17">
        <v>3.1600000000000003E-2</v>
      </c>
      <c r="G705" s="17">
        <v>3.15E-2</v>
      </c>
      <c r="H705" s="17"/>
      <c r="I705" s="17">
        <v>1E-4</v>
      </c>
      <c r="J705" s="17">
        <v>0</v>
      </c>
      <c r="K705" s="9" t="s">
        <v>1343</v>
      </c>
      <c r="L705" s="9" t="s">
        <v>260</v>
      </c>
      <c r="M705" s="9">
        <v>2023</v>
      </c>
      <c r="N705" s="9" t="s">
        <v>688</v>
      </c>
      <c r="O705" s="10" t="s">
        <v>689</v>
      </c>
      <c r="P705" s="9" t="s">
        <v>690</v>
      </c>
      <c r="Q705" s="9" t="s">
        <v>264</v>
      </c>
      <c r="R705" s="9" t="s">
        <v>1344</v>
      </c>
      <c r="S705" s="9" t="s">
        <v>2042</v>
      </c>
    </row>
    <row r="706" spans="2:19" x14ac:dyDescent="0.35">
      <c r="B706" s="18" t="s">
        <v>800</v>
      </c>
      <c r="C706" s="9" t="s">
        <v>801</v>
      </c>
      <c r="D706" s="9" t="s">
        <v>799</v>
      </c>
      <c r="E706" s="9" t="s">
        <v>39</v>
      </c>
      <c r="F706" s="17">
        <v>5.3E-3</v>
      </c>
      <c r="G706" s="17"/>
      <c r="H706" s="17"/>
      <c r="I706" s="17"/>
      <c r="J706" s="17">
        <v>5.3E-3</v>
      </c>
      <c r="K706" s="9" t="s">
        <v>1343</v>
      </c>
      <c r="L706" s="9" t="s">
        <v>802</v>
      </c>
      <c r="M706" s="9">
        <v>2022</v>
      </c>
      <c r="N706" s="9" t="s">
        <v>688</v>
      </c>
      <c r="O706" s="10" t="s">
        <v>689</v>
      </c>
      <c r="P706" s="9" t="s">
        <v>690</v>
      </c>
      <c r="Q706" s="9" t="s">
        <v>264</v>
      </c>
      <c r="R706" s="9" t="s">
        <v>1344</v>
      </c>
      <c r="S706" s="9" t="s">
        <v>2043</v>
      </c>
    </row>
    <row r="707" spans="2:19" x14ac:dyDescent="0.35">
      <c r="B707" s="18" t="s">
        <v>800</v>
      </c>
      <c r="C707" s="9" t="s">
        <v>801</v>
      </c>
      <c r="D707" s="9" t="s">
        <v>799</v>
      </c>
      <c r="E707" s="9" t="s">
        <v>39</v>
      </c>
      <c r="F707" s="17">
        <v>5.5999999999999999E-3</v>
      </c>
      <c r="G707" s="17"/>
      <c r="H707" s="17"/>
      <c r="I707" s="17"/>
      <c r="J707" s="17">
        <v>5.5999999999999999E-3</v>
      </c>
      <c r="K707" s="9" t="s">
        <v>1343</v>
      </c>
      <c r="L707" s="9" t="s">
        <v>802</v>
      </c>
      <c r="M707" s="9">
        <v>2023</v>
      </c>
      <c r="N707" s="9" t="s">
        <v>688</v>
      </c>
      <c r="O707" s="10" t="s">
        <v>689</v>
      </c>
      <c r="P707" s="9" t="s">
        <v>690</v>
      </c>
      <c r="Q707" s="9" t="s">
        <v>264</v>
      </c>
      <c r="R707" s="9" t="s">
        <v>1344</v>
      </c>
      <c r="S707" s="9" t="s">
        <v>2044</v>
      </c>
    </row>
    <row r="708" spans="2:19" x14ac:dyDescent="0.35">
      <c r="B708" s="18" t="s">
        <v>800</v>
      </c>
      <c r="C708" s="9" t="s">
        <v>803</v>
      </c>
      <c r="D708" s="9" t="s">
        <v>799</v>
      </c>
      <c r="E708" s="9" t="s">
        <v>39</v>
      </c>
      <c r="F708" s="17">
        <v>1.2699999999999999E-2</v>
      </c>
      <c r="G708" s="17"/>
      <c r="H708" s="17"/>
      <c r="I708" s="17"/>
      <c r="J708" s="17">
        <v>1.2699999999999999E-2</v>
      </c>
      <c r="K708" s="9" t="s">
        <v>1343</v>
      </c>
      <c r="L708" s="9" t="s">
        <v>804</v>
      </c>
      <c r="M708" s="9">
        <v>2024</v>
      </c>
      <c r="N708" s="9" t="s">
        <v>688</v>
      </c>
      <c r="O708" s="10" t="s">
        <v>689</v>
      </c>
      <c r="P708" s="9" t="s">
        <v>690</v>
      </c>
      <c r="Q708" s="9" t="s">
        <v>264</v>
      </c>
      <c r="R708" s="9" t="s">
        <v>1344</v>
      </c>
      <c r="S708" s="9" t="s">
        <v>2045</v>
      </c>
    </row>
    <row r="709" spans="2:19" x14ac:dyDescent="0.35">
      <c r="B709" s="18" t="s">
        <v>800</v>
      </c>
      <c r="C709" s="9" t="s">
        <v>803</v>
      </c>
      <c r="D709" s="9" t="s">
        <v>799</v>
      </c>
      <c r="E709" s="9" t="s">
        <v>39</v>
      </c>
      <c r="F709" s="17">
        <v>1.5100000000000001E-2</v>
      </c>
      <c r="G709" s="17"/>
      <c r="H709" s="17"/>
      <c r="I709" s="17"/>
      <c r="J709" s="17">
        <v>1.5100000000000001E-2</v>
      </c>
      <c r="K709" s="9" t="s">
        <v>1343</v>
      </c>
      <c r="L709" s="9" t="s">
        <v>804</v>
      </c>
      <c r="M709" s="9">
        <v>2023</v>
      </c>
      <c r="N709" s="9" t="s">
        <v>688</v>
      </c>
      <c r="O709" s="10" t="s">
        <v>689</v>
      </c>
      <c r="P709" s="9" t="s">
        <v>690</v>
      </c>
      <c r="Q709" s="9" t="s">
        <v>264</v>
      </c>
      <c r="R709" s="9" t="s">
        <v>1344</v>
      </c>
      <c r="S709" s="9" t="s">
        <v>2046</v>
      </c>
    </row>
    <row r="710" spans="2:19" x14ac:dyDescent="0.35">
      <c r="B710" s="18" t="s">
        <v>800</v>
      </c>
      <c r="C710" s="9" t="s">
        <v>803</v>
      </c>
      <c r="D710" s="9" t="s">
        <v>799</v>
      </c>
      <c r="E710" s="9" t="s">
        <v>39</v>
      </c>
      <c r="F710" s="17">
        <v>1.7500000000000002E-2</v>
      </c>
      <c r="G710" s="17"/>
      <c r="H710" s="17"/>
      <c r="I710" s="17"/>
      <c r="J710" s="17">
        <v>1.7500000000000002E-2</v>
      </c>
      <c r="K710" s="9" t="s">
        <v>1343</v>
      </c>
      <c r="L710" s="9" t="s">
        <v>804</v>
      </c>
      <c r="M710" s="9">
        <v>2022</v>
      </c>
      <c r="N710" s="9" t="s">
        <v>688</v>
      </c>
      <c r="O710" s="10" t="s">
        <v>689</v>
      </c>
      <c r="P710" s="9" t="s">
        <v>690</v>
      </c>
      <c r="Q710" s="9" t="s">
        <v>264</v>
      </c>
      <c r="R710" s="9" t="s">
        <v>1344</v>
      </c>
      <c r="S710" s="9" t="s">
        <v>2047</v>
      </c>
    </row>
    <row r="711" spans="2:19" x14ac:dyDescent="0.35">
      <c r="B711" s="18" t="s">
        <v>800</v>
      </c>
      <c r="C711" s="9" t="s">
        <v>801</v>
      </c>
      <c r="D711" s="9" t="s">
        <v>799</v>
      </c>
      <c r="E711" s="9" t="s">
        <v>39</v>
      </c>
      <c r="F711" s="17">
        <v>5.9999999999999995E-4</v>
      </c>
      <c r="G711" s="17"/>
      <c r="H711" s="17"/>
      <c r="I711" s="17"/>
      <c r="J711" s="17">
        <v>5.9999999999999995E-4</v>
      </c>
      <c r="K711" s="9" t="s">
        <v>1343</v>
      </c>
      <c r="L711" s="9" t="s">
        <v>802</v>
      </c>
      <c r="M711" s="9">
        <v>2022</v>
      </c>
      <c r="N711" s="9" t="s">
        <v>775</v>
      </c>
      <c r="O711" s="10" t="s">
        <v>776</v>
      </c>
      <c r="P711" s="9" t="s">
        <v>777</v>
      </c>
      <c r="Q711" s="9" t="s">
        <v>264</v>
      </c>
      <c r="R711" s="9" t="s">
        <v>1344</v>
      </c>
      <c r="S711" s="9" t="s">
        <v>2048</v>
      </c>
    </row>
    <row r="712" spans="2:19" x14ac:dyDescent="0.35">
      <c r="B712" s="18" t="s">
        <v>800</v>
      </c>
      <c r="C712" s="9" t="s">
        <v>803</v>
      </c>
      <c r="D712" s="9" t="s">
        <v>799</v>
      </c>
      <c r="E712" s="9" t="s">
        <v>39</v>
      </c>
      <c r="F712" s="17">
        <v>4.3E-3</v>
      </c>
      <c r="G712" s="17"/>
      <c r="H712" s="17"/>
      <c r="I712" s="17"/>
      <c r="J712" s="17">
        <v>4.3E-3</v>
      </c>
      <c r="K712" s="9" t="s">
        <v>1343</v>
      </c>
      <c r="L712" s="9" t="s">
        <v>804</v>
      </c>
      <c r="M712" s="9">
        <v>2022</v>
      </c>
      <c r="N712" s="9" t="s">
        <v>775</v>
      </c>
      <c r="O712" s="10" t="s">
        <v>776</v>
      </c>
      <c r="P712" s="9" t="s">
        <v>777</v>
      </c>
      <c r="Q712" s="9" t="s">
        <v>264</v>
      </c>
      <c r="R712" s="9" t="s">
        <v>1344</v>
      </c>
      <c r="S712" s="9" t="s">
        <v>2049</v>
      </c>
    </row>
    <row r="713" spans="2:19" x14ac:dyDescent="0.35">
      <c r="B713" s="18" t="s">
        <v>800</v>
      </c>
      <c r="C713" s="9" t="s">
        <v>803</v>
      </c>
      <c r="D713" s="9" t="s">
        <v>799</v>
      </c>
      <c r="E713" s="9" t="s">
        <v>39</v>
      </c>
      <c r="F713" s="17">
        <v>4.3E-3</v>
      </c>
      <c r="G713" s="17"/>
      <c r="H713" s="17"/>
      <c r="I713" s="17"/>
      <c r="J713" s="17">
        <v>4.3E-3</v>
      </c>
      <c r="K713" s="9" t="s">
        <v>1343</v>
      </c>
      <c r="L713" s="9" t="s">
        <v>804</v>
      </c>
      <c r="M713" s="9">
        <v>2023</v>
      </c>
      <c r="N713" s="9" t="s">
        <v>775</v>
      </c>
      <c r="O713" s="10" t="s">
        <v>776</v>
      </c>
      <c r="P713" s="9" t="s">
        <v>777</v>
      </c>
      <c r="Q713" s="9" t="s">
        <v>264</v>
      </c>
      <c r="R713" s="9" t="s">
        <v>1344</v>
      </c>
      <c r="S713" s="9" t="s">
        <v>2050</v>
      </c>
    </row>
    <row r="714" spans="2:19" x14ac:dyDescent="0.35">
      <c r="B714" s="18" t="s">
        <v>258</v>
      </c>
      <c r="C714" s="9" t="s">
        <v>259</v>
      </c>
      <c r="D714" s="9" t="s">
        <v>799</v>
      </c>
      <c r="E714" s="9" t="s">
        <v>39</v>
      </c>
      <c r="F714" s="17">
        <v>0.2296</v>
      </c>
      <c r="G714" s="17">
        <v>0.22869999999999999</v>
      </c>
      <c r="H714" s="17">
        <v>2.9999999999999997E-4</v>
      </c>
      <c r="I714" s="17">
        <v>5.9999999999999995E-4</v>
      </c>
      <c r="J714" s="17">
        <v>0</v>
      </c>
      <c r="K714" s="9" t="s">
        <v>1343</v>
      </c>
      <c r="L714" s="9" t="s">
        <v>260</v>
      </c>
      <c r="M714" s="9">
        <v>2024</v>
      </c>
      <c r="N714" s="9" t="s">
        <v>441</v>
      </c>
      <c r="O714" s="10" t="s">
        <v>442</v>
      </c>
      <c r="P714" s="9" t="s">
        <v>443</v>
      </c>
      <c r="Q714" s="9" t="s">
        <v>264</v>
      </c>
      <c r="R714" s="9" t="s">
        <v>1344</v>
      </c>
      <c r="S714" s="9" t="s">
        <v>2051</v>
      </c>
    </row>
    <row r="715" spans="2:19" x14ac:dyDescent="0.35">
      <c r="B715" s="18" t="s">
        <v>258</v>
      </c>
      <c r="C715" s="9" t="s">
        <v>259</v>
      </c>
      <c r="D715" s="9" t="s">
        <v>799</v>
      </c>
      <c r="E715" s="9" t="s">
        <v>39</v>
      </c>
      <c r="F715" s="17">
        <v>0.23419999999999999</v>
      </c>
      <c r="G715" s="17">
        <v>0.23330000000000001</v>
      </c>
      <c r="H715" s="17">
        <v>2.9999999999999997E-4</v>
      </c>
      <c r="I715" s="17">
        <v>5.9999999999999995E-4</v>
      </c>
      <c r="J715" s="17">
        <v>0</v>
      </c>
      <c r="K715" s="9" t="s">
        <v>1343</v>
      </c>
      <c r="L715" s="9" t="s">
        <v>260</v>
      </c>
      <c r="M715" s="9">
        <v>2023</v>
      </c>
      <c r="N715" s="9" t="s">
        <v>441</v>
      </c>
      <c r="O715" s="10" t="s">
        <v>442</v>
      </c>
      <c r="P715" s="9" t="s">
        <v>443</v>
      </c>
      <c r="Q715" s="9" t="s">
        <v>264</v>
      </c>
      <c r="R715" s="9" t="s">
        <v>1344</v>
      </c>
      <c r="S715" s="9" t="s">
        <v>2052</v>
      </c>
    </row>
    <row r="716" spans="2:19" x14ac:dyDescent="0.35">
      <c r="B716" s="18" t="s">
        <v>258</v>
      </c>
      <c r="C716" s="9" t="s">
        <v>259</v>
      </c>
      <c r="D716" s="9" t="s">
        <v>799</v>
      </c>
      <c r="E716" s="9" t="s">
        <v>39</v>
      </c>
      <c r="F716" s="17">
        <v>0.28810000000000002</v>
      </c>
      <c r="G716" s="17">
        <v>0.28689999999999999</v>
      </c>
      <c r="H716" s="17">
        <v>4.0000000000000002E-4</v>
      </c>
      <c r="I716" s="17">
        <v>8.0000000000000004E-4</v>
      </c>
      <c r="J716" s="17">
        <v>0</v>
      </c>
      <c r="K716" s="9" t="s">
        <v>1343</v>
      </c>
      <c r="L716" s="9" t="s">
        <v>260</v>
      </c>
      <c r="M716" s="9">
        <v>2022</v>
      </c>
      <c r="N716" s="9" t="s">
        <v>441</v>
      </c>
      <c r="O716" s="10" t="s">
        <v>442</v>
      </c>
      <c r="P716" s="9" t="s">
        <v>443</v>
      </c>
      <c r="Q716" s="9" t="s">
        <v>264</v>
      </c>
      <c r="R716" s="9" t="s">
        <v>1344</v>
      </c>
      <c r="S716" s="9" t="s">
        <v>2053</v>
      </c>
    </row>
    <row r="717" spans="2:19" x14ac:dyDescent="0.35">
      <c r="B717" s="18" t="s">
        <v>800</v>
      </c>
      <c r="C717" s="9" t="s">
        <v>801</v>
      </c>
      <c r="D717" s="9" t="s">
        <v>799</v>
      </c>
      <c r="E717" s="9" t="s">
        <v>39</v>
      </c>
      <c r="F717" s="17">
        <v>1.04E-2</v>
      </c>
      <c r="G717" s="17"/>
      <c r="H717" s="17"/>
      <c r="I717" s="17"/>
      <c r="J717" s="17">
        <v>1.04E-2</v>
      </c>
      <c r="K717" s="9" t="s">
        <v>1343</v>
      </c>
      <c r="L717" s="9" t="s">
        <v>802</v>
      </c>
      <c r="M717" s="9">
        <v>2023</v>
      </c>
      <c r="N717" s="9" t="s">
        <v>441</v>
      </c>
      <c r="O717" s="10" t="s">
        <v>442</v>
      </c>
      <c r="P717" s="9" t="s">
        <v>443</v>
      </c>
      <c r="Q717" s="9" t="s">
        <v>264</v>
      </c>
      <c r="R717" s="9" t="s">
        <v>1344</v>
      </c>
      <c r="S717" s="9" t="s">
        <v>2054</v>
      </c>
    </row>
    <row r="718" spans="2:19" x14ac:dyDescent="0.35">
      <c r="B718" s="18" t="s">
        <v>800</v>
      </c>
      <c r="C718" s="9" t="s">
        <v>801</v>
      </c>
      <c r="D718" s="9" t="s">
        <v>799</v>
      </c>
      <c r="E718" s="9" t="s">
        <v>39</v>
      </c>
      <c r="F718" s="17">
        <v>1.2200000000000001E-2</v>
      </c>
      <c r="G718" s="17"/>
      <c r="H718" s="17"/>
      <c r="I718" s="17"/>
      <c r="J718" s="17">
        <v>1.2200000000000001E-2</v>
      </c>
      <c r="K718" s="9" t="s">
        <v>1343</v>
      </c>
      <c r="L718" s="9" t="s">
        <v>802</v>
      </c>
      <c r="M718" s="9">
        <v>2022</v>
      </c>
      <c r="N718" s="9" t="s">
        <v>441</v>
      </c>
      <c r="O718" s="10" t="s">
        <v>442</v>
      </c>
      <c r="P718" s="9" t="s">
        <v>443</v>
      </c>
      <c r="Q718" s="9" t="s">
        <v>264</v>
      </c>
      <c r="R718" s="9" t="s">
        <v>1344</v>
      </c>
      <c r="S718" s="9" t="s">
        <v>2055</v>
      </c>
    </row>
    <row r="719" spans="2:19" x14ac:dyDescent="0.35">
      <c r="B719" s="18" t="s">
        <v>800</v>
      </c>
      <c r="C719" s="9" t="s">
        <v>803</v>
      </c>
      <c r="D719" s="9" t="s">
        <v>799</v>
      </c>
      <c r="E719" s="9" t="s">
        <v>39</v>
      </c>
      <c r="F719" s="17">
        <v>4.5900000000000003E-2</v>
      </c>
      <c r="G719" s="17"/>
      <c r="H719" s="17"/>
      <c r="I719" s="17"/>
      <c r="J719" s="17">
        <v>4.5900000000000003E-2</v>
      </c>
      <c r="K719" s="9" t="s">
        <v>1343</v>
      </c>
      <c r="L719" s="9" t="s">
        <v>804</v>
      </c>
      <c r="M719" s="9">
        <v>2024</v>
      </c>
      <c r="N719" s="9" t="s">
        <v>441</v>
      </c>
      <c r="O719" s="10" t="s">
        <v>442</v>
      </c>
      <c r="P719" s="9" t="s">
        <v>443</v>
      </c>
      <c r="Q719" s="9" t="s">
        <v>264</v>
      </c>
      <c r="R719" s="9" t="s">
        <v>1344</v>
      </c>
      <c r="S719" s="9" t="s">
        <v>2056</v>
      </c>
    </row>
    <row r="720" spans="2:19" x14ac:dyDescent="0.35">
      <c r="B720" s="18" t="s">
        <v>800</v>
      </c>
      <c r="C720" s="9" t="s">
        <v>803</v>
      </c>
      <c r="D720" s="9" t="s">
        <v>799</v>
      </c>
      <c r="E720" s="9" t="s">
        <v>39</v>
      </c>
      <c r="F720" s="17">
        <v>4.8000000000000001E-2</v>
      </c>
      <c r="G720" s="17"/>
      <c r="H720" s="17"/>
      <c r="I720" s="17"/>
      <c r="J720" s="17">
        <v>4.8000000000000001E-2</v>
      </c>
      <c r="K720" s="9" t="s">
        <v>1343</v>
      </c>
      <c r="L720" s="9" t="s">
        <v>804</v>
      </c>
      <c r="M720" s="9">
        <v>2023</v>
      </c>
      <c r="N720" s="9" t="s">
        <v>441</v>
      </c>
      <c r="O720" s="10" t="s">
        <v>442</v>
      </c>
      <c r="P720" s="9" t="s">
        <v>443</v>
      </c>
      <c r="Q720" s="9" t="s">
        <v>264</v>
      </c>
      <c r="R720" s="9" t="s">
        <v>1344</v>
      </c>
      <c r="S720" s="9" t="s">
        <v>2057</v>
      </c>
    </row>
    <row r="721" spans="2:19" x14ac:dyDescent="0.35">
      <c r="B721" s="18" t="s">
        <v>800</v>
      </c>
      <c r="C721" s="9" t="s">
        <v>803</v>
      </c>
      <c r="D721" s="9" t="s">
        <v>799</v>
      </c>
      <c r="E721" s="9" t="s">
        <v>39</v>
      </c>
      <c r="F721" s="17">
        <v>5.3499999999999999E-2</v>
      </c>
      <c r="G721" s="17"/>
      <c r="H721" s="17"/>
      <c r="I721" s="17"/>
      <c r="J721" s="17">
        <v>5.3499999999999999E-2</v>
      </c>
      <c r="K721" s="9" t="s">
        <v>1343</v>
      </c>
      <c r="L721" s="9" t="s">
        <v>804</v>
      </c>
      <c r="M721" s="9">
        <v>2022</v>
      </c>
      <c r="N721" s="9" t="s">
        <v>441</v>
      </c>
      <c r="O721" s="10" t="s">
        <v>442</v>
      </c>
      <c r="P721" s="9" t="s">
        <v>443</v>
      </c>
      <c r="Q721" s="9" t="s">
        <v>264</v>
      </c>
      <c r="R721" s="9" t="s">
        <v>1344</v>
      </c>
      <c r="S721" s="9" t="s">
        <v>2058</v>
      </c>
    </row>
    <row r="722" spans="2:19" x14ac:dyDescent="0.35">
      <c r="B722" s="18" t="s">
        <v>258</v>
      </c>
      <c r="C722" s="9" t="s">
        <v>259</v>
      </c>
      <c r="D722" s="9" t="s">
        <v>799</v>
      </c>
      <c r="E722" s="9" t="s">
        <v>39</v>
      </c>
      <c r="F722" s="17">
        <v>0.09</v>
      </c>
      <c r="G722" s="17">
        <v>8.9899999999999994E-2</v>
      </c>
      <c r="H722" s="17"/>
      <c r="I722" s="17">
        <v>1E-4</v>
      </c>
      <c r="J722" s="17">
        <v>0</v>
      </c>
      <c r="K722" s="9" t="s">
        <v>1343</v>
      </c>
      <c r="L722" s="9" t="s">
        <v>260</v>
      </c>
      <c r="M722" s="9">
        <v>2023</v>
      </c>
      <c r="N722" s="9" t="s">
        <v>601</v>
      </c>
      <c r="O722" s="10" t="s">
        <v>602</v>
      </c>
      <c r="P722" s="9" t="s">
        <v>603</v>
      </c>
      <c r="Q722" s="9" t="s">
        <v>264</v>
      </c>
      <c r="R722" s="9" t="s">
        <v>1344</v>
      </c>
      <c r="S722" s="9" t="s">
        <v>2059</v>
      </c>
    </row>
    <row r="723" spans="2:19" x14ac:dyDescent="0.35">
      <c r="B723" s="18" t="s">
        <v>258</v>
      </c>
      <c r="C723" s="9" t="s">
        <v>259</v>
      </c>
      <c r="D723" s="9" t="s">
        <v>799</v>
      </c>
      <c r="E723" s="9" t="s">
        <v>39</v>
      </c>
      <c r="F723" s="17">
        <v>9.5000000000000001E-2</v>
      </c>
      <c r="G723" s="17">
        <v>9.4899999999999998E-2</v>
      </c>
      <c r="H723" s="17"/>
      <c r="I723" s="17">
        <v>1E-4</v>
      </c>
      <c r="J723" s="17">
        <v>0</v>
      </c>
      <c r="K723" s="9" t="s">
        <v>1343</v>
      </c>
      <c r="L723" s="9" t="s">
        <v>260</v>
      </c>
      <c r="M723" s="9">
        <v>2022</v>
      </c>
      <c r="N723" s="9" t="s">
        <v>601</v>
      </c>
      <c r="O723" s="10" t="s">
        <v>602</v>
      </c>
      <c r="P723" s="9" t="s">
        <v>603</v>
      </c>
      <c r="Q723" s="9" t="s">
        <v>264</v>
      </c>
      <c r="R723" s="9" t="s">
        <v>1344</v>
      </c>
      <c r="S723" s="9" t="s">
        <v>2060</v>
      </c>
    </row>
    <row r="724" spans="2:19" x14ac:dyDescent="0.35">
      <c r="B724" s="18" t="s">
        <v>258</v>
      </c>
      <c r="C724" s="9" t="s">
        <v>259</v>
      </c>
      <c r="D724" s="9" t="s">
        <v>799</v>
      </c>
      <c r="E724" s="9" t="s">
        <v>39</v>
      </c>
      <c r="F724" s="17">
        <v>0.1178</v>
      </c>
      <c r="G724" s="17">
        <v>0.1177</v>
      </c>
      <c r="H724" s="17"/>
      <c r="I724" s="17">
        <v>1E-4</v>
      </c>
      <c r="J724" s="17">
        <v>0</v>
      </c>
      <c r="K724" s="9" t="s">
        <v>1343</v>
      </c>
      <c r="L724" s="9" t="s">
        <v>260</v>
      </c>
      <c r="M724" s="9">
        <v>2024</v>
      </c>
      <c r="N724" s="9" t="s">
        <v>601</v>
      </c>
      <c r="O724" s="10" t="s">
        <v>602</v>
      </c>
      <c r="P724" s="9" t="s">
        <v>603</v>
      </c>
      <c r="Q724" s="9" t="s">
        <v>264</v>
      </c>
      <c r="R724" s="9" t="s">
        <v>1344</v>
      </c>
      <c r="S724" s="9" t="s">
        <v>2061</v>
      </c>
    </row>
    <row r="725" spans="2:19" x14ac:dyDescent="0.35">
      <c r="B725" s="18" t="s">
        <v>800</v>
      </c>
      <c r="C725" s="9" t="s">
        <v>801</v>
      </c>
      <c r="D725" s="9" t="s">
        <v>799</v>
      </c>
      <c r="E725" s="9" t="s">
        <v>39</v>
      </c>
      <c r="F725" s="17">
        <v>7.6E-3</v>
      </c>
      <c r="G725" s="17"/>
      <c r="H725" s="17"/>
      <c r="I725" s="17"/>
      <c r="J725" s="17">
        <v>7.6E-3</v>
      </c>
      <c r="K725" s="9" t="s">
        <v>1343</v>
      </c>
      <c r="L725" s="9" t="s">
        <v>802</v>
      </c>
      <c r="M725" s="9">
        <v>2023</v>
      </c>
      <c r="N725" s="9" t="s">
        <v>601</v>
      </c>
      <c r="O725" s="10" t="s">
        <v>602</v>
      </c>
      <c r="P725" s="9" t="s">
        <v>603</v>
      </c>
      <c r="Q725" s="9" t="s">
        <v>264</v>
      </c>
      <c r="R725" s="9" t="s">
        <v>1344</v>
      </c>
      <c r="S725" s="9" t="s">
        <v>2062</v>
      </c>
    </row>
    <row r="726" spans="2:19" x14ac:dyDescent="0.35">
      <c r="B726" s="18" t="s">
        <v>800</v>
      </c>
      <c r="C726" s="9" t="s">
        <v>801</v>
      </c>
      <c r="D726" s="9" t="s">
        <v>799</v>
      </c>
      <c r="E726" s="9" t="s">
        <v>39</v>
      </c>
      <c r="F726" s="17">
        <v>8.8999999999999999E-3</v>
      </c>
      <c r="G726" s="17"/>
      <c r="H726" s="17"/>
      <c r="I726" s="17"/>
      <c r="J726" s="17">
        <v>8.8999999999999999E-3</v>
      </c>
      <c r="K726" s="9" t="s">
        <v>1343</v>
      </c>
      <c r="L726" s="9" t="s">
        <v>802</v>
      </c>
      <c r="M726" s="9">
        <v>2022</v>
      </c>
      <c r="N726" s="9" t="s">
        <v>601</v>
      </c>
      <c r="O726" s="10" t="s">
        <v>602</v>
      </c>
      <c r="P726" s="9" t="s">
        <v>603</v>
      </c>
      <c r="Q726" s="9" t="s">
        <v>264</v>
      </c>
      <c r="R726" s="9" t="s">
        <v>1344</v>
      </c>
      <c r="S726" s="9" t="s">
        <v>2063</v>
      </c>
    </row>
    <row r="727" spans="2:19" x14ac:dyDescent="0.35">
      <c r="B727" s="18" t="s">
        <v>800</v>
      </c>
      <c r="C727" s="9" t="s">
        <v>803</v>
      </c>
      <c r="D727" s="9" t="s">
        <v>799</v>
      </c>
      <c r="E727" s="9" t="s">
        <v>39</v>
      </c>
      <c r="F727" s="17">
        <v>2.1499999999999998E-2</v>
      </c>
      <c r="G727" s="17"/>
      <c r="H727" s="17"/>
      <c r="I727" s="17"/>
      <c r="J727" s="17">
        <v>2.1499999999999998E-2</v>
      </c>
      <c r="K727" s="9" t="s">
        <v>1343</v>
      </c>
      <c r="L727" s="9" t="s">
        <v>804</v>
      </c>
      <c r="M727" s="9">
        <v>2023</v>
      </c>
      <c r="N727" s="9" t="s">
        <v>601</v>
      </c>
      <c r="O727" s="10" t="s">
        <v>602</v>
      </c>
      <c r="P727" s="9" t="s">
        <v>603</v>
      </c>
      <c r="Q727" s="9" t="s">
        <v>264</v>
      </c>
      <c r="R727" s="9" t="s">
        <v>1344</v>
      </c>
      <c r="S727" s="9" t="s">
        <v>2064</v>
      </c>
    </row>
    <row r="728" spans="2:19" x14ac:dyDescent="0.35">
      <c r="B728" s="18" t="s">
        <v>800</v>
      </c>
      <c r="C728" s="9" t="s">
        <v>803</v>
      </c>
      <c r="D728" s="9" t="s">
        <v>799</v>
      </c>
      <c r="E728" s="9" t="s">
        <v>39</v>
      </c>
      <c r="F728" s="17">
        <v>2.2700000000000001E-2</v>
      </c>
      <c r="G728" s="17"/>
      <c r="H728" s="17"/>
      <c r="I728" s="17"/>
      <c r="J728" s="17">
        <v>2.2700000000000001E-2</v>
      </c>
      <c r="K728" s="9" t="s">
        <v>1343</v>
      </c>
      <c r="L728" s="9" t="s">
        <v>804</v>
      </c>
      <c r="M728" s="9">
        <v>2022</v>
      </c>
      <c r="N728" s="9" t="s">
        <v>601</v>
      </c>
      <c r="O728" s="10" t="s">
        <v>602</v>
      </c>
      <c r="P728" s="9" t="s">
        <v>603</v>
      </c>
      <c r="Q728" s="9" t="s">
        <v>264</v>
      </c>
      <c r="R728" s="9" t="s">
        <v>1344</v>
      </c>
      <c r="S728" s="9" t="s">
        <v>2065</v>
      </c>
    </row>
    <row r="729" spans="2:19" x14ac:dyDescent="0.35">
      <c r="B729" s="18" t="s">
        <v>800</v>
      </c>
      <c r="C729" s="9" t="s">
        <v>803</v>
      </c>
      <c r="D729" s="9" t="s">
        <v>799</v>
      </c>
      <c r="E729" s="9" t="s">
        <v>39</v>
      </c>
      <c r="F729" s="17">
        <v>2.8000000000000001E-2</v>
      </c>
      <c r="G729" s="17"/>
      <c r="H729" s="17"/>
      <c r="I729" s="17"/>
      <c r="J729" s="17">
        <v>2.8000000000000001E-2</v>
      </c>
      <c r="K729" s="9" t="s">
        <v>1343</v>
      </c>
      <c r="L729" s="9" t="s">
        <v>804</v>
      </c>
      <c r="M729" s="9">
        <v>2024</v>
      </c>
      <c r="N729" s="9" t="s">
        <v>601</v>
      </c>
      <c r="O729" s="10" t="s">
        <v>602</v>
      </c>
      <c r="P729" s="9" t="s">
        <v>603</v>
      </c>
      <c r="Q729" s="9" t="s">
        <v>264</v>
      </c>
      <c r="R729" s="9" t="s">
        <v>1344</v>
      </c>
      <c r="S729" s="9" t="s">
        <v>2066</v>
      </c>
    </row>
    <row r="730" spans="2:19" x14ac:dyDescent="0.35">
      <c r="B730" s="18" t="s">
        <v>258</v>
      </c>
      <c r="C730" s="9" t="s">
        <v>259</v>
      </c>
      <c r="D730" s="9" t="s">
        <v>799</v>
      </c>
      <c r="E730" s="9" t="s">
        <v>39</v>
      </c>
      <c r="F730" s="17">
        <v>0.25890000000000002</v>
      </c>
      <c r="G730" s="17">
        <v>0.25109999999999999</v>
      </c>
      <c r="H730" s="17">
        <v>3.3999999999999998E-3</v>
      </c>
      <c r="I730" s="17">
        <v>4.4000000000000003E-3</v>
      </c>
      <c r="J730" s="17">
        <v>0</v>
      </c>
      <c r="K730" s="9" t="s">
        <v>1343</v>
      </c>
      <c r="L730" s="9" t="s">
        <v>260</v>
      </c>
      <c r="M730" s="9">
        <v>2022</v>
      </c>
      <c r="N730" s="9" t="s">
        <v>554</v>
      </c>
      <c r="O730" s="10" t="s">
        <v>555</v>
      </c>
      <c r="P730" s="9" t="s">
        <v>556</v>
      </c>
      <c r="Q730" s="9" t="s">
        <v>264</v>
      </c>
      <c r="R730" s="9" t="s">
        <v>1344</v>
      </c>
      <c r="S730" s="9" t="s">
        <v>2067</v>
      </c>
    </row>
    <row r="731" spans="2:19" x14ac:dyDescent="0.35">
      <c r="B731" s="18" t="s">
        <v>258</v>
      </c>
      <c r="C731" s="9" t="s">
        <v>259</v>
      </c>
      <c r="D731" s="9" t="s">
        <v>799</v>
      </c>
      <c r="E731" s="9" t="s">
        <v>39</v>
      </c>
      <c r="F731" s="17">
        <v>0.3261</v>
      </c>
      <c r="G731" s="17">
        <v>0.31859999999999999</v>
      </c>
      <c r="H731" s="17">
        <v>3.2000000000000002E-3</v>
      </c>
      <c r="I731" s="17">
        <v>4.3E-3</v>
      </c>
      <c r="J731" s="17">
        <v>0</v>
      </c>
      <c r="K731" s="9" t="s">
        <v>1343</v>
      </c>
      <c r="L731" s="9" t="s">
        <v>260</v>
      </c>
      <c r="M731" s="9">
        <v>2023</v>
      </c>
      <c r="N731" s="9" t="s">
        <v>554</v>
      </c>
      <c r="O731" s="10" t="s">
        <v>555</v>
      </c>
      <c r="P731" s="9" t="s">
        <v>556</v>
      </c>
      <c r="Q731" s="9" t="s">
        <v>264</v>
      </c>
      <c r="R731" s="9" t="s">
        <v>1344</v>
      </c>
      <c r="S731" s="9" t="s">
        <v>2068</v>
      </c>
    </row>
    <row r="732" spans="2:19" x14ac:dyDescent="0.35">
      <c r="B732" s="18" t="s">
        <v>800</v>
      </c>
      <c r="C732" s="9" t="s">
        <v>801</v>
      </c>
      <c r="D732" s="9" t="s">
        <v>799</v>
      </c>
      <c r="E732" s="9" t="s">
        <v>39</v>
      </c>
      <c r="F732" s="17">
        <v>6.1899999999999997E-2</v>
      </c>
      <c r="G732" s="17"/>
      <c r="H732" s="17"/>
      <c r="I732" s="17"/>
      <c r="J732" s="17">
        <v>6.1899999999999997E-2</v>
      </c>
      <c r="K732" s="9" t="s">
        <v>1343</v>
      </c>
      <c r="L732" s="9" t="s">
        <v>802</v>
      </c>
      <c r="M732" s="9">
        <v>2022</v>
      </c>
      <c r="N732" s="9" t="s">
        <v>554</v>
      </c>
      <c r="O732" s="10" t="s">
        <v>555</v>
      </c>
      <c r="P732" s="9" t="s">
        <v>556</v>
      </c>
      <c r="Q732" s="9" t="s">
        <v>264</v>
      </c>
      <c r="R732" s="9" t="s">
        <v>1344</v>
      </c>
      <c r="S732" s="9" t="s">
        <v>2069</v>
      </c>
    </row>
    <row r="733" spans="2:19" x14ac:dyDescent="0.35">
      <c r="B733" s="18" t="s">
        <v>800</v>
      </c>
      <c r="C733" s="9" t="s">
        <v>801</v>
      </c>
      <c r="D733" s="9" t="s">
        <v>799</v>
      </c>
      <c r="E733" s="9" t="s">
        <v>39</v>
      </c>
      <c r="F733" s="17">
        <v>8.8099999999999998E-2</v>
      </c>
      <c r="G733" s="17"/>
      <c r="H733" s="17"/>
      <c r="I733" s="17"/>
      <c r="J733" s="17">
        <v>8.8099999999999998E-2</v>
      </c>
      <c r="K733" s="9" t="s">
        <v>1343</v>
      </c>
      <c r="L733" s="9" t="s">
        <v>802</v>
      </c>
      <c r="M733" s="9">
        <v>2023</v>
      </c>
      <c r="N733" s="9" t="s">
        <v>554</v>
      </c>
      <c r="O733" s="10" t="s">
        <v>555</v>
      </c>
      <c r="P733" s="9" t="s">
        <v>556</v>
      </c>
      <c r="Q733" s="9" t="s">
        <v>264</v>
      </c>
      <c r="R733" s="9" t="s">
        <v>1344</v>
      </c>
      <c r="S733" s="9" t="s">
        <v>2070</v>
      </c>
    </row>
    <row r="734" spans="2:19" x14ac:dyDescent="0.35">
      <c r="B734" s="18" t="s">
        <v>800</v>
      </c>
      <c r="C734" s="9" t="s">
        <v>803</v>
      </c>
      <c r="D734" s="9" t="s">
        <v>799</v>
      </c>
      <c r="E734" s="9" t="s">
        <v>39</v>
      </c>
      <c r="F734" s="17">
        <v>8.7499999999999994E-2</v>
      </c>
      <c r="G734" s="17"/>
      <c r="H734" s="17"/>
      <c r="I734" s="17"/>
      <c r="J734" s="17">
        <v>8.7499999999999994E-2</v>
      </c>
      <c r="K734" s="9" t="s">
        <v>1343</v>
      </c>
      <c r="L734" s="9" t="s">
        <v>804</v>
      </c>
      <c r="M734" s="9">
        <v>2022</v>
      </c>
      <c r="N734" s="9" t="s">
        <v>554</v>
      </c>
      <c r="O734" s="10" t="s">
        <v>555</v>
      </c>
      <c r="P734" s="9" t="s">
        <v>556</v>
      </c>
      <c r="Q734" s="9" t="s">
        <v>264</v>
      </c>
      <c r="R734" s="9" t="s">
        <v>1344</v>
      </c>
      <c r="S734" s="9" t="s">
        <v>2071</v>
      </c>
    </row>
    <row r="735" spans="2:19" x14ac:dyDescent="0.35">
      <c r="B735" s="18" t="s">
        <v>800</v>
      </c>
      <c r="C735" s="9" t="s">
        <v>803</v>
      </c>
      <c r="D735" s="9" t="s">
        <v>799</v>
      </c>
      <c r="E735" s="9" t="s">
        <v>39</v>
      </c>
      <c r="F735" s="17">
        <v>0.1075</v>
      </c>
      <c r="G735" s="17"/>
      <c r="H735" s="17"/>
      <c r="I735" s="17"/>
      <c r="J735" s="17">
        <v>0.1075</v>
      </c>
      <c r="K735" s="9" t="s">
        <v>1343</v>
      </c>
      <c r="L735" s="9" t="s">
        <v>804</v>
      </c>
      <c r="M735" s="9">
        <v>2023</v>
      </c>
      <c r="N735" s="9" t="s">
        <v>554</v>
      </c>
      <c r="O735" s="10" t="s">
        <v>555</v>
      </c>
      <c r="P735" s="9" t="s">
        <v>556</v>
      </c>
      <c r="Q735" s="9" t="s">
        <v>264</v>
      </c>
      <c r="R735" s="9" t="s">
        <v>1344</v>
      </c>
      <c r="S735" s="9" t="s">
        <v>2072</v>
      </c>
    </row>
    <row r="736" spans="2:19" x14ac:dyDescent="0.35">
      <c r="B736" s="18" t="s">
        <v>258</v>
      </c>
      <c r="C736" s="9" t="s">
        <v>259</v>
      </c>
      <c r="D736" s="9" t="s">
        <v>799</v>
      </c>
      <c r="E736" s="9" t="s">
        <v>39</v>
      </c>
      <c r="F736" s="17">
        <v>0.86880000000000002</v>
      </c>
      <c r="G736" s="17">
        <v>0.86609999999999998</v>
      </c>
      <c r="H736" s="17">
        <v>6.9999999999999999E-4</v>
      </c>
      <c r="I736" s="17">
        <v>2E-3</v>
      </c>
      <c r="J736" s="17">
        <v>0</v>
      </c>
      <c r="K736" s="9" t="s">
        <v>1343</v>
      </c>
      <c r="L736" s="9" t="s">
        <v>260</v>
      </c>
      <c r="M736" s="9">
        <v>2023</v>
      </c>
      <c r="N736" s="9" t="s">
        <v>679</v>
      </c>
      <c r="O736" s="10" t="s">
        <v>680</v>
      </c>
      <c r="P736" s="9" t="s">
        <v>681</v>
      </c>
      <c r="Q736" s="9" t="s">
        <v>264</v>
      </c>
      <c r="R736" s="9" t="s">
        <v>1344</v>
      </c>
      <c r="S736" s="9" t="s">
        <v>2073</v>
      </c>
    </row>
    <row r="737" spans="2:19" x14ac:dyDescent="0.35">
      <c r="B737" s="18" t="s">
        <v>258</v>
      </c>
      <c r="C737" s="9" t="s">
        <v>259</v>
      </c>
      <c r="D737" s="9" t="s">
        <v>799</v>
      </c>
      <c r="E737" s="9" t="s">
        <v>39</v>
      </c>
      <c r="F737" s="17">
        <v>0.94140000000000001</v>
      </c>
      <c r="G737" s="17">
        <v>0.93840000000000001</v>
      </c>
      <c r="H737" s="17">
        <v>6.9999999999999999E-4</v>
      </c>
      <c r="I737" s="17">
        <v>2.3E-3</v>
      </c>
      <c r="J737" s="17">
        <v>0</v>
      </c>
      <c r="K737" s="9" t="s">
        <v>1343</v>
      </c>
      <c r="L737" s="9" t="s">
        <v>260</v>
      </c>
      <c r="M737" s="9">
        <v>2022</v>
      </c>
      <c r="N737" s="9" t="s">
        <v>679</v>
      </c>
      <c r="O737" s="10" t="s">
        <v>680</v>
      </c>
      <c r="P737" s="9" t="s">
        <v>681</v>
      </c>
      <c r="Q737" s="9" t="s">
        <v>264</v>
      </c>
      <c r="R737" s="9" t="s">
        <v>1344</v>
      </c>
      <c r="S737" s="9" t="s">
        <v>2074</v>
      </c>
    </row>
    <row r="738" spans="2:19" x14ac:dyDescent="0.35">
      <c r="B738" s="18" t="s">
        <v>800</v>
      </c>
      <c r="C738" s="9" t="s">
        <v>801</v>
      </c>
      <c r="D738" s="9" t="s">
        <v>799</v>
      </c>
      <c r="E738" s="9" t="s">
        <v>39</v>
      </c>
      <c r="F738" s="17">
        <v>0.23180000000000001</v>
      </c>
      <c r="G738" s="17"/>
      <c r="H738" s="17"/>
      <c r="I738" s="17"/>
      <c r="J738" s="17">
        <v>0.23180000000000001</v>
      </c>
      <c r="K738" s="9" t="s">
        <v>1343</v>
      </c>
      <c r="L738" s="9" t="s">
        <v>802</v>
      </c>
      <c r="M738" s="9">
        <v>2023</v>
      </c>
      <c r="N738" s="9" t="s">
        <v>679</v>
      </c>
      <c r="O738" s="10" t="s">
        <v>680</v>
      </c>
      <c r="P738" s="9" t="s">
        <v>681</v>
      </c>
      <c r="Q738" s="9" t="s">
        <v>264</v>
      </c>
      <c r="R738" s="9" t="s">
        <v>1344</v>
      </c>
      <c r="S738" s="9" t="s">
        <v>2075</v>
      </c>
    </row>
    <row r="739" spans="2:19" x14ac:dyDescent="0.35">
      <c r="B739" s="18" t="s">
        <v>800</v>
      </c>
      <c r="C739" s="9" t="s">
        <v>801</v>
      </c>
      <c r="D739" s="9" t="s">
        <v>799</v>
      </c>
      <c r="E739" s="9" t="s">
        <v>39</v>
      </c>
      <c r="F739" s="17">
        <v>0.2485</v>
      </c>
      <c r="G739" s="17"/>
      <c r="H739" s="17"/>
      <c r="I739" s="17"/>
      <c r="J739" s="17">
        <v>0.2485</v>
      </c>
      <c r="K739" s="9" t="s">
        <v>1343</v>
      </c>
      <c r="L739" s="9" t="s">
        <v>802</v>
      </c>
      <c r="M739" s="9">
        <v>2022</v>
      </c>
      <c r="N739" s="9" t="s">
        <v>679</v>
      </c>
      <c r="O739" s="10" t="s">
        <v>680</v>
      </c>
      <c r="P739" s="9" t="s">
        <v>681</v>
      </c>
      <c r="Q739" s="9" t="s">
        <v>264</v>
      </c>
      <c r="R739" s="9" t="s">
        <v>1344</v>
      </c>
      <c r="S739" s="9" t="s">
        <v>2076</v>
      </c>
    </row>
    <row r="740" spans="2:19" x14ac:dyDescent="0.35">
      <c r="B740" s="18" t="s">
        <v>800</v>
      </c>
      <c r="C740" s="9" t="s">
        <v>803</v>
      </c>
      <c r="D740" s="9" t="s">
        <v>799</v>
      </c>
      <c r="E740" s="9" t="s">
        <v>39</v>
      </c>
      <c r="F740" s="17">
        <v>0.2077</v>
      </c>
      <c r="G740" s="17"/>
      <c r="H740" s="17"/>
      <c r="I740" s="17"/>
      <c r="J740" s="17">
        <v>0.2077</v>
      </c>
      <c r="K740" s="9" t="s">
        <v>1343</v>
      </c>
      <c r="L740" s="9" t="s">
        <v>804</v>
      </c>
      <c r="M740" s="9">
        <v>2023</v>
      </c>
      <c r="N740" s="9" t="s">
        <v>679</v>
      </c>
      <c r="O740" s="10" t="s">
        <v>680</v>
      </c>
      <c r="P740" s="9" t="s">
        <v>681</v>
      </c>
      <c r="Q740" s="9" t="s">
        <v>264</v>
      </c>
      <c r="R740" s="9" t="s">
        <v>1344</v>
      </c>
      <c r="S740" s="9" t="s">
        <v>2077</v>
      </c>
    </row>
    <row r="741" spans="2:19" x14ac:dyDescent="0.35">
      <c r="B741" s="18" t="s">
        <v>800</v>
      </c>
      <c r="C741" s="9" t="s">
        <v>803</v>
      </c>
      <c r="D741" s="9" t="s">
        <v>799</v>
      </c>
      <c r="E741" s="9" t="s">
        <v>39</v>
      </c>
      <c r="F741" s="17">
        <v>0.21010000000000001</v>
      </c>
      <c r="G741" s="17"/>
      <c r="H741" s="17"/>
      <c r="I741" s="17"/>
      <c r="J741" s="17">
        <v>0.21010000000000001</v>
      </c>
      <c r="K741" s="9" t="s">
        <v>1343</v>
      </c>
      <c r="L741" s="9" t="s">
        <v>804</v>
      </c>
      <c r="M741" s="9">
        <v>2022</v>
      </c>
      <c r="N741" s="9" t="s">
        <v>679</v>
      </c>
      <c r="O741" s="10" t="s">
        <v>680</v>
      </c>
      <c r="P741" s="9" t="s">
        <v>681</v>
      </c>
      <c r="Q741" s="9" t="s">
        <v>264</v>
      </c>
      <c r="R741" s="9" t="s">
        <v>1344</v>
      </c>
      <c r="S741" s="9" t="s">
        <v>2078</v>
      </c>
    </row>
    <row r="742" spans="2:19" x14ac:dyDescent="0.35">
      <c r="B742" s="18" t="s">
        <v>258</v>
      </c>
      <c r="C742" s="9" t="s">
        <v>259</v>
      </c>
      <c r="D742" s="9" t="s">
        <v>799</v>
      </c>
      <c r="E742" s="9" t="s">
        <v>39</v>
      </c>
      <c r="F742" s="17">
        <v>0.39729999999999999</v>
      </c>
      <c r="G742" s="17">
        <v>0.39689999999999998</v>
      </c>
      <c r="H742" s="17">
        <v>2.0000000000000001E-4</v>
      </c>
      <c r="I742" s="17">
        <v>2.0000000000000001E-4</v>
      </c>
      <c r="J742" s="17">
        <v>0</v>
      </c>
      <c r="K742" s="9" t="s">
        <v>1343</v>
      </c>
      <c r="L742" s="9" t="s">
        <v>260</v>
      </c>
      <c r="M742" s="9">
        <v>2022</v>
      </c>
      <c r="N742" s="9" t="s">
        <v>730</v>
      </c>
      <c r="O742" s="10" t="s">
        <v>731</v>
      </c>
      <c r="P742" s="9" t="s">
        <v>732</v>
      </c>
      <c r="Q742" s="9" t="s">
        <v>264</v>
      </c>
      <c r="R742" s="9" t="s">
        <v>1344</v>
      </c>
      <c r="S742" s="9" t="s">
        <v>2079</v>
      </c>
    </row>
    <row r="743" spans="2:19" x14ac:dyDescent="0.35">
      <c r="B743" s="18" t="s">
        <v>258</v>
      </c>
      <c r="C743" s="9" t="s">
        <v>259</v>
      </c>
      <c r="D743" s="9" t="s">
        <v>799</v>
      </c>
      <c r="E743" s="9" t="s">
        <v>39</v>
      </c>
      <c r="F743" s="17">
        <v>0.40129999999999999</v>
      </c>
      <c r="G743" s="17">
        <v>0.40089999999999998</v>
      </c>
      <c r="H743" s="17">
        <v>2.0000000000000001E-4</v>
      </c>
      <c r="I743" s="17">
        <v>2.0000000000000001E-4</v>
      </c>
      <c r="J743" s="17">
        <v>0</v>
      </c>
      <c r="K743" s="9" t="s">
        <v>1343</v>
      </c>
      <c r="L743" s="9" t="s">
        <v>260</v>
      </c>
      <c r="M743" s="9">
        <v>2024</v>
      </c>
      <c r="N743" s="9" t="s">
        <v>730</v>
      </c>
      <c r="O743" s="10" t="s">
        <v>731</v>
      </c>
      <c r="P743" s="9" t="s">
        <v>732</v>
      </c>
      <c r="Q743" s="9" t="s">
        <v>264</v>
      </c>
      <c r="R743" s="9" t="s">
        <v>1344</v>
      </c>
      <c r="S743" s="9" t="s">
        <v>2080</v>
      </c>
    </row>
    <row r="744" spans="2:19" x14ac:dyDescent="0.35">
      <c r="B744" s="18" t="s">
        <v>258</v>
      </c>
      <c r="C744" s="9" t="s">
        <v>259</v>
      </c>
      <c r="D744" s="9" t="s">
        <v>799</v>
      </c>
      <c r="E744" s="9" t="s">
        <v>39</v>
      </c>
      <c r="F744" s="17">
        <v>0.40389999999999998</v>
      </c>
      <c r="G744" s="17">
        <v>0.40350000000000003</v>
      </c>
      <c r="H744" s="17">
        <v>2.0000000000000001E-4</v>
      </c>
      <c r="I744" s="17">
        <v>2.0000000000000001E-4</v>
      </c>
      <c r="J744" s="17">
        <v>0</v>
      </c>
      <c r="K744" s="9" t="s">
        <v>1343</v>
      </c>
      <c r="L744" s="9" t="s">
        <v>260</v>
      </c>
      <c r="M744" s="9">
        <v>2023</v>
      </c>
      <c r="N744" s="9" t="s">
        <v>730</v>
      </c>
      <c r="O744" s="10" t="s">
        <v>731</v>
      </c>
      <c r="P744" s="9" t="s">
        <v>732</v>
      </c>
      <c r="Q744" s="9" t="s">
        <v>264</v>
      </c>
      <c r="R744" s="9" t="s">
        <v>1344</v>
      </c>
      <c r="S744" s="9" t="s">
        <v>2081</v>
      </c>
    </row>
    <row r="745" spans="2:19" x14ac:dyDescent="0.35">
      <c r="B745" s="18" t="s">
        <v>800</v>
      </c>
      <c r="C745" s="9" t="s">
        <v>801</v>
      </c>
      <c r="D745" s="9" t="s">
        <v>799</v>
      </c>
      <c r="E745" s="9" t="s">
        <v>39</v>
      </c>
      <c r="F745" s="17">
        <v>6.9500000000000006E-2</v>
      </c>
      <c r="G745" s="17"/>
      <c r="H745" s="17"/>
      <c r="I745" s="17"/>
      <c r="J745" s="17">
        <v>6.9500000000000006E-2</v>
      </c>
      <c r="K745" s="9" t="s">
        <v>1343</v>
      </c>
      <c r="L745" s="9" t="s">
        <v>802</v>
      </c>
      <c r="M745" s="9">
        <v>2022</v>
      </c>
      <c r="N745" s="9" t="s">
        <v>730</v>
      </c>
      <c r="O745" s="10" t="s">
        <v>731</v>
      </c>
      <c r="P745" s="9" t="s">
        <v>732</v>
      </c>
      <c r="Q745" s="9" t="s">
        <v>264</v>
      </c>
      <c r="R745" s="9" t="s">
        <v>1344</v>
      </c>
      <c r="S745" s="9" t="s">
        <v>2082</v>
      </c>
    </row>
    <row r="746" spans="2:19" x14ac:dyDescent="0.35">
      <c r="B746" s="18" t="s">
        <v>800</v>
      </c>
      <c r="C746" s="9" t="s">
        <v>801</v>
      </c>
      <c r="D746" s="9" t="s">
        <v>799</v>
      </c>
      <c r="E746" s="9" t="s">
        <v>39</v>
      </c>
      <c r="F746" s="17">
        <v>7.0900000000000005E-2</v>
      </c>
      <c r="G746" s="17"/>
      <c r="H746" s="17"/>
      <c r="I746" s="17"/>
      <c r="J746" s="17">
        <v>7.0900000000000005E-2</v>
      </c>
      <c r="K746" s="9" t="s">
        <v>1343</v>
      </c>
      <c r="L746" s="9" t="s">
        <v>802</v>
      </c>
      <c r="M746" s="9">
        <v>2023</v>
      </c>
      <c r="N746" s="9" t="s">
        <v>730</v>
      </c>
      <c r="O746" s="10" t="s">
        <v>731</v>
      </c>
      <c r="P746" s="9" t="s">
        <v>732</v>
      </c>
      <c r="Q746" s="9" t="s">
        <v>264</v>
      </c>
      <c r="R746" s="9" t="s">
        <v>1344</v>
      </c>
      <c r="S746" s="9" t="s">
        <v>2083</v>
      </c>
    </row>
    <row r="747" spans="2:19" x14ac:dyDescent="0.35">
      <c r="B747" s="18" t="s">
        <v>800</v>
      </c>
      <c r="C747" s="9" t="s">
        <v>803</v>
      </c>
      <c r="D747" s="9" t="s">
        <v>799</v>
      </c>
      <c r="E747" s="9" t="s">
        <v>39</v>
      </c>
      <c r="F747" s="17">
        <v>8.2400000000000001E-2</v>
      </c>
      <c r="G747" s="17"/>
      <c r="H747" s="17"/>
      <c r="I747" s="17"/>
      <c r="J747" s="17">
        <v>8.2400000000000001E-2</v>
      </c>
      <c r="K747" s="9" t="s">
        <v>1343</v>
      </c>
      <c r="L747" s="9" t="s">
        <v>804</v>
      </c>
      <c r="M747" s="9">
        <v>2022</v>
      </c>
      <c r="N747" s="9" t="s">
        <v>730</v>
      </c>
      <c r="O747" s="10" t="s">
        <v>731</v>
      </c>
      <c r="P747" s="9" t="s">
        <v>732</v>
      </c>
      <c r="Q747" s="9" t="s">
        <v>264</v>
      </c>
      <c r="R747" s="9" t="s">
        <v>1344</v>
      </c>
      <c r="S747" s="9" t="s">
        <v>2084</v>
      </c>
    </row>
    <row r="748" spans="2:19" x14ac:dyDescent="0.35">
      <c r="B748" s="18" t="s">
        <v>800</v>
      </c>
      <c r="C748" s="9" t="s">
        <v>803</v>
      </c>
      <c r="D748" s="9" t="s">
        <v>799</v>
      </c>
      <c r="E748" s="9" t="s">
        <v>39</v>
      </c>
      <c r="F748" s="17">
        <v>8.3099999999999993E-2</v>
      </c>
      <c r="G748" s="17"/>
      <c r="H748" s="17"/>
      <c r="I748" s="17"/>
      <c r="J748" s="17">
        <v>8.3099999999999993E-2</v>
      </c>
      <c r="K748" s="9" t="s">
        <v>1343</v>
      </c>
      <c r="L748" s="9" t="s">
        <v>804</v>
      </c>
      <c r="M748" s="9">
        <v>2024</v>
      </c>
      <c r="N748" s="9" t="s">
        <v>730</v>
      </c>
      <c r="O748" s="10" t="s">
        <v>731</v>
      </c>
      <c r="P748" s="9" t="s">
        <v>732</v>
      </c>
      <c r="Q748" s="9" t="s">
        <v>264</v>
      </c>
      <c r="R748" s="9" t="s">
        <v>1344</v>
      </c>
      <c r="S748" s="9" t="s">
        <v>2085</v>
      </c>
    </row>
    <row r="749" spans="2:19" x14ac:dyDescent="0.35">
      <c r="B749" s="18" t="s">
        <v>800</v>
      </c>
      <c r="C749" s="9" t="s">
        <v>803</v>
      </c>
      <c r="D749" s="9" t="s">
        <v>799</v>
      </c>
      <c r="E749" s="9" t="s">
        <v>39</v>
      </c>
      <c r="F749" s="17">
        <v>8.3699999999999997E-2</v>
      </c>
      <c r="G749" s="17"/>
      <c r="H749" s="17"/>
      <c r="I749" s="17"/>
      <c r="J749" s="17">
        <v>8.3699999999999997E-2</v>
      </c>
      <c r="K749" s="9" t="s">
        <v>1343</v>
      </c>
      <c r="L749" s="9" t="s">
        <v>804</v>
      </c>
      <c r="M749" s="9">
        <v>2023</v>
      </c>
      <c r="N749" s="9" t="s">
        <v>730</v>
      </c>
      <c r="O749" s="10" t="s">
        <v>731</v>
      </c>
      <c r="P749" s="9" t="s">
        <v>732</v>
      </c>
      <c r="Q749" s="9" t="s">
        <v>264</v>
      </c>
      <c r="R749" s="9" t="s">
        <v>1344</v>
      </c>
      <c r="S749" s="9" t="s">
        <v>2086</v>
      </c>
    </row>
    <row r="750" spans="2:19" x14ac:dyDescent="0.35">
      <c r="B750" s="18" t="s">
        <v>258</v>
      </c>
      <c r="C750" s="9" t="s">
        <v>259</v>
      </c>
      <c r="D750" s="9" t="s">
        <v>799</v>
      </c>
      <c r="E750" s="9" t="s">
        <v>39</v>
      </c>
      <c r="F750" s="17">
        <v>0.55410000000000004</v>
      </c>
      <c r="G750" s="17">
        <v>0.55159999999999998</v>
      </c>
      <c r="H750" s="17">
        <v>4.0000000000000002E-4</v>
      </c>
      <c r="I750" s="17">
        <v>2.0999999999999999E-3</v>
      </c>
      <c r="J750" s="17">
        <v>0</v>
      </c>
      <c r="K750" s="9" t="s">
        <v>1343</v>
      </c>
      <c r="L750" s="9" t="s">
        <v>260</v>
      </c>
      <c r="M750" s="9">
        <v>2022</v>
      </c>
      <c r="N750" s="9" t="s">
        <v>538</v>
      </c>
      <c r="O750" s="10" t="s">
        <v>538</v>
      </c>
      <c r="P750" s="9" t="s">
        <v>539</v>
      </c>
      <c r="Q750" s="9" t="s">
        <v>264</v>
      </c>
      <c r="R750" s="9" t="s">
        <v>1344</v>
      </c>
      <c r="S750" s="9" t="s">
        <v>2087</v>
      </c>
    </row>
    <row r="751" spans="2:19" x14ac:dyDescent="0.35">
      <c r="B751" s="18" t="s">
        <v>258</v>
      </c>
      <c r="C751" s="9" t="s">
        <v>259</v>
      </c>
      <c r="D751" s="9" t="s">
        <v>799</v>
      </c>
      <c r="E751" s="9" t="s">
        <v>39</v>
      </c>
      <c r="F751" s="17">
        <v>0.55549999999999999</v>
      </c>
      <c r="G751" s="17">
        <v>0.55300000000000005</v>
      </c>
      <c r="H751" s="17">
        <v>4.0000000000000002E-4</v>
      </c>
      <c r="I751" s="17">
        <v>2.0999999999999999E-3</v>
      </c>
      <c r="J751" s="17">
        <v>0</v>
      </c>
      <c r="K751" s="9" t="s">
        <v>1343</v>
      </c>
      <c r="L751" s="9" t="s">
        <v>260</v>
      </c>
      <c r="M751" s="9">
        <v>2023</v>
      </c>
      <c r="N751" s="9" t="s">
        <v>538</v>
      </c>
      <c r="O751" s="10" t="s">
        <v>538</v>
      </c>
      <c r="P751" s="9" t="s">
        <v>539</v>
      </c>
      <c r="Q751" s="9" t="s">
        <v>264</v>
      </c>
      <c r="R751" s="9" t="s">
        <v>1344</v>
      </c>
      <c r="S751" s="9" t="s">
        <v>2088</v>
      </c>
    </row>
    <row r="752" spans="2:19" x14ac:dyDescent="0.35">
      <c r="B752" s="18" t="s">
        <v>258</v>
      </c>
      <c r="C752" s="9" t="s">
        <v>259</v>
      </c>
      <c r="D752" s="9" t="s">
        <v>799</v>
      </c>
      <c r="E752" s="9" t="s">
        <v>39</v>
      </c>
      <c r="F752" s="17">
        <v>0.1391</v>
      </c>
      <c r="G752" s="17">
        <v>0.1384</v>
      </c>
      <c r="H752" s="17">
        <v>2.9999999999999997E-4</v>
      </c>
      <c r="I752" s="17">
        <v>4.0000000000000002E-4</v>
      </c>
      <c r="J752" s="17">
        <v>0</v>
      </c>
      <c r="K752" s="9" t="s">
        <v>1343</v>
      </c>
      <c r="L752" s="9" t="s">
        <v>260</v>
      </c>
      <c r="M752" s="9">
        <v>2023</v>
      </c>
      <c r="N752" s="9" t="s">
        <v>447</v>
      </c>
      <c r="O752" s="10" t="s">
        <v>447</v>
      </c>
      <c r="P752" s="9" t="s">
        <v>448</v>
      </c>
      <c r="Q752" s="9" t="s">
        <v>264</v>
      </c>
      <c r="R752" s="9" t="s">
        <v>1344</v>
      </c>
      <c r="S752" s="9" t="s">
        <v>2089</v>
      </c>
    </row>
    <row r="753" spans="2:19" x14ac:dyDescent="0.35">
      <c r="B753" s="18" t="s">
        <v>258</v>
      </c>
      <c r="C753" s="9" t="s">
        <v>259</v>
      </c>
      <c r="D753" s="9" t="s">
        <v>799</v>
      </c>
      <c r="E753" s="9" t="s">
        <v>39</v>
      </c>
      <c r="F753" s="17">
        <v>0.1489</v>
      </c>
      <c r="G753" s="17">
        <v>0.1482</v>
      </c>
      <c r="H753" s="17">
        <v>2.9999999999999997E-4</v>
      </c>
      <c r="I753" s="17">
        <v>4.0000000000000002E-4</v>
      </c>
      <c r="J753" s="17">
        <v>0</v>
      </c>
      <c r="K753" s="9" t="s">
        <v>1343</v>
      </c>
      <c r="L753" s="9" t="s">
        <v>260</v>
      </c>
      <c r="M753" s="9">
        <v>2022</v>
      </c>
      <c r="N753" s="9" t="s">
        <v>447</v>
      </c>
      <c r="O753" s="10" t="s">
        <v>447</v>
      </c>
      <c r="P753" s="9" t="s">
        <v>448</v>
      </c>
      <c r="Q753" s="9" t="s">
        <v>264</v>
      </c>
      <c r="R753" s="9" t="s">
        <v>1344</v>
      </c>
      <c r="S753" s="9" t="s">
        <v>2090</v>
      </c>
    </row>
    <row r="754" spans="2:19" x14ac:dyDescent="0.35">
      <c r="B754" s="18" t="s">
        <v>258</v>
      </c>
      <c r="C754" s="9" t="s">
        <v>259</v>
      </c>
      <c r="D754" s="9" t="s">
        <v>799</v>
      </c>
      <c r="E754" s="9" t="s">
        <v>39</v>
      </c>
      <c r="F754" s="17">
        <v>0.65239999999999998</v>
      </c>
      <c r="G754" s="17">
        <v>0.6492</v>
      </c>
      <c r="H754" s="17">
        <v>5.0000000000000001E-4</v>
      </c>
      <c r="I754" s="17">
        <v>2.7000000000000001E-3</v>
      </c>
      <c r="J754" s="17">
        <v>0</v>
      </c>
      <c r="K754" s="9" t="s">
        <v>1343</v>
      </c>
      <c r="L754" s="9" t="s">
        <v>260</v>
      </c>
      <c r="M754" s="9">
        <v>2022</v>
      </c>
      <c r="N754" s="9" t="s">
        <v>581</v>
      </c>
      <c r="O754" s="10" t="s">
        <v>581</v>
      </c>
      <c r="P754" s="9" t="s">
        <v>582</v>
      </c>
      <c r="Q754" s="9" t="s">
        <v>264</v>
      </c>
      <c r="R754" s="9" t="s">
        <v>1344</v>
      </c>
      <c r="S754" s="9" t="s">
        <v>2091</v>
      </c>
    </row>
    <row r="755" spans="2:19" x14ac:dyDescent="0.35">
      <c r="B755" s="18" t="s">
        <v>258</v>
      </c>
      <c r="C755" s="9" t="s">
        <v>259</v>
      </c>
      <c r="D755" s="9" t="s">
        <v>799</v>
      </c>
      <c r="E755" s="9" t="s">
        <v>39</v>
      </c>
      <c r="F755" s="17">
        <v>0.66259999999999997</v>
      </c>
      <c r="G755" s="17">
        <v>0.6593</v>
      </c>
      <c r="H755" s="17">
        <v>5.0000000000000001E-4</v>
      </c>
      <c r="I755" s="17">
        <v>2.8E-3</v>
      </c>
      <c r="J755" s="17">
        <v>0</v>
      </c>
      <c r="K755" s="9" t="s">
        <v>1343</v>
      </c>
      <c r="L755" s="9" t="s">
        <v>260</v>
      </c>
      <c r="M755" s="9">
        <v>2023</v>
      </c>
      <c r="N755" s="9" t="s">
        <v>581</v>
      </c>
      <c r="O755" s="10" t="s">
        <v>581</v>
      </c>
      <c r="P755" s="9" t="s">
        <v>582</v>
      </c>
      <c r="Q755" s="9" t="s">
        <v>264</v>
      </c>
      <c r="R755" s="9" t="s">
        <v>1344</v>
      </c>
      <c r="S755" s="9" t="s">
        <v>2092</v>
      </c>
    </row>
    <row r="756" spans="2:19" x14ac:dyDescent="0.35">
      <c r="B756" s="18" t="s">
        <v>258</v>
      </c>
      <c r="C756" s="9" t="s">
        <v>259</v>
      </c>
      <c r="D756" s="9" t="s">
        <v>799</v>
      </c>
      <c r="E756" s="9" t="s">
        <v>39</v>
      </c>
      <c r="F756" s="17">
        <v>0.39040000000000002</v>
      </c>
      <c r="G756" s="17">
        <v>0.38929999999999998</v>
      </c>
      <c r="H756" s="17">
        <v>2.0000000000000001E-4</v>
      </c>
      <c r="I756" s="17">
        <v>8.9999999999999998E-4</v>
      </c>
      <c r="J756" s="17">
        <v>0</v>
      </c>
      <c r="K756" s="9" t="s">
        <v>1343</v>
      </c>
      <c r="L756" s="9" t="s">
        <v>260</v>
      </c>
      <c r="M756" s="9">
        <v>2022</v>
      </c>
      <c r="N756" s="9" t="s">
        <v>410</v>
      </c>
      <c r="O756" s="10" t="s">
        <v>410</v>
      </c>
      <c r="P756" s="9" t="s">
        <v>411</v>
      </c>
      <c r="Q756" s="9" t="s">
        <v>264</v>
      </c>
      <c r="R756" s="9" t="s">
        <v>1344</v>
      </c>
      <c r="S756" s="9" t="s">
        <v>2093</v>
      </c>
    </row>
    <row r="757" spans="2:19" x14ac:dyDescent="0.35">
      <c r="B757" s="18" t="s">
        <v>258</v>
      </c>
      <c r="C757" s="9" t="s">
        <v>259</v>
      </c>
      <c r="D757" s="9" t="s">
        <v>799</v>
      </c>
      <c r="E757" s="9" t="s">
        <v>39</v>
      </c>
      <c r="F757" s="17">
        <v>0.39989999999999998</v>
      </c>
      <c r="G757" s="17">
        <v>0.39879999999999999</v>
      </c>
      <c r="H757" s="17">
        <v>2.0000000000000001E-4</v>
      </c>
      <c r="I757" s="17">
        <v>8.9999999999999998E-4</v>
      </c>
      <c r="J757" s="17">
        <v>0</v>
      </c>
      <c r="K757" s="9" t="s">
        <v>1343</v>
      </c>
      <c r="L757" s="9" t="s">
        <v>260</v>
      </c>
      <c r="M757" s="9">
        <v>2023</v>
      </c>
      <c r="N757" s="9" t="s">
        <v>410</v>
      </c>
      <c r="O757" s="10" t="s">
        <v>410</v>
      </c>
      <c r="P757" s="9" t="s">
        <v>411</v>
      </c>
      <c r="Q757" s="9" t="s">
        <v>264</v>
      </c>
      <c r="R757" s="9" t="s">
        <v>1344</v>
      </c>
      <c r="S757" s="9" t="s">
        <v>2094</v>
      </c>
    </row>
    <row r="758" spans="2:19" x14ac:dyDescent="0.35">
      <c r="B758" s="18" t="s">
        <v>258</v>
      </c>
      <c r="C758" s="9" t="s">
        <v>259</v>
      </c>
      <c r="D758" s="9" t="s">
        <v>799</v>
      </c>
      <c r="E758" s="9" t="s">
        <v>39</v>
      </c>
      <c r="F758" s="17">
        <v>0.54979999999999996</v>
      </c>
      <c r="G758" s="17">
        <v>0.54730000000000001</v>
      </c>
      <c r="H758" s="17">
        <v>4.0000000000000002E-4</v>
      </c>
      <c r="I758" s="17">
        <v>2.0999999999999999E-3</v>
      </c>
      <c r="J758" s="17">
        <v>0</v>
      </c>
      <c r="K758" s="9" t="s">
        <v>1343</v>
      </c>
      <c r="L758" s="9" t="s">
        <v>260</v>
      </c>
      <c r="M758" s="9">
        <v>2022</v>
      </c>
      <c r="N758" s="9" t="s">
        <v>528</v>
      </c>
      <c r="O758" s="10" t="s">
        <v>528</v>
      </c>
      <c r="P758" s="9" t="s">
        <v>529</v>
      </c>
      <c r="Q758" s="9" t="s">
        <v>264</v>
      </c>
      <c r="R758" s="9" t="s">
        <v>1344</v>
      </c>
      <c r="S758" s="9" t="s">
        <v>2095</v>
      </c>
    </row>
    <row r="759" spans="2:19" x14ac:dyDescent="0.35">
      <c r="B759" s="18" t="s">
        <v>258</v>
      </c>
      <c r="C759" s="9" t="s">
        <v>259</v>
      </c>
      <c r="D759" s="9" t="s">
        <v>799</v>
      </c>
      <c r="E759" s="9" t="s">
        <v>39</v>
      </c>
      <c r="F759" s="17">
        <v>0.55210000000000004</v>
      </c>
      <c r="G759" s="17">
        <v>0.54959999999999998</v>
      </c>
      <c r="H759" s="17">
        <v>4.0000000000000002E-4</v>
      </c>
      <c r="I759" s="17">
        <v>2.0999999999999999E-3</v>
      </c>
      <c r="J759" s="17">
        <v>0</v>
      </c>
      <c r="K759" s="9" t="s">
        <v>1343</v>
      </c>
      <c r="L759" s="9" t="s">
        <v>260</v>
      </c>
      <c r="M759" s="9">
        <v>2023</v>
      </c>
      <c r="N759" s="9" t="s">
        <v>528</v>
      </c>
      <c r="O759" s="10" t="s">
        <v>528</v>
      </c>
      <c r="P759" s="9" t="s">
        <v>529</v>
      </c>
      <c r="Q759" s="9" t="s">
        <v>264</v>
      </c>
      <c r="R759" s="9" t="s">
        <v>1344</v>
      </c>
      <c r="S759" s="9" t="s">
        <v>2096</v>
      </c>
    </row>
    <row r="760" spans="2:19" x14ac:dyDescent="0.35">
      <c r="B760" s="18" t="s">
        <v>258</v>
      </c>
      <c r="C760" s="9" t="s">
        <v>259</v>
      </c>
      <c r="D760" s="9" t="s">
        <v>799</v>
      </c>
      <c r="E760" s="9" t="s">
        <v>39</v>
      </c>
      <c r="F760" s="17">
        <v>0.4577</v>
      </c>
      <c r="G760" s="17">
        <v>0.45569999999999999</v>
      </c>
      <c r="H760" s="17">
        <v>2.0000000000000001E-4</v>
      </c>
      <c r="I760" s="17">
        <v>1.8E-3</v>
      </c>
      <c r="J760" s="17">
        <v>0</v>
      </c>
      <c r="K760" s="9" t="s">
        <v>1343</v>
      </c>
      <c r="L760" s="9" t="s">
        <v>260</v>
      </c>
      <c r="M760" s="9">
        <v>2023</v>
      </c>
      <c r="N760" s="9" t="s">
        <v>676</v>
      </c>
      <c r="O760" s="10" t="s">
        <v>677</v>
      </c>
      <c r="P760" s="9" t="s">
        <v>678</v>
      </c>
      <c r="Q760" s="9" t="s">
        <v>264</v>
      </c>
      <c r="R760" s="9" t="s">
        <v>1344</v>
      </c>
      <c r="S760" s="9" t="s">
        <v>2097</v>
      </c>
    </row>
    <row r="761" spans="2:19" x14ac:dyDescent="0.35">
      <c r="B761" s="18" t="s">
        <v>258</v>
      </c>
      <c r="C761" s="9" t="s">
        <v>259</v>
      </c>
      <c r="D761" s="9" t="s">
        <v>799</v>
      </c>
      <c r="E761" s="9" t="s">
        <v>39</v>
      </c>
      <c r="F761" s="17">
        <v>0.46050000000000002</v>
      </c>
      <c r="G761" s="17">
        <v>0.45839999999999997</v>
      </c>
      <c r="H761" s="17">
        <v>2.0000000000000001E-4</v>
      </c>
      <c r="I761" s="17">
        <v>1.9E-3</v>
      </c>
      <c r="J761" s="17">
        <v>0</v>
      </c>
      <c r="K761" s="9" t="s">
        <v>1343</v>
      </c>
      <c r="L761" s="9" t="s">
        <v>260</v>
      </c>
      <c r="M761" s="9">
        <v>2022</v>
      </c>
      <c r="N761" s="9" t="s">
        <v>676</v>
      </c>
      <c r="O761" s="10" t="s">
        <v>677</v>
      </c>
      <c r="P761" s="9" t="s">
        <v>678</v>
      </c>
      <c r="Q761" s="9" t="s">
        <v>264</v>
      </c>
      <c r="R761" s="9" t="s">
        <v>1344</v>
      </c>
      <c r="S761" s="9" t="s">
        <v>2098</v>
      </c>
    </row>
    <row r="762" spans="2:19" x14ac:dyDescent="0.35">
      <c r="B762" s="18" t="s">
        <v>800</v>
      </c>
      <c r="C762" s="9" t="s">
        <v>801</v>
      </c>
      <c r="D762" s="9" t="s">
        <v>799</v>
      </c>
      <c r="E762" s="9" t="s">
        <v>39</v>
      </c>
      <c r="F762" s="17">
        <v>9.1200000000000003E-2</v>
      </c>
      <c r="G762" s="17"/>
      <c r="H762" s="17"/>
      <c r="I762" s="17"/>
      <c r="J762" s="17">
        <v>9.1200000000000003E-2</v>
      </c>
      <c r="K762" s="9" t="s">
        <v>1343</v>
      </c>
      <c r="L762" s="9" t="s">
        <v>802</v>
      </c>
      <c r="M762" s="9">
        <v>2023</v>
      </c>
      <c r="N762" s="9" t="s">
        <v>676</v>
      </c>
      <c r="O762" s="10" t="s">
        <v>677</v>
      </c>
      <c r="P762" s="9" t="s">
        <v>678</v>
      </c>
      <c r="Q762" s="9" t="s">
        <v>264</v>
      </c>
      <c r="R762" s="9" t="s">
        <v>1344</v>
      </c>
      <c r="S762" s="9" t="s">
        <v>2099</v>
      </c>
    </row>
    <row r="763" spans="2:19" x14ac:dyDescent="0.35">
      <c r="B763" s="18" t="s">
        <v>800</v>
      </c>
      <c r="C763" s="9" t="s">
        <v>801</v>
      </c>
      <c r="D763" s="9" t="s">
        <v>799</v>
      </c>
      <c r="E763" s="9" t="s">
        <v>39</v>
      </c>
      <c r="F763" s="17">
        <v>9.1399999999999995E-2</v>
      </c>
      <c r="G763" s="17"/>
      <c r="H763" s="17"/>
      <c r="I763" s="17"/>
      <c r="J763" s="17">
        <v>9.1399999999999995E-2</v>
      </c>
      <c r="K763" s="9" t="s">
        <v>1343</v>
      </c>
      <c r="L763" s="9" t="s">
        <v>802</v>
      </c>
      <c r="M763" s="9">
        <v>2022</v>
      </c>
      <c r="N763" s="9" t="s">
        <v>676</v>
      </c>
      <c r="O763" s="10" t="s">
        <v>677</v>
      </c>
      <c r="P763" s="9" t="s">
        <v>678</v>
      </c>
      <c r="Q763" s="9" t="s">
        <v>264</v>
      </c>
      <c r="R763" s="9" t="s">
        <v>1344</v>
      </c>
      <c r="S763" s="9" t="s">
        <v>2100</v>
      </c>
    </row>
    <row r="764" spans="2:19" x14ac:dyDescent="0.35">
      <c r="B764" s="18" t="s">
        <v>800</v>
      </c>
      <c r="C764" s="9" t="s">
        <v>803</v>
      </c>
      <c r="D764" s="9" t="s">
        <v>799</v>
      </c>
      <c r="E764" s="9" t="s">
        <v>39</v>
      </c>
      <c r="F764" s="17">
        <v>7.3099999999999998E-2</v>
      </c>
      <c r="G764" s="17"/>
      <c r="H764" s="17"/>
      <c r="I764" s="17"/>
      <c r="J764" s="17">
        <v>7.3099999999999998E-2</v>
      </c>
      <c r="K764" s="9" t="s">
        <v>1343</v>
      </c>
      <c r="L764" s="9" t="s">
        <v>804</v>
      </c>
      <c r="M764" s="9">
        <v>2022</v>
      </c>
      <c r="N764" s="9" t="s">
        <v>676</v>
      </c>
      <c r="O764" s="10" t="s">
        <v>677</v>
      </c>
      <c r="P764" s="9" t="s">
        <v>678</v>
      </c>
      <c r="Q764" s="9" t="s">
        <v>264</v>
      </c>
      <c r="R764" s="9" t="s">
        <v>1344</v>
      </c>
      <c r="S764" s="9" t="s">
        <v>2101</v>
      </c>
    </row>
    <row r="765" spans="2:19" x14ac:dyDescent="0.35">
      <c r="B765" s="18" t="s">
        <v>800</v>
      </c>
      <c r="C765" s="9" t="s">
        <v>803</v>
      </c>
      <c r="D765" s="9" t="s">
        <v>799</v>
      </c>
      <c r="E765" s="9" t="s">
        <v>39</v>
      </c>
      <c r="F765" s="17">
        <v>7.3200000000000001E-2</v>
      </c>
      <c r="G765" s="17"/>
      <c r="H765" s="17"/>
      <c r="I765" s="17"/>
      <c r="J765" s="17">
        <v>7.3200000000000001E-2</v>
      </c>
      <c r="K765" s="9" t="s">
        <v>1343</v>
      </c>
      <c r="L765" s="9" t="s">
        <v>804</v>
      </c>
      <c r="M765" s="9">
        <v>2023</v>
      </c>
      <c r="N765" s="9" t="s">
        <v>676</v>
      </c>
      <c r="O765" s="10" t="s">
        <v>677</v>
      </c>
      <c r="P765" s="9" t="s">
        <v>678</v>
      </c>
      <c r="Q765" s="9" t="s">
        <v>264</v>
      </c>
      <c r="R765" s="9" t="s">
        <v>1344</v>
      </c>
      <c r="S765" s="9" t="s">
        <v>2102</v>
      </c>
    </row>
    <row r="766" spans="2:19" x14ac:dyDescent="0.35">
      <c r="B766" s="18" t="s">
        <v>258</v>
      </c>
      <c r="C766" s="9" t="s">
        <v>259</v>
      </c>
      <c r="D766" s="9" t="s">
        <v>799</v>
      </c>
      <c r="E766" s="9" t="s">
        <v>39</v>
      </c>
      <c r="F766" s="17">
        <v>0.56740000000000002</v>
      </c>
      <c r="G766" s="17">
        <v>0.56520000000000004</v>
      </c>
      <c r="H766" s="17">
        <v>2.0000000000000001E-4</v>
      </c>
      <c r="I766" s="17">
        <v>2E-3</v>
      </c>
      <c r="J766" s="17">
        <v>0</v>
      </c>
      <c r="K766" s="9" t="s">
        <v>1343</v>
      </c>
      <c r="L766" s="9" t="s">
        <v>260</v>
      </c>
      <c r="M766" s="9">
        <v>2024</v>
      </c>
      <c r="N766" s="9" t="s">
        <v>344</v>
      </c>
      <c r="O766" s="10" t="s">
        <v>345</v>
      </c>
      <c r="P766" s="9" t="s">
        <v>346</v>
      </c>
      <c r="Q766" s="9" t="s">
        <v>264</v>
      </c>
      <c r="R766" s="9" t="s">
        <v>1344</v>
      </c>
      <c r="S766" s="9" t="s">
        <v>2103</v>
      </c>
    </row>
    <row r="767" spans="2:19" x14ac:dyDescent="0.35">
      <c r="B767" s="18" t="s">
        <v>258</v>
      </c>
      <c r="C767" s="9" t="s">
        <v>259</v>
      </c>
      <c r="D767" s="9" t="s">
        <v>799</v>
      </c>
      <c r="E767" s="9" t="s">
        <v>39</v>
      </c>
      <c r="F767" s="17">
        <v>0.59030000000000005</v>
      </c>
      <c r="G767" s="17">
        <v>0.58809999999999996</v>
      </c>
      <c r="H767" s="17">
        <v>2.0000000000000001E-4</v>
      </c>
      <c r="I767" s="17">
        <v>2E-3</v>
      </c>
      <c r="J767" s="17">
        <v>0</v>
      </c>
      <c r="K767" s="9" t="s">
        <v>1343</v>
      </c>
      <c r="L767" s="9" t="s">
        <v>260</v>
      </c>
      <c r="M767" s="9">
        <v>2023</v>
      </c>
      <c r="N767" s="9" t="s">
        <v>344</v>
      </c>
      <c r="O767" s="10" t="s">
        <v>345</v>
      </c>
      <c r="P767" s="9" t="s">
        <v>346</v>
      </c>
      <c r="Q767" s="9" t="s">
        <v>264</v>
      </c>
      <c r="R767" s="9" t="s">
        <v>1344</v>
      </c>
      <c r="S767" s="9" t="s">
        <v>2104</v>
      </c>
    </row>
    <row r="768" spans="2:19" x14ac:dyDescent="0.35">
      <c r="B768" s="18" t="s">
        <v>258</v>
      </c>
      <c r="C768" s="9" t="s">
        <v>259</v>
      </c>
      <c r="D768" s="9" t="s">
        <v>799</v>
      </c>
      <c r="E768" s="9" t="s">
        <v>39</v>
      </c>
      <c r="F768" s="17">
        <v>0.7117</v>
      </c>
      <c r="G768" s="17">
        <v>0.70889999999999997</v>
      </c>
      <c r="H768" s="17">
        <v>2.9999999999999997E-4</v>
      </c>
      <c r="I768" s="17">
        <v>2.5000000000000001E-3</v>
      </c>
      <c r="J768" s="17">
        <v>0</v>
      </c>
      <c r="K768" s="9" t="s">
        <v>1343</v>
      </c>
      <c r="L768" s="9" t="s">
        <v>260</v>
      </c>
      <c r="M768" s="9">
        <v>2022</v>
      </c>
      <c r="N768" s="9" t="s">
        <v>344</v>
      </c>
      <c r="O768" s="10" t="s">
        <v>345</v>
      </c>
      <c r="P768" s="9" t="s">
        <v>346</v>
      </c>
      <c r="Q768" s="9" t="s">
        <v>264</v>
      </c>
      <c r="R768" s="9" t="s">
        <v>1344</v>
      </c>
      <c r="S768" s="9" t="s">
        <v>2105</v>
      </c>
    </row>
    <row r="769" spans="2:19" x14ac:dyDescent="0.35">
      <c r="B769" s="18" t="s">
        <v>800</v>
      </c>
      <c r="C769" s="9" t="s">
        <v>801</v>
      </c>
      <c r="D769" s="9" t="s">
        <v>799</v>
      </c>
      <c r="E769" s="9" t="s">
        <v>39</v>
      </c>
      <c r="F769" s="17">
        <v>4.9000000000000002E-2</v>
      </c>
      <c r="G769" s="17"/>
      <c r="H769" s="17"/>
      <c r="I769" s="17"/>
      <c r="J769" s="17">
        <v>4.9000000000000002E-2</v>
      </c>
      <c r="K769" s="9" t="s">
        <v>1343</v>
      </c>
      <c r="L769" s="9" t="s">
        <v>802</v>
      </c>
      <c r="M769" s="9">
        <v>2023</v>
      </c>
      <c r="N769" s="9" t="s">
        <v>344</v>
      </c>
      <c r="O769" s="10" t="s">
        <v>345</v>
      </c>
      <c r="P769" s="9" t="s">
        <v>346</v>
      </c>
      <c r="Q769" s="9" t="s">
        <v>264</v>
      </c>
      <c r="R769" s="9" t="s">
        <v>1344</v>
      </c>
      <c r="S769" s="9" t="s">
        <v>2106</v>
      </c>
    </row>
    <row r="770" spans="2:19" x14ac:dyDescent="0.35">
      <c r="B770" s="18" t="s">
        <v>800</v>
      </c>
      <c r="C770" s="9" t="s">
        <v>801</v>
      </c>
      <c r="D770" s="9" t="s">
        <v>799</v>
      </c>
      <c r="E770" s="9" t="s">
        <v>39</v>
      </c>
      <c r="F770" s="17">
        <v>6.4199999999999993E-2</v>
      </c>
      <c r="G770" s="17"/>
      <c r="H770" s="17"/>
      <c r="I770" s="17"/>
      <c r="J770" s="17">
        <v>6.4199999999999993E-2</v>
      </c>
      <c r="K770" s="9" t="s">
        <v>1343</v>
      </c>
      <c r="L770" s="9" t="s">
        <v>802</v>
      </c>
      <c r="M770" s="9">
        <v>2022</v>
      </c>
      <c r="N770" s="9" t="s">
        <v>344</v>
      </c>
      <c r="O770" s="10" t="s">
        <v>345</v>
      </c>
      <c r="P770" s="9" t="s">
        <v>346</v>
      </c>
      <c r="Q770" s="9" t="s">
        <v>264</v>
      </c>
      <c r="R770" s="9" t="s">
        <v>1344</v>
      </c>
      <c r="S770" s="9" t="s">
        <v>2107</v>
      </c>
    </row>
    <row r="771" spans="2:19" x14ac:dyDescent="0.35">
      <c r="B771" s="18" t="s">
        <v>800</v>
      </c>
      <c r="C771" s="9" t="s">
        <v>803</v>
      </c>
      <c r="D771" s="9" t="s">
        <v>799</v>
      </c>
      <c r="E771" s="9" t="s">
        <v>39</v>
      </c>
      <c r="F771" s="17">
        <v>0.10979999999999999</v>
      </c>
      <c r="G771" s="17"/>
      <c r="H771" s="17"/>
      <c r="I771" s="17"/>
      <c r="J771" s="17">
        <v>0.10979999999999999</v>
      </c>
      <c r="K771" s="9" t="s">
        <v>1343</v>
      </c>
      <c r="L771" s="9" t="s">
        <v>804</v>
      </c>
      <c r="M771" s="9">
        <v>2024</v>
      </c>
      <c r="N771" s="9" t="s">
        <v>344</v>
      </c>
      <c r="O771" s="10" t="s">
        <v>345</v>
      </c>
      <c r="P771" s="9" t="s">
        <v>346</v>
      </c>
      <c r="Q771" s="9" t="s">
        <v>264</v>
      </c>
      <c r="R771" s="9" t="s">
        <v>1344</v>
      </c>
      <c r="S771" s="9" t="s">
        <v>2108</v>
      </c>
    </row>
    <row r="772" spans="2:19" x14ac:dyDescent="0.35">
      <c r="B772" s="18" t="s">
        <v>800</v>
      </c>
      <c r="C772" s="9" t="s">
        <v>803</v>
      </c>
      <c r="D772" s="9" t="s">
        <v>799</v>
      </c>
      <c r="E772" s="9" t="s">
        <v>39</v>
      </c>
      <c r="F772" s="17">
        <v>0.1125</v>
      </c>
      <c r="G772" s="17"/>
      <c r="H772" s="17"/>
      <c r="I772" s="17"/>
      <c r="J772" s="17">
        <v>0.1125</v>
      </c>
      <c r="K772" s="9" t="s">
        <v>1343</v>
      </c>
      <c r="L772" s="9" t="s">
        <v>804</v>
      </c>
      <c r="M772" s="9">
        <v>2023</v>
      </c>
      <c r="N772" s="9" t="s">
        <v>344</v>
      </c>
      <c r="O772" s="10" t="s">
        <v>345</v>
      </c>
      <c r="P772" s="9" t="s">
        <v>346</v>
      </c>
      <c r="Q772" s="9" t="s">
        <v>264</v>
      </c>
      <c r="R772" s="9" t="s">
        <v>1344</v>
      </c>
      <c r="S772" s="9" t="s">
        <v>2109</v>
      </c>
    </row>
    <row r="773" spans="2:19" x14ac:dyDescent="0.35">
      <c r="B773" s="18" t="s">
        <v>800</v>
      </c>
      <c r="C773" s="9" t="s">
        <v>803</v>
      </c>
      <c r="D773" s="9" t="s">
        <v>799</v>
      </c>
      <c r="E773" s="9" t="s">
        <v>39</v>
      </c>
      <c r="F773" s="17">
        <v>0.12180000000000001</v>
      </c>
      <c r="G773" s="17"/>
      <c r="H773" s="17"/>
      <c r="I773" s="17"/>
      <c r="J773" s="17">
        <v>0.12180000000000001</v>
      </c>
      <c r="K773" s="9" t="s">
        <v>1343</v>
      </c>
      <c r="L773" s="9" t="s">
        <v>804</v>
      </c>
      <c r="M773" s="9">
        <v>2022</v>
      </c>
      <c r="N773" s="9" t="s">
        <v>344</v>
      </c>
      <c r="O773" s="10" t="s">
        <v>345</v>
      </c>
      <c r="P773" s="9" t="s">
        <v>346</v>
      </c>
      <c r="Q773" s="9" t="s">
        <v>264</v>
      </c>
      <c r="R773" s="9" t="s">
        <v>1344</v>
      </c>
      <c r="S773" s="9" t="s">
        <v>2110</v>
      </c>
    </row>
    <row r="774" spans="2:19" x14ac:dyDescent="0.35">
      <c r="B774" s="18" t="s">
        <v>258</v>
      </c>
      <c r="C774" s="9" t="s">
        <v>259</v>
      </c>
      <c r="D774" s="9" t="s">
        <v>799</v>
      </c>
      <c r="E774" s="9" t="s">
        <v>39</v>
      </c>
      <c r="F774" s="17">
        <v>5.1000000000000004E-3</v>
      </c>
      <c r="G774" s="17">
        <v>5.1000000000000004E-3</v>
      </c>
      <c r="H774" s="17"/>
      <c r="I774" s="17"/>
      <c r="J774" s="17">
        <v>0</v>
      </c>
      <c r="K774" s="9" t="s">
        <v>1343</v>
      </c>
      <c r="L774" s="9" t="s">
        <v>260</v>
      </c>
      <c r="M774" s="9">
        <v>2024</v>
      </c>
      <c r="N774" s="9" t="s">
        <v>331</v>
      </c>
      <c r="O774" s="10" t="s">
        <v>332</v>
      </c>
      <c r="P774" s="9" t="s">
        <v>333</v>
      </c>
      <c r="Q774" s="9" t="s">
        <v>264</v>
      </c>
      <c r="R774" s="9" t="s">
        <v>1344</v>
      </c>
      <c r="S774" s="9" t="s">
        <v>2111</v>
      </c>
    </row>
    <row r="775" spans="2:19" x14ac:dyDescent="0.35">
      <c r="B775" s="18" t="s">
        <v>258</v>
      </c>
      <c r="C775" s="9" t="s">
        <v>259</v>
      </c>
      <c r="D775" s="9" t="s">
        <v>799</v>
      </c>
      <c r="E775" s="9" t="s">
        <v>39</v>
      </c>
      <c r="F775" s="17">
        <v>5.4999999999999997E-3</v>
      </c>
      <c r="G775" s="17">
        <v>5.4999999999999997E-3</v>
      </c>
      <c r="H775" s="17"/>
      <c r="I775" s="17"/>
      <c r="J775" s="17">
        <v>0</v>
      </c>
      <c r="K775" s="9" t="s">
        <v>1343</v>
      </c>
      <c r="L775" s="9" t="s">
        <v>260</v>
      </c>
      <c r="M775" s="9">
        <v>2023</v>
      </c>
      <c r="N775" s="9" t="s">
        <v>331</v>
      </c>
      <c r="O775" s="10" t="s">
        <v>332</v>
      </c>
      <c r="P775" s="9" t="s">
        <v>333</v>
      </c>
      <c r="Q775" s="9" t="s">
        <v>264</v>
      </c>
      <c r="R775" s="9" t="s">
        <v>1344</v>
      </c>
      <c r="S775" s="9" t="s">
        <v>2112</v>
      </c>
    </row>
    <row r="776" spans="2:19" x14ac:dyDescent="0.35">
      <c r="B776" s="18" t="s">
        <v>258</v>
      </c>
      <c r="C776" s="9" t="s">
        <v>259</v>
      </c>
      <c r="D776" s="9" t="s">
        <v>799</v>
      </c>
      <c r="E776" s="9" t="s">
        <v>39</v>
      </c>
      <c r="F776" s="17">
        <v>7.0000000000000001E-3</v>
      </c>
      <c r="G776" s="17">
        <v>7.0000000000000001E-3</v>
      </c>
      <c r="H776" s="17"/>
      <c r="I776" s="17"/>
      <c r="J776" s="17">
        <v>0</v>
      </c>
      <c r="K776" s="9" t="s">
        <v>1343</v>
      </c>
      <c r="L776" s="9" t="s">
        <v>260</v>
      </c>
      <c r="M776" s="9">
        <v>2022</v>
      </c>
      <c r="N776" s="9" t="s">
        <v>331</v>
      </c>
      <c r="O776" s="10" t="s">
        <v>332</v>
      </c>
      <c r="P776" s="9" t="s">
        <v>333</v>
      </c>
      <c r="Q776" s="9" t="s">
        <v>264</v>
      </c>
      <c r="R776" s="9" t="s">
        <v>1344</v>
      </c>
      <c r="S776" s="9" t="s">
        <v>2113</v>
      </c>
    </row>
    <row r="777" spans="2:19" x14ac:dyDescent="0.35">
      <c r="B777" s="18" t="s">
        <v>800</v>
      </c>
      <c r="C777" s="9" t="s">
        <v>801</v>
      </c>
      <c r="D777" s="9" t="s">
        <v>799</v>
      </c>
      <c r="E777" s="9" t="s">
        <v>39</v>
      </c>
      <c r="F777" s="17">
        <v>5.0000000000000001E-4</v>
      </c>
      <c r="G777" s="17"/>
      <c r="H777" s="17"/>
      <c r="I777" s="17"/>
      <c r="J777" s="17">
        <v>5.0000000000000001E-4</v>
      </c>
      <c r="K777" s="9" t="s">
        <v>1343</v>
      </c>
      <c r="L777" s="9" t="s">
        <v>802</v>
      </c>
      <c r="M777" s="9">
        <v>2022</v>
      </c>
      <c r="N777" s="9" t="s">
        <v>331</v>
      </c>
      <c r="O777" s="10" t="s">
        <v>332</v>
      </c>
      <c r="P777" s="9" t="s">
        <v>333</v>
      </c>
      <c r="Q777" s="9" t="s">
        <v>264</v>
      </c>
      <c r="R777" s="9" t="s">
        <v>1344</v>
      </c>
      <c r="S777" s="9" t="s">
        <v>2114</v>
      </c>
    </row>
    <row r="778" spans="2:19" x14ac:dyDescent="0.35">
      <c r="B778" s="18" t="s">
        <v>800</v>
      </c>
      <c r="C778" s="9" t="s">
        <v>801</v>
      </c>
      <c r="D778" s="9" t="s">
        <v>799</v>
      </c>
      <c r="E778" s="9" t="s">
        <v>39</v>
      </c>
      <c r="F778" s="17">
        <v>5.0000000000000001E-4</v>
      </c>
      <c r="G778" s="17"/>
      <c r="H778" s="17"/>
      <c r="I778" s="17"/>
      <c r="J778" s="17">
        <v>5.0000000000000001E-4</v>
      </c>
      <c r="K778" s="9" t="s">
        <v>1343</v>
      </c>
      <c r="L778" s="9" t="s">
        <v>802</v>
      </c>
      <c r="M778" s="9">
        <v>2023</v>
      </c>
      <c r="N778" s="9" t="s">
        <v>331</v>
      </c>
      <c r="O778" s="10" t="s">
        <v>332</v>
      </c>
      <c r="P778" s="9" t="s">
        <v>333</v>
      </c>
      <c r="Q778" s="9" t="s">
        <v>264</v>
      </c>
      <c r="R778" s="9" t="s">
        <v>1344</v>
      </c>
      <c r="S778" s="9" t="s">
        <v>2115</v>
      </c>
    </row>
    <row r="779" spans="2:19" x14ac:dyDescent="0.35">
      <c r="B779" s="18" t="s">
        <v>800</v>
      </c>
      <c r="C779" s="9" t="s">
        <v>803</v>
      </c>
      <c r="D779" s="9" t="s">
        <v>799</v>
      </c>
      <c r="E779" s="9" t="s">
        <v>39</v>
      </c>
      <c r="F779" s="17">
        <v>5.5999999999999999E-3</v>
      </c>
      <c r="G779" s="17"/>
      <c r="H779" s="17"/>
      <c r="I779" s="17"/>
      <c r="J779" s="17">
        <v>5.5999999999999999E-3</v>
      </c>
      <c r="K779" s="9" t="s">
        <v>1343</v>
      </c>
      <c r="L779" s="9" t="s">
        <v>804</v>
      </c>
      <c r="M779" s="9">
        <v>2024</v>
      </c>
      <c r="N779" s="9" t="s">
        <v>331</v>
      </c>
      <c r="O779" s="10" t="s">
        <v>332</v>
      </c>
      <c r="P779" s="9" t="s">
        <v>333</v>
      </c>
      <c r="Q779" s="9" t="s">
        <v>264</v>
      </c>
      <c r="R779" s="9" t="s">
        <v>1344</v>
      </c>
      <c r="S779" s="9" t="s">
        <v>2116</v>
      </c>
    </row>
    <row r="780" spans="2:19" x14ac:dyDescent="0.35">
      <c r="B780" s="18" t="s">
        <v>800</v>
      </c>
      <c r="C780" s="9" t="s">
        <v>803</v>
      </c>
      <c r="D780" s="9" t="s">
        <v>799</v>
      </c>
      <c r="E780" s="9" t="s">
        <v>39</v>
      </c>
      <c r="F780" s="17">
        <v>6.0000000000000001E-3</v>
      </c>
      <c r="G780" s="17"/>
      <c r="H780" s="17"/>
      <c r="I780" s="17"/>
      <c r="J780" s="17">
        <v>6.0000000000000001E-3</v>
      </c>
      <c r="K780" s="9" t="s">
        <v>1343</v>
      </c>
      <c r="L780" s="9" t="s">
        <v>804</v>
      </c>
      <c r="M780" s="9">
        <v>2022</v>
      </c>
      <c r="N780" s="9" t="s">
        <v>331</v>
      </c>
      <c r="O780" s="10" t="s">
        <v>332</v>
      </c>
      <c r="P780" s="9" t="s">
        <v>333</v>
      </c>
      <c r="Q780" s="9" t="s">
        <v>264</v>
      </c>
      <c r="R780" s="9" t="s">
        <v>1344</v>
      </c>
      <c r="S780" s="9" t="s">
        <v>2117</v>
      </c>
    </row>
    <row r="781" spans="2:19" x14ac:dyDescent="0.35">
      <c r="B781" s="18" t="s">
        <v>800</v>
      </c>
      <c r="C781" s="9" t="s">
        <v>803</v>
      </c>
      <c r="D781" s="9" t="s">
        <v>799</v>
      </c>
      <c r="E781" s="9" t="s">
        <v>39</v>
      </c>
      <c r="F781" s="17">
        <v>6.0000000000000001E-3</v>
      </c>
      <c r="G781" s="17"/>
      <c r="H781" s="17"/>
      <c r="I781" s="17"/>
      <c r="J781" s="17">
        <v>6.0000000000000001E-3</v>
      </c>
      <c r="K781" s="9" t="s">
        <v>1343</v>
      </c>
      <c r="L781" s="9" t="s">
        <v>804</v>
      </c>
      <c r="M781" s="9">
        <v>2023</v>
      </c>
      <c r="N781" s="9" t="s">
        <v>331</v>
      </c>
      <c r="O781" s="10" t="s">
        <v>332</v>
      </c>
      <c r="P781" s="9" t="s">
        <v>333</v>
      </c>
      <c r="Q781" s="9" t="s">
        <v>264</v>
      </c>
      <c r="R781" s="9" t="s">
        <v>1344</v>
      </c>
      <c r="S781" s="9" t="s">
        <v>2118</v>
      </c>
    </row>
    <row r="782" spans="2:19" x14ac:dyDescent="0.35">
      <c r="B782" s="18" t="s">
        <v>258</v>
      </c>
      <c r="C782" s="9" t="s">
        <v>259</v>
      </c>
      <c r="D782" s="9" t="s">
        <v>799</v>
      </c>
      <c r="E782" s="9" t="s">
        <v>39</v>
      </c>
      <c r="F782" s="17">
        <v>0.5161</v>
      </c>
      <c r="G782" s="17">
        <v>0.5141</v>
      </c>
      <c r="H782" s="17">
        <v>2.0000000000000001E-4</v>
      </c>
      <c r="I782" s="17">
        <v>1.8E-3</v>
      </c>
      <c r="J782" s="17">
        <v>0</v>
      </c>
      <c r="K782" s="9" t="s">
        <v>1343</v>
      </c>
      <c r="L782" s="9" t="s">
        <v>260</v>
      </c>
      <c r="M782" s="9">
        <v>2023</v>
      </c>
      <c r="N782" s="9" t="s">
        <v>484</v>
      </c>
      <c r="O782" s="10" t="s">
        <v>484</v>
      </c>
      <c r="P782" s="9" t="s">
        <v>485</v>
      </c>
      <c r="Q782" s="9" t="s">
        <v>264</v>
      </c>
      <c r="R782" s="9" t="s">
        <v>1344</v>
      </c>
      <c r="S782" s="9" t="s">
        <v>2119</v>
      </c>
    </row>
    <row r="783" spans="2:19" x14ac:dyDescent="0.35">
      <c r="B783" s="18" t="s">
        <v>258</v>
      </c>
      <c r="C783" s="9" t="s">
        <v>259</v>
      </c>
      <c r="D783" s="9" t="s">
        <v>799</v>
      </c>
      <c r="E783" s="9" t="s">
        <v>39</v>
      </c>
      <c r="F783" s="17">
        <v>0.53669999999999995</v>
      </c>
      <c r="G783" s="17">
        <v>0.53469999999999995</v>
      </c>
      <c r="H783" s="17">
        <v>2.0000000000000001E-4</v>
      </c>
      <c r="I783" s="17">
        <v>1.8E-3</v>
      </c>
      <c r="J783" s="17">
        <v>0</v>
      </c>
      <c r="K783" s="9" t="s">
        <v>1343</v>
      </c>
      <c r="L783" s="9" t="s">
        <v>260</v>
      </c>
      <c r="M783" s="9">
        <v>2022</v>
      </c>
      <c r="N783" s="9" t="s">
        <v>484</v>
      </c>
      <c r="O783" s="10" t="s">
        <v>484</v>
      </c>
      <c r="P783" s="9" t="s">
        <v>485</v>
      </c>
      <c r="Q783" s="9" t="s">
        <v>264</v>
      </c>
      <c r="R783" s="9" t="s">
        <v>1344</v>
      </c>
      <c r="S783" s="9" t="s">
        <v>2120</v>
      </c>
    </row>
    <row r="784" spans="2:19" x14ac:dyDescent="0.35">
      <c r="B784" s="18" t="s">
        <v>258</v>
      </c>
      <c r="C784" s="9" t="s">
        <v>259</v>
      </c>
      <c r="D784" s="9" t="s">
        <v>799</v>
      </c>
      <c r="E784" s="9" t="s">
        <v>39</v>
      </c>
      <c r="F784" s="17">
        <v>0.30359999999999998</v>
      </c>
      <c r="G784" s="17">
        <v>0.30259999999999998</v>
      </c>
      <c r="H784" s="17">
        <v>2.0000000000000001E-4</v>
      </c>
      <c r="I784" s="17">
        <v>8.0000000000000004E-4</v>
      </c>
      <c r="J784" s="17">
        <v>0</v>
      </c>
      <c r="K784" s="9" t="s">
        <v>1343</v>
      </c>
      <c r="L784" s="9" t="s">
        <v>260</v>
      </c>
      <c r="M784" s="9">
        <v>2024</v>
      </c>
      <c r="N784" s="9" t="s">
        <v>474</v>
      </c>
      <c r="O784" s="10" t="s">
        <v>474</v>
      </c>
      <c r="P784" s="9" t="s">
        <v>475</v>
      </c>
      <c r="Q784" s="9" t="s">
        <v>264</v>
      </c>
      <c r="R784" s="9" t="s">
        <v>1344</v>
      </c>
      <c r="S784" s="9" t="s">
        <v>2121</v>
      </c>
    </row>
    <row r="785" spans="2:19" x14ac:dyDescent="0.35">
      <c r="B785" s="18" t="s">
        <v>258</v>
      </c>
      <c r="C785" s="9" t="s">
        <v>259</v>
      </c>
      <c r="D785" s="9" t="s">
        <v>799</v>
      </c>
      <c r="E785" s="9" t="s">
        <v>39</v>
      </c>
      <c r="F785" s="17">
        <v>0.30980000000000002</v>
      </c>
      <c r="G785" s="17">
        <v>0.30880000000000002</v>
      </c>
      <c r="H785" s="17">
        <v>2.0000000000000001E-4</v>
      </c>
      <c r="I785" s="17">
        <v>8.0000000000000004E-4</v>
      </c>
      <c r="J785" s="17">
        <v>0</v>
      </c>
      <c r="K785" s="9" t="s">
        <v>1343</v>
      </c>
      <c r="L785" s="9" t="s">
        <v>260</v>
      </c>
      <c r="M785" s="9">
        <v>2023</v>
      </c>
      <c r="N785" s="9" t="s">
        <v>474</v>
      </c>
      <c r="O785" s="10" t="s">
        <v>474</v>
      </c>
      <c r="P785" s="9" t="s">
        <v>475</v>
      </c>
      <c r="Q785" s="9" t="s">
        <v>264</v>
      </c>
      <c r="R785" s="9" t="s">
        <v>1344</v>
      </c>
      <c r="S785" s="9" t="s">
        <v>2122</v>
      </c>
    </row>
    <row r="786" spans="2:19" x14ac:dyDescent="0.35">
      <c r="B786" s="18" t="s">
        <v>258</v>
      </c>
      <c r="C786" s="9" t="s">
        <v>259</v>
      </c>
      <c r="D786" s="9" t="s">
        <v>799</v>
      </c>
      <c r="E786" s="9" t="s">
        <v>39</v>
      </c>
      <c r="F786" s="17">
        <v>0.32450000000000001</v>
      </c>
      <c r="G786" s="17">
        <v>0.32340000000000002</v>
      </c>
      <c r="H786" s="17">
        <v>2.0000000000000001E-4</v>
      </c>
      <c r="I786" s="17">
        <v>8.9999999999999998E-4</v>
      </c>
      <c r="J786" s="17">
        <v>0</v>
      </c>
      <c r="K786" s="9" t="s">
        <v>1343</v>
      </c>
      <c r="L786" s="9" t="s">
        <v>260</v>
      </c>
      <c r="M786" s="9">
        <v>2022</v>
      </c>
      <c r="N786" s="9" t="s">
        <v>474</v>
      </c>
      <c r="O786" s="10" t="s">
        <v>474</v>
      </c>
      <c r="P786" s="9" t="s">
        <v>475</v>
      </c>
      <c r="Q786" s="9" t="s">
        <v>264</v>
      </c>
      <c r="R786" s="9" t="s">
        <v>1344</v>
      </c>
      <c r="S786" s="9" t="s">
        <v>2123</v>
      </c>
    </row>
    <row r="787" spans="2:19" x14ac:dyDescent="0.35">
      <c r="B787" s="18" t="s">
        <v>258</v>
      </c>
      <c r="C787" s="9" t="s">
        <v>259</v>
      </c>
      <c r="D787" s="9" t="s">
        <v>799</v>
      </c>
      <c r="E787" s="9" t="s">
        <v>39</v>
      </c>
      <c r="F787" s="17">
        <v>0.44950000000000001</v>
      </c>
      <c r="G787" s="17">
        <v>0.4476</v>
      </c>
      <c r="H787" s="17">
        <v>4.0000000000000002E-4</v>
      </c>
      <c r="I787" s="17">
        <v>1.5E-3</v>
      </c>
      <c r="J787" s="17">
        <v>0</v>
      </c>
      <c r="K787" s="9" t="s">
        <v>1343</v>
      </c>
      <c r="L787" s="9" t="s">
        <v>260</v>
      </c>
      <c r="M787" s="9">
        <v>2024</v>
      </c>
      <c r="N787" s="9" t="s">
        <v>383</v>
      </c>
      <c r="O787" s="10" t="s">
        <v>350</v>
      </c>
      <c r="P787" s="9" t="s">
        <v>384</v>
      </c>
      <c r="Q787" s="9" t="s">
        <v>264</v>
      </c>
      <c r="R787" s="9" t="s">
        <v>1344</v>
      </c>
      <c r="S787" s="9" t="s">
        <v>2124</v>
      </c>
    </row>
    <row r="788" spans="2:19" x14ac:dyDescent="0.35">
      <c r="B788" s="18" t="s">
        <v>258</v>
      </c>
      <c r="C788" s="9" t="s">
        <v>259</v>
      </c>
      <c r="D788" s="9" t="s">
        <v>799</v>
      </c>
      <c r="E788" s="9" t="s">
        <v>39</v>
      </c>
      <c r="F788" s="17">
        <v>0.45779999999999998</v>
      </c>
      <c r="G788" s="17">
        <v>0.45590000000000003</v>
      </c>
      <c r="H788" s="17">
        <v>4.0000000000000002E-4</v>
      </c>
      <c r="I788" s="17">
        <v>1.5E-3</v>
      </c>
      <c r="J788" s="17">
        <v>0</v>
      </c>
      <c r="K788" s="9" t="s">
        <v>1343</v>
      </c>
      <c r="L788" s="9" t="s">
        <v>260</v>
      </c>
      <c r="M788" s="9">
        <v>2023</v>
      </c>
      <c r="N788" s="9" t="s">
        <v>383</v>
      </c>
      <c r="O788" s="10" t="s">
        <v>350</v>
      </c>
      <c r="P788" s="9" t="s">
        <v>384</v>
      </c>
      <c r="Q788" s="9" t="s">
        <v>264</v>
      </c>
      <c r="R788" s="9" t="s">
        <v>1344</v>
      </c>
      <c r="S788" s="9" t="s">
        <v>2125</v>
      </c>
    </row>
    <row r="789" spans="2:19" x14ac:dyDescent="0.35">
      <c r="B789" s="18" t="s">
        <v>258</v>
      </c>
      <c r="C789" s="9" t="s">
        <v>259</v>
      </c>
      <c r="D789" s="9" t="s">
        <v>799</v>
      </c>
      <c r="E789" s="9" t="s">
        <v>39</v>
      </c>
      <c r="F789" s="17">
        <v>0.47689999999999999</v>
      </c>
      <c r="G789" s="17">
        <v>0.47499999999999998</v>
      </c>
      <c r="H789" s="17">
        <v>4.0000000000000002E-4</v>
      </c>
      <c r="I789" s="17">
        <v>1.5E-3</v>
      </c>
      <c r="J789" s="17">
        <v>0</v>
      </c>
      <c r="K789" s="9" t="s">
        <v>1343</v>
      </c>
      <c r="L789" s="9" t="s">
        <v>260</v>
      </c>
      <c r="M789" s="9">
        <v>2022</v>
      </c>
      <c r="N789" s="9" t="s">
        <v>383</v>
      </c>
      <c r="O789" s="10" t="s">
        <v>350</v>
      </c>
      <c r="P789" s="9" t="s">
        <v>384</v>
      </c>
      <c r="Q789" s="9" t="s">
        <v>264</v>
      </c>
      <c r="R789" s="9" t="s">
        <v>1344</v>
      </c>
      <c r="S789" s="9" t="s">
        <v>2126</v>
      </c>
    </row>
    <row r="790" spans="2:19" x14ac:dyDescent="0.35">
      <c r="B790" s="18" t="s">
        <v>258</v>
      </c>
      <c r="C790" s="9" t="s">
        <v>259</v>
      </c>
      <c r="D790" s="9" t="s">
        <v>799</v>
      </c>
      <c r="E790" s="9" t="s">
        <v>39</v>
      </c>
      <c r="F790" s="17">
        <v>0.1845</v>
      </c>
      <c r="G790" s="17">
        <v>0.18340000000000001</v>
      </c>
      <c r="H790" s="17">
        <v>2.9999999999999997E-4</v>
      </c>
      <c r="I790" s="17">
        <v>8.0000000000000004E-4</v>
      </c>
      <c r="J790" s="17">
        <v>0</v>
      </c>
      <c r="K790" s="9" t="s">
        <v>1343</v>
      </c>
      <c r="L790" s="9" t="s">
        <v>260</v>
      </c>
      <c r="M790" s="9">
        <v>2024</v>
      </c>
      <c r="N790" s="9" t="s">
        <v>350</v>
      </c>
      <c r="O790" s="10" t="s">
        <v>350</v>
      </c>
      <c r="P790" s="9" t="s">
        <v>351</v>
      </c>
      <c r="Q790" s="9" t="s">
        <v>264</v>
      </c>
      <c r="R790" s="9" t="s">
        <v>1344</v>
      </c>
      <c r="S790" s="9" t="s">
        <v>2127</v>
      </c>
    </row>
    <row r="791" spans="2:19" x14ac:dyDescent="0.35">
      <c r="B791" s="18" t="s">
        <v>258</v>
      </c>
      <c r="C791" s="9" t="s">
        <v>259</v>
      </c>
      <c r="D791" s="9" t="s">
        <v>799</v>
      </c>
      <c r="E791" s="9" t="s">
        <v>39</v>
      </c>
      <c r="F791" s="17">
        <v>0.20330000000000001</v>
      </c>
      <c r="G791" s="17">
        <v>0.20219999999999999</v>
      </c>
      <c r="H791" s="17">
        <v>2.9999999999999997E-4</v>
      </c>
      <c r="I791" s="17">
        <v>8.0000000000000004E-4</v>
      </c>
      <c r="J791" s="17">
        <v>0</v>
      </c>
      <c r="K791" s="9" t="s">
        <v>1343</v>
      </c>
      <c r="L791" s="9" t="s">
        <v>260</v>
      </c>
      <c r="M791" s="9">
        <v>2023</v>
      </c>
      <c r="N791" s="9" t="s">
        <v>350</v>
      </c>
      <c r="O791" s="10" t="s">
        <v>350</v>
      </c>
      <c r="P791" s="9" t="s">
        <v>351</v>
      </c>
      <c r="Q791" s="9" t="s">
        <v>264</v>
      </c>
      <c r="R791" s="9" t="s">
        <v>1344</v>
      </c>
      <c r="S791" s="9" t="s">
        <v>2128</v>
      </c>
    </row>
    <row r="792" spans="2:19" x14ac:dyDescent="0.35">
      <c r="B792" s="18" t="s">
        <v>258</v>
      </c>
      <c r="C792" s="9" t="s">
        <v>259</v>
      </c>
      <c r="D792" s="9" t="s">
        <v>799</v>
      </c>
      <c r="E792" s="9" t="s">
        <v>39</v>
      </c>
      <c r="F792" s="17">
        <v>0.2412</v>
      </c>
      <c r="G792" s="17">
        <v>0.24</v>
      </c>
      <c r="H792" s="17">
        <v>2.9999999999999997E-4</v>
      </c>
      <c r="I792" s="17">
        <v>8.9999999999999998E-4</v>
      </c>
      <c r="J792" s="17">
        <v>0</v>
      </c>
      <c r="K792" s="9" t="s">
        <v>1343</v>
      </c>
      <c r="L792" s="9" t="s">
        <v>260</v>
      </c>
      <c r="M792" s="9">
        <v>2022</v>
      </c>
      <c r="N792" s="9" t="s">
        <v>350</v>
      </c>
      <c r="O792" s="10" t="s">
        <v>350</v>
      </c>
      <c r="P792" s="9" t="s">
        <v>351</v>
      </c>
      <c r="Q792" s="9" t="s">
        <v>264</v>
      </c>
      <c r="R792" s="9" t="s">
        <v>1344</v>
      </c>
      <c r="S792" s="9" t="s">
        <v>2129</v>
      </c>
    </row>
    <row r="793" spans="2:19" x14ac:dyDescent="0.35">
      <c r="B793" s="18" t="s">
        <v>258</v>
      </c>
      <c r="C793" s="9" t="s">
        <v>259</v>
      </c>
      <c r="D793" s="9" t="s">
        <v>799</v>
      </c>
      <c r="E793" s="9" t="s">
        <v>39</v>
      </c>
      <c r="F793" s="17">
        <v>0.29170000000000001</v>
      </c>
      <c r="G793" s="17">
        <v>0.29049999999999998</v>
      </c>
      <c r="H793" s="17">
        <v>2.9999999999999997E-4</v>
      </c>
      <c r="I793" s="17">
        <v>8.9999999999999998E-4</v>
      </c>
      <c r="J793" s="17">
        <v>0</v>
      </c>
      <c r="K793" s="9" t="s">
        <v>1343</v>
      </c>
      <c r="L793" s="9" t="s">
        <v>260</v>
      </c>
      <c r="M793" s="9">
        <v>2024</v>
      </c>
      <c r="N793" s="9" t="s">
        <v>405</v>
      </c>
      <c r="O793" s="10" t="s">
        <v>405</v>
      </c>
      <c r="P793" s="9" t="s">
        <v>406</v>
      </c>
      <c r="Q793" s="9" t="s">
        <v>264</v>
      </c>
      <c r="R793" s="9" t="s">
        <v>1344</v>
      </c>
      <c r="S793" s="9" t="s">
        <v>2130</v>
      </c>
    </row>
    <row r="794" spans="2:19" x14ac:dyDescent="0.35">
      <c r="B794" s="18" t="s">
        <v>258</v>
      </c>
      <c r="C794" s="9" t="s">
        <v>259</v>
      </c>
      <c r="D794" s="9" t="s">
        <v>799</v>
      </c>
      <c r="E794" s="9" t="s">
        <v>39</v>
      </c>
      <c r="F794" s="17">
        <v>0.30309999999999998</v>
      </c>
      <c r="G794" s="17">
        <v>0.3019</v>
      </c>
      <c r="H794" s="17">
        <v>2.9999999999999997E-4</v>
      </c>
      <c r="I794" s="17">
        <v>8.9999999999999998E-4</v>
      </c>
      <c r="J794" s="17">
        <v>0</v>
      </c>
      <c r="K794" s="9" t="s">
        <v>1343</v>
      </c>
      <c r="L794" s="9" t="s">
        <v>260</v>
      </c>
      <c r="M794" s="9">
        <v>2023</v>
      </c>
      <c r="N794" s="9" t="s">
        <v>405</v>
      </c>
      <c r="O794" s="10" t="s">
        <v>405</v>
      </c>
      <c r="P794" s="9" t="s">
        <v>406</v>
      </c>
      <c r="Q794" s="9" t="s">
        <v>264</v>
      </c>
      <c r="R794" s="9" t="s">
        <v>1344</v>
      </c>
      <c r="S794" s="9" t="s">
        <v>2131</v>
      </c>
    </row>
    <row r="795" spans="2:19" x14ac:dyDescent="0.35">
      <c r="B795" s="18" t="s">
        <v>258</v>
      </c>
      <c r="C795" s="9" t="s">
        <v>259</v>
      </c>
      <c r="D795" s="9" t="s">
        <v>799</v>
      </c>
      <c r="E795" s="9" t="s">
        <v>39</v>
      </c>
      <c r="F795" s="17">
        <v>0.3256</v>
      </c>
      <c r="G795" s="17">
        <v>0.32429999999999998</v>
      </c>
      <c r="H795" s="17">
        <v>2.9999999999999997E-4</v>
      </c>
      <c r="I795" s="17">
        <v>1E-3</v>
      </c>
      <c r="J795" s="17">
        <v>0</v>
      </c>
      <c r="K795" s="9" t="s">
        <v>1343</v>
      </c>
      <c r="L795" s="9" t="s">
        <v>260</v>
      </c>
      <c r="M795" s="9">
        <v>2022</v>
      </c>
      <c r="N795" s="9" t="s">
        <v>405</v>
      </c>
      <c r="O795" s="10" t="s">
        <v>405</v>
      </c>
      <c r="P795" s="9" t="s">
        <v>406</v>
      </c>
      <c r="Q795" s="9" t="s">
        <v>264</v>
      </c>
      <c r="R795" s="9" t="s">
        <v>1344</v>
      </c>
      <c r="S795" s="9" t="s">
        <v>2132</v>
      </c>
    </row>
    <row r="796" spans="2:19" x14ac:dyDescent="0.35">
      <c r="B796" s="18" t="s">
        <v>258</v>
      </c>
      <c r="C796" s="9" t="s">
        <v>259</v>
      </c>
      <c r="D796" s="9" t="s">
        <v>799</v>
      </c>
      <c r="E796" s="9" t="s">
        <v>39</v>
      </c>
      <c r="F796" s="17">
        <v>0.37</v>
      </c>
      <c r="G796" s="17">
        <v>0.36959999999999998</v>
      </c>
      <c r="H796" s="17">
        <v>2.0000000000000001E-4</v>
      </c>
      <c r="I796" s="17">
        <v>2.0000000000000001E-4</v>
      </c>
      <c r="J796" s="17">
        <v>0</v>
      </c>
      <c r="K796" s="9" t="s">
        <v>1343</v>
      </c>
      <c r="L796" s="9" t="s">
        <v>260</v>
      </c>
      <c r="M796" s="9">
        <v>2022</v>
      </c>
      <c r="N796" s="9" t="s">
        <v>691</v>
      </c>
      <c r="O796" s="10" t="s">
        <v>692</v>
      </c>
      <c r="P796" s="9" t="s">
        <v>693</v>
      </c>
      <c r="Q796" s="9" t="s">
        <v>264</v>
      </c>
      <c r="R796" s="9" t="s">
        <v>1344</v>
      </c>
      <c r="S796" s="9" t="s">
        <v>2133</v>
      </c>
    </row>
    <row r="797" spans="2:19" x14ac:dyDescent="0.35">
      <c r="B797" s="18" t="s">
        <v>258</v>
      </c>
      <c r="C797" s="9" t="s">
        <v>259</v>
      </c>
      <c r="D797" s="9" t="s">
        <v>799</v>
      </c>
      <c r="E797" s="9" t="s">
        <v>39</v>
      </c>
      <c r="F797" s="17">
        <v>0.39029999999999998</v>
      </c>
      <c r="G797" s="17">
        <v>0.38990000000000002</v>
      </c>
      <c r="H797" s="17">
        <v>2.0000000000000001E-4</v>
      </c>
      <c r="I797" s="17">
        <v>2.0000000000000001E-4</v>
      </c>
      <c r="J797" s="17">
        <v>0</v>
      </c>
      <c r="K797" s="9" t="s">
        <v>1343</v>
      </c>
      <c r="L797" s="9" t="s">
        <v>260</v>
      </c>
      <c r="M797" s="9">
        <v>2023</v>
      </c>
      <c r="N797" s="9" t="s">
        <v>691</v>
      </c>
      <c r="O797" s="10" t="s">
        <v>692</v>
      </c>
      <c r="P797" s="9" t="s">
        <v>693</v>
      </c>
      <c r="Q797" s="9" t="s">
        <v>264</v>
      </c>
      <c r="R797" s="9" t="s">
        <v>1344</v>
      </c>
      <c r="S797" s="9" t="s">
        <v>2134</v>
      </c>
    </row>
    <row r="798" spans="2:19" x14ac:dyDescent="0.35">
      <c r="B798" s="18" t="s">
        <v>800</v>
      </c>
      <c r="C798" s="9" t="s">
        <v>801</v>
      </c>
      <c r="D798" s="9" t="s">
        <v>799</v>
      </c>
      <c r="E798" s="9" t="s">
        <v>39</v>
      </c>
      <c r="F798" s="17">
        <v>3.44E-2</v>
      </c>
      <c r="G798" s="17"/>
      <c r="H798" s="17"/>
      <c r="I798" s="17"/>
      <c r="J798" s="17">
        <v>3.44E-2</v>
      </c>
      <c r="K798" s="9" t="s">
        <v>1343</v>
      </c>
      <c r="L798" s="9" t="s">
        <v>802</v>
      </c>
      <c r="M798" s="9">
        <v>2023</v>
      </c>
      <c r="N798" s="9" t="s">
        <v>691</v>
      </c>
      <c r="O798" s="10" t="s">
        <v>692</v>
      </c>
      <c r="P798" s="9" t="s">
        <v>693</v>
      </c>
      <c r="Q798" s="9" t="s">
        <v>264</v>
      </c>
      <c r="R798" s="9" t="s">
        <v>1344</v>
      </c>
      <c r="S798" s="9" t="s">
        <v>2135</v>
      </c>
    </row>
    <row r="799" spans="2:19" x14ac:dyDescent="0.35">
      <c r="B799" s="18" t="s">
        <v>800</v>
      </c>
      <c r="C799" s="9" t="s">
        <v>801</v>
      </c>
      <c r="D799" s="9" t="s">
        <v>799</v>
      </c>
      <c r="E799" s="9" t="s">
        <v>39</v>
      </c>
      <c r="F799" s="17">
        <v>3.8800000000000001E-2</v>
      </c>
      <c r="G799" s="17"/>
      <c r="H799" s="17"/>
      <c r="I799" s="17"/>
      <c r="J799" s="17">
        <v>3.8800000000000001E-2</v>
      </c>
      <c r="K799" s="9" t="s">
        <v>1343</v>
      </c>
      <c r="L799" s="9" t="s">
        <v>802</v>
      </c>
      <c r="M799" s="9">
        <v>2022</v>
      </c>
      <c r="N799" s="9" t="s">
        <v>691</v>
      </c>
      <c r="O799" s="10" t="s">
        <v>692</v>
      </c>
      <c r="P799" s="9" t="s">
        <v>693</v>
      </c>
      <c r="Q799" s="9" t="s">
        <v>264</v>
      </c>
      <c r="R799" s="9" t="s">
        <v>1344</v>
      </c>
      <c r="S799" s="9" t="s">
        <v>2136</v>
      </c>
    </row>
    <row r="800" spans="2:19" x14ac:dyDescent="0.35">
      <c r="B800" s="18" t="s">
        <v>800</v>
      </c>
      <c r="C800" s="9" t="s">
        <v>803</v>
      </c>
      <c r="D800" s="9" t="s">
        <v>799</v>
      </c>
      <c r="E800" s="9" t="s">
        <v>39</v>
      </c>
      <c r="F800" s="17">
        <v>5.3699999999999998E-2</v>
      </c>
      <c r="G800" s="17"/>
      <c r="H800" s="17"/>
      <c r="I800" s="17"/>
      <c r="J800" s="17">
        <v>5.3699999999999998E-2</v>
      </c>
      <c r="K800" s="9" t="s">
        <v>1343</v>
      </c>
      <c r="L800" s="9" t="s">
        <v>804</v>
      </c>
      <c r="M800" s="9">
        <v>2022</v>
      </c>
      <c r="N800" s="9" t="s">
        <v>691</v>
      </c>
      <c r="O800" s="10" t="s">
        <v>692</v>
      </c>
      <c r="P800" s="9" t="s">
        <v>693</v>
      </c>
      <c r="Q800" s="9" t="s">
        <v>264</v>
      </c>
      <c r="R800" s="9" t="s">
        <v>1344</v>
      </c>
      <c r="S800" s="9" t="s">
        <v>2137</v>
      </c>
    </row>
    <row r="801" spans="2:19" x14ac:dyDescent="0.35">
      <c r="B801" s="18" t="s">
        <v>800</v>
      </c>
      <c r="C801" s="9" t="s">
        <v>803</v>
      </c>
      <c r="D801" s="9" t="s">
        <v>799</v>
      </c>
      <c r="E801" s="9" t="s">
        <v>39</v>
      </c>
      <c r="F801" s="17">
        <v>5.6000000000000001E-2</v>
      </c>
      <c r="G801" s="17"/>
      <c r="H801" s="17"/>
      <c r="I801" s="17"/>
      <c r="J801" s="17">
        <v>5.6000000000000001E-2</v>
      </c>
      <c r="K801" s="9" t="s">
        <v>1343</v>
      </c>
      <c r="L801" s="9" t="s">
        <v>804</v>
      </c>
      <c r="M801" s="9">
        <v>2023</v>
      </c>
      <c r="N801" s="9" t="s">
        <v>691</v>
      </c>
      <c r="O801" s="10" t="s">
        <v>692</v>
      </c>
      <c r="P801" s="9" t="s">
        <v>693</v>
      </c>
      <c r="Q801" s="9" t="s">
        <v>264</v>
      </c>
      <c r="R801" s="9" t="s">
        <v>1344</v>
      </c>
      <c r="S801" s="9" t="s">
        <v>2138</v>
      </c>
    </row>
    <row r="802" spans="2:19" x14ac:dyDescent="0.35">
      <c r="B802" s="18" t="s">
        <v>258</v>
      </c>
      <c r="C802" s="9" t="s">
        <v>259</v>
      </c>
      <c r="D802" s="9" t="s">
        <v>799</v>
      </c>
      <c r="E802" s="9" t="s">
        <v>39</v>
      </c>
      <c r="F802" s="17">
        <v>0.52449999999999997</v>
      </c>
      <c r="G802" s="17">
        <v>0.52349999999999997</v>
      </c>
      <c r="H802" s="17">
        <v>4.0000000000000002E-4</v>
      </c>
      <c r="I802" s="17">
        <v>5.9999999999999995E-4</v>
      </c>
      <c r="J802" s="17">
        <v>0</v>
      </c>
      <c r="K802" s="9" t="s">
        <v>1343</v>
      </c>
      <c r="L802" s="9" t="s">
        <v>260</v>
      </c>
      <c r="M802" s="9">
        <v>2023</v>
      </c>
      <c r="N802" s="9" t="s">
        <v>542</v>
      </c>
      <c r="O802" s="10" t="s">
        <v>542</v>
      </c>
      <c r="P802" s="9" t="s">
        <v>543</v>
      </c>
      <c r="Q802" s="9" t="s">
        <v>264</v>
      </c>
      <c r="R802" s="9" t="s">
        <v>1344</v>
      </c>
      <c r="S802" s="9" t="s">
        <v>2139</v>
      </c>
    </row>
    <row r="803" spans="2:19" x14ac:dyDescent="0.35">
      <c r="B803" s="18" t="s">
        <v>258</v>
      </c>
      <c r="C803" s="9" t="s">
        <v>259</v>
      </c>
      <c r="D803" s="9" t="s">
        <v>799</v>
      </c>
      <c r="E803" s="9" t="s">
        <v>39</v>
      </c>
      <c r="F803" s="17">
        <v>0.53549999999999998</v>
      </c>
      <c r="G803" s="17">
        <v>0.53449999999999998</v>
      </c>
      <c r="H803" s="17">
        <v>4.0000000000000002E-4</v>
      </c>
      <c r="I803" s="17">
        <v>5.9999999999999995E-4</v>
      </c>
      <c r="J803" s="17">
        <v>0</v>
      </c>
      <c r="K803" s="9" t="s">
        <v>1343</v>
      </c>
      <c r="L803" s="9" t="s">
        <v>260</v>
      </c>
      <c r="M803" s="9">
        <v>2022</v>
      </c>
      <c r="N803" s="9" t="s">
        <v>542</v>
      </c>
      <c r="O803" s="10" t="s">
        <v>542</v>
      </c>
      <c r="P803" s="9" t="s">
        <v>543</v>
      </c>
      <c r="Q803" s="9" t="s">
        <v>264</v>
      </c>
      <c r="R803" s="9" t="s">
        <v>1344</v>
      </c>
      <c r="S803" s="9" t="s">
        <v>2140</v>
      </c>
    </row>
    <row r="804" spans="2:19" x14ac:dyDescent="0.35">
      <c r="B804" s="18" t="s">
        <v>258</v>
      </c>
      <c r="C804" s="9" t="s">
        <v>259</v>
      </c>
      <c r="D804" s="9" t="s">
        <v>799</v>
      </c>
      <c r="E804" s="9" t="s">
        <v>39</v>
      </c>
      <c r="F804" s="17">
        <v>0.3957</v>
      </c>
      <c r="G804" s="17">
        <v>0.39419999999999999</v>
      </c>
      <c r="H804" s="17">
        <v>5.0000000000000001E-4</v>
      </c>
      <c r="I804" s="17">
        <v>1E-3</v>
      </c>
      <c r="J804" s="17">
        <v>0</v>
      </c>
      <c r="K804" s="9" t="s">
        <v>1343</v>
      </c>
      <c r="L804" s="9" t="s">
        <v>260</v>
      </c>
      <c r="M804" s="9">
        <v>2023</v>
      </c>
      <c r="N804" s="9" t="s">
        <v>540</v>
      </c>
      <c r="O804" s="10" t="s">
        <v>540</v>
      </c>
      <c r="P804" s="9" t="s">
        <v>541</v>
      </c>
      <c r="Q804" s="9" t="s">
        <v>264</v>
      </c>
      <c r="R804" s="9" t="s">
        <v>1344</v>
      </c>
      <c r="S804" s="9" t="s">
        <v>2141</v>
      </c>
    </row>
    <row r="805" spans="2:19" x14ac:dyDescent="0.35">
      <c r="B805" s="18" t="s">
        <v>258</v>
      </c>
      <c r="C805" s="9" t="s">
        <v>259</v>
      </c>
      <c r="D805" s="9" t="s">
        <v>799</v>
      </c>
      <c r="E805" s="9" t="s">
        <v>39</v>
      </c>
      <c r="F805" s="17">
        <v>0.4093</v>
      </c>
      <c r="G805" s="17">
        <v>0.40770000000000001</v>
      </c>
      <c r="H805" s="17">
        <v>5.9999999999999995E-4</v>
      </c>
      <c r="I805" s="17">
        <v>1E-3</v>
      </c>
      <c r="J805" s="17">
        <v>0</v>
      </c>
      <c r="K805" s="9" t="s">
        <v>1343</v>
      </c>
      <c r="L805" s="9" t="s">
        <v>260</v>
      </c>
      <c r="M805" s="9">
        <v>2022</v>
      </c>
      <c r="N805" s="9" t="s">
        <v>540</v>
      </c>
      <c r="O805" s="10" t="s">
        <v>540</v>
      </c>
      <c r="P805" s="9" t="s">
        <v>541</v>
      </c>
      <c r="Q805" s="9" t="s">
        <v>264</v>
      </c>
      <c r="R805" s="9" t="s">
        <v>1344</v>
      </c>
      <c r="S805" s="9" t="s">
        <v>2142</v>
      </c>
    </row>
    <row r="806" spans="2:19" x14ac:dyDescent="0.35">
      <c r="B806" s="18" t="s">
        <v>258</v>
      </c>
      <c r="C806" s="9" t="s">
        <v>259</v>
      </c>
      <c r="D806" s="9" t="s">
        <v>799</v>
      </c>
      <c r="E806" s="9" t="s">
        <v>39</v>
      </c>
      <c r="F806" s="17">
        <v>0.60570000000000002</v>
      </c>
      <c r="G806" s="17">
        <v>0.60370000000000001</v>
      </c>
      <c r="H806" s="17">
        <v>6.9999999999999999E-4</v>
      </c>
      <c r="I806" s="17">
        <v>1.2999999999999999E-3</v>
      </c>
      <c r="J806" s="17">
        <v>0</v>
      </c>
      <c r="K806" s="9" t="s">
        <v>1343</v>
      </c>
      <c r="L806" s="9" t="s">
        <v>260</v>
      </c>
      <c r="M806" s="9">
        <v>2022</v>
      </c>
      <c r="N806" s="9" t="s">
        <v>517</v>
      </c>
      <c r="O806" s="10" t="s">
        <v>517</v>
      </c>
      <c r="P806" s="9" t="s">
        <v>518</v>
      </c>
      <c r="Q806" s="9" t="s">
        <v>264</v>
      </c>
      <c r="R806" s="9" t="s">
        <v>1344</v>
      </c>
      <c r="S806" s="9" t="s">
        <v>2143</v>
      </c>
    </row>
    <row r="807" spans="2:19" x14ac:dyDescent="0.35">
      <c r="B807" s="18" t="s">
        <v>258</v>
      </c>
      <c r="C807" s="9" t="s">
        <v>259</v>
      </c>
      <c r="D807" s="9" t="s">
        <v>799</v>
      </c>
      <c r="E807" s="9" t="s">
        <v>39</v>
      </c>
      <c r="F807" s="17">
        <v>0.61060000000000003</v>
      </c>
      <c r="G807" s="17">
        <v>0.60860000000000003</v>
      </c>
      <c r="H807" s="17">
        <v>6.9999999999999999E-4</v>
      </c>
      <c r="I807" s="17">
        <v>1.2999999999999999E-3</v>
      </c>
      <c r="J807" s="17">
        <v>0</v>
      </c>
      <c r="K807" s="9" t="s">
        <v>1343</v>
      </c>
      <c r="L807" s="9" t="s">
        <v>260</v>
      </c>
      <c r="M807" s="9">
        <v>2023</v>
      </c>
      <c r="N807" s="9" t="s">
        <v>517</v>
      </c>
      <c r="O807" s="10" t="s">
        <v>517</v>
      </c>
      <c r="P807" s="9" t="s">
        <v>518</v>
      </c>
      <c r="Q807" s="9" t="s">
        <v>264</v>
      </c>
      <c r="R807" s="9" t="s">
        <v>1344</v>
      </c>
      <c r="S807" s="9" t="s">
        <v>2144</v>
      </c>
    </row>
    <row r="808" spans="2:19" x14ac:dyDescent="0.35">
      <c r="B808" s="18" t="s">
        <v>258</v>
      </c>
      <c r="C808" s="9" t="s">
        <v>259</v>
      </c>
      <c r="D808" s="9" t="s">
        <v>799</v>
      </c>
      <c r="E808" s="9" t="s">
        <v>39</v>
      </c>
      <c r="F808" s="17">
        <v>0.33410000000000001</v>
      </c>
      <c r="G808" s="17">
        <v>0.33279999999999998</v>
      </c>
      <c r="H808" s="17">
        <v>4.0000000000000002E-4</v>
      </c>
      <c r="I808" s="17">
        <v>8.9999999999999998E-4</v>
      </c>
      <c r="J808" s="17">
        <v>0</v>
      </c>
      <c r="K808" s="9" t="s">
        <v>1343</v>
      </c>
      <c r="L808" s="9" t="s">
        <v>260</v>
      </c>
      <c r="M808" s="9">
        <v>2023</v>
      </c>
      <c r="N808" s="9" t="s">
        <v>552</v>
      </c>
      <c r="O808" s="10" t="s">
        <v>552</v>
      </c>
      <c r="P808" s="9" t="s">
        <v>553</v>
      </c>
      <c r="Q808" s="9" t="s">
        <v>264</v>
      </c>
      <c r="R808" s="9" t="s">
        <v>1344</v>
      </c>
      <c r="S808" s="9" t="s">
        <v>2145</v>
      </c>
    </row>
    <row r="809" spans="2:19" x14ac:dyDescent="0.35">
      <c r="B809" s="18" t="s">
        <v>258</v>
      </c>
      <c r="C809" s="9" t="s">
        <v>259</v>
      </c>
      <c r="D809" s="9" t="s">
        <v>799</v>
      </c>
      <c r="E809" s="9" t="s">
        <v>39</v>
      </c>
      <c r="F809" s="17">
        <v>0.33710000000000001</v>
      </c>
      <c r="G809" s="17">
        <v>0.3357</v>
      </c>
      <c r="H809" s="17">
        <v>4.0000000000000002E-4</v>
      </c>
      <c r="I809" s="17">
        <v>1E-3</v>
      </c>
      <c r="J809" s="17">
        <v>0</v>
      </c>
      <c r="K809" s="9" t="s">
        <v>1343</v>
      </c>
      <c r="L809" s="9" t="s">
        <v>260</v>
      </c>
      <c r="M809" s="9">
        <v>2022</v>
      </c>
      <c r="N809" s="9" t="s">
        <v>552</v>
      </c>
      <c r="O809" s="10" t="s">
        <v>552</v>
      </c>
      <c r="P809" s="9" t="s">
        <v>553</v>
      </c>
      <c r="Q809" s="9" t="s">
        <v>264</v>
      </c>
      <c r="R809" s="9" t="s">
        <v>1344</v>
      </c>
      <c r="S809" s="9" t="s">
        <v>2146</v>
      </c>
    </row>
    <row r="810" spans="2:19" x14ac:dyDescent="0.35">
      <c r="B810" s="18" t="s">
        <v>258</v>
      </c>
      <c r="C810" s="9" t="s">
        <v>259</v>
      </c>
      <c r="D810" s="9" t="s">
        <v>799</v>
      </c>
      <c r="E810" s="9" t="s">
        <v>39</v>
      </c>
      <c r="F810" s="17">
        <v>0.3473</v>
      </c>
      <c r="G810" s="17">
        <v>0.34610000000000002</v>
      </c>
      <c r="H810" s="17">
        <v>2.9999999999999997E-4</v>
      </c>
      <c r="I810" s="17">
        <v>8.9999999999999998E-4</v>
      </c>
      <c r="J810" s="17">
        <v>0</v>
      </c>
      <c r="K810" s="9" t="s">
        <v>1343</v>
      </c>
      <c r="L810" s="9" t="s">
        <v>260</v>
      </c>
      <c r="M810" s="9">
        <v>2023</v>
      </c>
      <c r="N810" s="9" t="s">
        <v>569</v>
      </c>
      <c r="O810" s="10" t="s">
        <v>570</v>
      </c>
      <c r="P810" s="9" t="s">
        <v>571</v>
      </c>
      <c r="Q810" s="9" t="s">
        <v>264</v>
      </c>
      <c r="R810" s="9" t="s">
        <v>1344</v>
      </c>
      <c r="S810" s="9" t="s">
        <v>2147</v>
      </c>
    </row>
    <row r="811" spans="2:19" x14ac:dyDescent="0.35">
      <c r="B811" s="18" t="s">
        <v>258</v>
      </c>
      <c r="C811" s="9" t="s">
        <v>259</v>
      </c>
      <c r="D811" s="9" t="s">
        <v>799</v>
      </c>
      <c r="E811" s="9" t="s">
        <v>39</v>
      </c>
      <c r="F811" s="17">
        <v>0.35239999999999999</v>
      </c>
      <c r="G811" s="17">
        <v>0.35120000000000001</v>
      </c>
      <c r="H811" s="17">
        <v>2.9999999999999997E-4</v>
      </c>
      <c r="I811" s="17">
        <v>8.9999999999999998E-4</v>
      </c>
      <c r="J811" s="17">
        <v>0</v>
      </c>
      <c r="K811" s="9" t="s">
        <v>1343</v>
      </c>
      <c r="L811" s="9" t="s">
        <v>260</v>
      </c>
      <c r="M811" s="9">
        <v>2022</v>
      </c>
      <c r="N811" s="9" t="s">
        <v>569</v>
      </c>
      <c r="O811" s="10" t="s">
        <v>570</v>
      </c>
      <c r="P811" s="9" t="s">
        <v>571</v>
      </c>
      <c r="Q811" s="9" t="s">
        <v>264</v>
      </c>
      <c r="R811" s="9" t="s">
        <v>1344</v>
      </c>
      <c r="S811" s="9" t="s">
        <v>2148</v>
      </c>
    </row>
    <row r="812" spans="2:19" x14ac:dyDescent="0.35">
      <c r="B812" s="18" t="s">
        <v>800</v>
      </c>
      <c r="C812" s="9" t="s">
        <v>801</v>
      </c>
      <c r="D812" s="9" t="s">
        <v>799</v>
      </c>
      <c r="E812" s="9" t="s">
        <v>39</v>
      </c>
      <c r="F812" s="17">
        <v>6.3899999999999998E-2</v>
      </c>
      <c r="G812" s="17"/>
      <c r="H812" s="17"/>
      <c r="I812" s="17"/>
      <c r="J812" s="17">
        <v>6.3899999999999998E-2</v>
      </c>
      <c r="K812" s="9" t="s">
        <v>1343</v>
      </c>
      <c r="L812" s="9" t="s">
        <v>802</v>
      </c>
      <c r="M812" s="9">
        <v>2022</v>
      </c>
      <c r="N812" s="9" t="s">
        <v>569</v>
      </c>
      <c r="O812" s="10" t="s">
        <v>570</v>
      </c>
      <c r="P812" s="9" t="s">
        <v>571</v>
      </c>
      <c r="Q812" s="9" t="s">
        <v>264</v>
      </c>
      <c r="R812" s="9" t="s">
        <v>1344</v>
      </c>
      <c r="S812" s="9" t="s">
        <v>2149</v>
      </c>
    </row>
    <row r="813" spans="2:19" x14ac:dyDescent="0.35">
      <c r="B813" s="18" t="s">
        <v>800</v>
      </c>
      <c r="C813" s="9" t="s">
        <v>801</v>
      </c>
      <c r="D813" s="9" t="s">
        <v>799</v>
      </c>
      <c r="E813" s="9" t="s">
        <v>39</v>
      </c>
      <c r="F813" s="17">
        <v>6.5199999999999994E-2</v>
      </c>
      <c r="G813" s="17"/>
      <c r="H813" s="17"/>
      <c r="I813" s="17"/>
      <c r="J813" s="17">
        <v>6.5199999999999994E-2</v>
      </c>
      <c r="K813" s="9" t="s">
        <v>1343</v>
      </c>
      <c r="L813" s="9" t="s">
        <v>802</v>
      </c>
      <c r="M813" s="9">
        <v>2023</v>
      </c>
      <c r="N813" s="9" t="s">
        <v>569</v>
      </c>
      <c r="O813" s="10" t="s">
        <v>570</v>
      </c>
      <c r="P813" s="9" t="s">
        <v>571</v>
      </c>
      <c r="Q813" s="9" t="s">
        <v>264</v>
      </c>
      <c r="R813" s="9" t="s">
        <v>1344</v>
      </c>
      <c r="S813" s="9" t="s">
        <v>2150</v>
      </c>
    </row>
    <row r="814" spans="2:19" x14ac:dyDescent="0.35">
      <c r="B814" s="18" t="s">
        <v>800</v>
      </c>
      <c r="C814" s="9" t="s">
        <v>803</v>
      </c>
      <c r="D814" s="9" t="s">
        <v>799</v>
      </c>
      <c r="E814" s="9" t="s">
        <v>39</v>
      </c>
      <c r="F814" s="17">
        <v>6.8900000000000003E-2</v>
      </c>
      <c r="G814" s="17"/>
      <c r="H814" s="17"/>
      <c r="I814" s="17"/>
      <c r="J814" s="17">
        <v>6.8900000000000003E-2</v>
      </c>
      <c r="K814" s="9" t="s">
        <v>1343</v>
      </c>
      <c r="L814" s="9" t="s">
        <v>804</v>
      </c>
      <c r="M814" s="9">
        <v>2023</v>
      </c>
      <c r="N814" s="9" t="s">
        <v>569</v>
      </c>
      <c r="O814" s="10" t="s">
        <v>570</v>
      </c>
      <c r="P814" s="9" t="s">
        <v>571</v>
      </c>
      <c r="Q814" s="9" t="s">
        <v>264</v>
      </c>
      <c r="R814" s="9" t="s">
        <v>1344</v>
      </c>
      <c r="S814" s="9" t="s">
        <v>2151</v>
      </c>
    </row>
    <row r="815" spans="2:19" x14ac:dyDescent="0.35">
      <c r="B815" s="18" t="s">
        <v>800</v>
      </c>
      <c r="C815" s="9" t="s">
        <v>803</v>
      </c>
      <c r="D815" s="9" t="s">
        <v>799</v>
      </c>
      <c r="E815" s="9" t="s">
        <v>39</v>
      </c>
      <c r="F815" s="17">
        <v>6.9800000000000001E-2</v>
      </c>
      <c r="G815" s="17"/>
      <c r="H815" s="17"/>
      <c r="I815" s="17"/>
      <c r="J815" s="17">
        <v>6.9800000000000001E-2</v>
      </c>
      <c r="K815" s="9" t="s">
        <v>1343</v>
      </c>
      <c r="L815" s="9" t="s">
        <v>804</v>
      </c>
      <c r="M815" s="9">
        <v>2022</v>
      </c>
      <c r="N815" s="9" t="s">
        <v>569</v>
      </c>
      <c r="O815" s="10" t="s">
        <v>570</v>
      </c>
      <c r="P815" s="9" t="s">
        <v>571</v>
      </c>
      <c r="Q815" s="9" t="s">
        <v>264</v>
      </c>
      <c r="R815" s="9" t="s">
        <v>1344</v>
      </c>
      <c r="S815" s="9" t="s">
        <v>2152</v>
      </c>
    </row>
    <row r="816" spans="2:19" x14ac:dyDescent="0.35">
      <c r="B816" s="18" t="s">
        <v>258</v>
      </c>
      <c r="C816" s="9" t="s">
        <v>259</v>
      </c>
      <c r="D816" s="9" t="s">
        <v>799</v>
      </c>
      <c r="E816" s="9" t="s">
        <v>39</v>
      </c>
      <c r="F816" s="17">
        <v>0.41449999999999998</v>
      </c>
      <c r="G816" s="17">
        <v>0.41310000000000002</v>
      </c>
      <c r="H816" s="17">
        <v>5.0000000000000001E-4</v>
      </c>
      <c r="I816" s="17">
        <v>8.9999999999999998E-4</v>
      </c>
      <c r="J816" s="17">
        <v>0</v>
      </c>
      <c r="K816" s="9" t="s">
        <v>1343</v>
      </c>
      <c r="L816" s="9" t="s">
        <v>260</v>
      </c>
      <c r="M816" s="9">
        <v>2023</v>
      </c>
      <c r="N816" s="9" t="s">
        <v>429</v>
      </c>
      <c r="O816" s="10" t="s">
        <v>430</v>
      </c>
      <c r="P816" s="9" t="s">
        <v>431</v>
      </c>
      <c r="Q816" s="9" t="s">
        <v>264</v>
      </c>
      <c r="R816" s="9" t="s">
        <v>1344</v>
      </c>
      <c r="S816" s="9" t="s">
        <v>2153</v>
      </c>
    </row>
    <row r="817" spans="2:19" x14ac:dyDescent="0.35">
      <c r="B817" s="18" t="s">
        <v>258</v>
      </c>
      <c r="C817" s="9" t="s">
        <v>259</v>
      </c>
      <c r="D817" s="9" t="s">
        <v>799</v>
      </c>
      <c r="E817" s="9" t="s">
        <v>39</v>
      </c>
      <c r="F817" s="17">
        <v>0.4466</v>
      </c>
      <c r="G817" s="17">
        <v>0.4451</v>
      </c>
      <c r="H817" s="17">
        <v>5.0000000000000001E-4</v>
      </c>
      <c r="I817" s="17">
        <v>1E-3</v>
      </c>
      <c r="J817" s="17">
        <v>0</v>
      </c>
      <c r="K817" s="9" t="s">
        <v>1343</v>
      </c>
      <c r="L817" s="9" t="s">
        <v>260</v>
      </c>
      <c r="M817" s="9">
        <v>2022</v>
      </c>
      <c r="N817" s="9" t="s">
        <v>429</v>
      </c>
      <c r="O817" s="10" t="s">
        <v>430</v>
      </c>
      <c r="P817" s="9" t="s">
        <v>431</v>
      </c>
      <c r="Q817" s="9" t="s">
        <v>264</v>
      </c>
      <c r="R817" s="9" t="s">
        <v>1344</v>
      </c>
      <c r="S817" s="9" t="s">
        <v>2154</v>
      </c>
    </row>
    <row r="818" spans="2:19" x14ac:dyDescent="0.35">
      <c r="B818" s="18" t="s">
        <v>258</v>
      </c>
      <c r="C818" s="9" t="s">
        <v>259</v>
      </c>
      <c r="D818" s="9" t="s">
        <v>799</v>
      </c>
      <c r="E818" s="9" t="s">
        <v>39</v>
      </c>
      <c r="F818" s="17">
        <v>0.27400000000000002</v>
      </c>
      <c r="G818" s="17">
        <v>0.27260000000000001</v>
      </c>
      <c r="H818" s="17">
        <v>2.9999999999999997E-4</v>
      </c>
      <c r="I818" s="17">
        <v>1.1000000000000001E-3</v>
      </c>
      <c r="J818" s="17">
        <v>0</v>
      </c>
      <c r="K818" s="9" t="s">
        <v>1343</v>
      </c>
      <c r="L818" s="9" t="s">
        <v>260</v>
      </c>
      <c r="M818" s="9">
        <v>2022</v>
      </c>
      <c r="N818" s="9" t="s">
        <v>640</v>
      </c>
      <c r="O818" s="10" t="s">
        <v>641</v>
      </c>
      <c r="P818" s="9" t="s">
        <v>642</v>
      </c>
      <c r="Q818" s="9" t="s">
        <v>264</v>
      </c>
      <c r="R818" s="9" t="s">
        <v>1344</v>
      </c>
      <c r="S818" s="9" t="s">
        <v>2155</v>
      </c>
    </row>
    <row r="819" spans="2:19" x14ac:dyDescent="0.35">
      <c r="B819" s="18" t="s">
        <v>258</v>
      </c>
      <c r="C819" s="9" t="s">
        <v>259</v>
      </c>
      <c r="D819" s="9" t="s">
        <v>799</v>
      </c>
      <c r="E819" s="9" t="s">
        <v>39</v>
      </c>
      <c r="F819" s="17">
        <v>0.31719999999999998</v>
      </c>
      <c r="G819" s="17">
        <v>0.31580000000000003</v>
      </c>
      <c r="H819" s="17">
        <v>2.9999999999999997E-4</v>
      </c>
      <c r="I819" s="17">
        <v>1.1000000000000001E-3</v>
      </c>
      <c r="J819" s="17">
        <v>0</v>
      </c>
      <c r="K819" s="9" t="s">
        <v>1343</v>
      </c>
      <c r="L819" s="9" t="s">
        <v>260</v>
      </c>
      <c r="M819" s="9">
        <v>2023</v>
      </c>
      <c r="N819" s="9" t="s">
        <v>640</v>
      </c>
      <c r="O819" s="10" t="s">
        <v>641</v>
      </c>
      <c r="P819" s="9" t="s">
        <v>642</v>
      </c>
      <c r="Q819" s="9" t="s">
        <v>264</v>
      </c>
      <c r="R819" s="9" t="s">
        <v>1344</v>
      </c>
      <c r="S819" s="9" t="s">
        <v>2156</v>
      </c>
    </row>
    <row r="820" spans="2:19" x14ac:dyDescent="0.35">
      <c r="B820" s="18" t="s">
        <v>800</v>
      </c>
      <c r="C820" s="9" t="s">
        <v>801</v>
      </c>
      <c r="D820" s="9" t="s">
        <v>799</v>
      </c>
      <c r="E820" s="9" t="s">
        <v>39</v>
      </c>
      <c r="F820" s="17">
        <v>2.23E-2</v>
      </c>
      <c r="G820" s="17"/>
      <c r="H820" s="17"/>
      <c r="I820" s="17"/>
      <c r="J820" s="17">
        <v>2.23E-2</v>
      </c>
      <c r="K820" s="9" t="s">
        <v>1343</v>
      </c>
      <c r="L820" s="9" t="s">
        <v>802</v>
      </c>
      <c r="M820" s="9">
        <v>2022</v>
      </c>
      <c r="N820" s="9" t="s">
        <v>640</v>
      </c>
      <c r="O820" s="10" t="s">
        <v>641</v>
      </c>
      <c r="P820" s="9" t="s">
        <v>642</v>
      </c>
      <c r="Q820" s="9" t="s">
        <v>264</v>
      </c>
      <c r="R820" s="9" t="s">
        <v>1344</v>
      </c>
      <c r="S820" s="9" t="s">
        <v>2157</v>
      </c>
    </row>
    <row r="821" spans="2:19" x14ac:dyDescent="0.35">
      <c r="B821" s="18" t="s">
        <v>800</v>
      </c>
      <c r="C821" s="9" t="s">
        <v>801</v>
      </c>
      <c r="D821" s="9" t="s">
        <v>799</v>
      </c>
      <c r="E821" s="9" t="s">
        <v>39</v>
      </c>
      <c r="F821" s="17">
        <v>2.47E-2</v>
      </c>
      <c r="G821" s="17"/>
      <c r="H821" s="17"/>
      <c r="I821" s="17"/>
      <c r="J821" s="17">
        <v>2.47E-2</v>
      </c>
      <c r="K821" s="9" t="s">
        <v>1343</v>
      </c>
      <c r="L821" s="9" t="s">
        <v>802</v>
      </c>
      <c r="M821" s="9">
        <v>2023</v>
      </c>
      <c r="N821" s="9" t="s">
        <v>640</v>
      </c>
      <c r="O821" s="10" t="s">
        <v>641</v>
      </c>
      <c r="P821" s="9" t="s">
        <v>642</v>
      </c>
      <c r="Q821" s="9" t="s">
        <v>264</v>
      </c>
      <c r="R821" s="9" t="s">
        <v>1344</v>
      </c>
      <c r="S821" s="9" t="s">
        <v>2158</v>
      </c>
    </row>
    <row r="822" spans="2:19" x14ac:dyDescent="0.35">
      <c r="B822" s="18" t="s">
        <v>800</v>
      </c>
      <c r="C822" s="9" t="s">
        <v>803</v>
      </c>
      <c r="D822" s="9" t="s">
        <v>799</v>
      </c>
      <c r="E822" s="9" t="s">
        <v>39</v>
      </c>
      <c r="F822" s="17">
        <v>3.7900000000000003E-2</v>
      </c>
      <c r="G822" s="17"/>
      <c r="H822" s="17"/>
      <c r="I822" s="17"/>
      <c r="J822" s="17">
        <v>3.7900000000000003E-2</v>
      </c>
      <c r="K822" s="9" t="s">
        <v>1343</v>
      </c>
      <c r="L822" s="9" t="s">
        <v>804</v>
      </c>
      <c r="M822" s="9">
        <v>2022</v>
      </c>
      <c r="N822" s="9" t="s">
        <v>640</v>
      </c>
      <c r="O822" s="10" t="s">
        <v>641</v>
      </c>
      <c r="P822" s="9" t="s">
        <v>642</v>
      </c>
      <c r="Q822" s="9" t="s">
        <v>264</v>
      </c>
      <c r="R822" s="9" t="s">
        <v>1344</v>
      </c>
      <c r="S822" s="9" t="s">
        <v>2159</v>
      </c>
    </row>
    <row r="823" spans="2:19" x14ac:dyDescent="0.35">
      <c r="B823" s="18" t="s">
        <v>800</v>
      </c>
      <c r="C823" s="9" t="s">
        <v>803</v>
      </c>
      <c r="D823" s="9" t="s">
        <v>799</v>
      </c>
      <c r="E823" s="9" t="s">
        <v>39</v>
      </c>
      <c r="F823" s="17">
        <v>5.4800000000000001E-2</v>
      </c>
      <c r="G823" s="17"/>
      <c r="H823" s="17"/>
      <c r="I823" s="17"/>
      <c r="J823" s="17">
        <v>5.4800000000000001E-2</v>
      </c>
      <c r="K823" s="9" t="s">
        <v>1343</v>
      </c>
      <c r="L823" s="9" t="s">
        <v>804</v>
      </c>
      <c r="M823" s="9">
        <v>2023</v>
      </c>
      <c r="N823" s="9" t="s">
        <v>640</v>
      </c>
      <c r="O823" s="10" t="s">
        <v>641</v>
      </c>
      <c r="P823" s="9" t="s">
        <v>642</v>
      </c>
      <c r="Q823" s="9" t="s">
        <v>264</v>
      </c>
      <c r="R823" s="9" t="s">
        <v>1344</v>
      </c>
      <c r="S823" s="9" t="s">
        <v>2160</v>
      </c>
    </row>
    <row r="824" spans="2:19" x14ac:dyDescent="0.35">
      <c r="B824" s="18" t="s">
        <v>800</v>
      </c>
      <c r="C824" s="9" t="s">
        <v>801</v>
      </c>
      <c r="D824" s="9" t="s">
        <v>799</v>
      </c>
      <c r="E824" s="9" t="s">
        <v>39</v>
      </c>
      <c r="F824" s="17">
        <v>5.0000000000000001E-4</v>
      </c>
      <c r="G824" s="17"/>
      <c r="H824" s="17"/>
      <c r="I824" s="17"/>
      <c r="J824" s="17">
        <v>5.0000000000000001E-4</v>
      </c>
      <c r="K824" s="9" t="s">
        <v>1343</v>
      </c>
      <c r="L824" s="9" t="s">
        <v>802</v>
      </c>
      <c r="M824" s="9">
        <v>2022</v>
      </c>
      <c r="N824" s="9" t="s">
        <v>412</v>
      </c>
      <c r="O824" s="10" t="s">
        <v>413</v>
      </c>
      <c r="P824" s="9" t="s">
        <v>414</v>
      </c>
      <c r="Q824" s="9" t="s">
        <v>264</v>
      </c>
      <c r="R824" s="9" t="s">
        <v>1344</v>
      </c>
      <c r="S824" s="9" t="s">
        <v>2161</v>
      </c>
    </row>
    <row r="825" spans="2:19" x14ac:dyDescent="0.35">
      <c r="B825" s="18" t="s">
        <v>800</v>
      </c>
      <c r="C825" s="9" t="s">
        <v>803</v>
      </c>
      <c r="D825" s="9" t="s">
        <v>799</v>
      </c>
      <c r="E825" s="9" t="s">
        <v>39</v>
      </c>
      <c r="F825" s="17">
        <v>4.1999999999999997E-3</v>
      </c>
      <c r="G825" s="17"/>
      <c r="H825" s="17"/>
      <c r="I825" s="17"/>
      <c r="J825" s="17">
        <v>4.1999999999999997E-3</v>
      </c>
      <c r="K825" s="9" t="s">
        <v>1343</v>
      </c>
      <c r="L825" s="9" t="s">
        <v>804</v>
      </c>
      <c r="M825" s="9">
        <v>2022</v>
      </c>
      <c r="N825" s="9" t="s">
        <v>412</v>
      </c>
      <c r="O825" s="10" t="s">
        <v>413</v>
      </c>
      <c r="P825" s="9" t="s">
        <v>414</v>
      </c>
      <c r="Q825" s="9" t="s">
        <v>264</v>
      </c>
      <c r="R825" s="9" t="s">
        <v>1344</v>
      </c>
      <c r="S825" s="9" t="s">
        <v>2162</v>
      </c>
    </row>
    <row r="826" spans="2:19" x14ac:dyDescent="0.35">
      <c r="B826" s="18" t="s">
        <v>800</v>
      </c>
      <c r="C826" s="9" t="s">
        <v>803</v>
      </c>
      <c r="D826" s="9" t="s">
        <v>799</v>
      </c>
      <c r="E826" s="9" t="s">
        <v>39</v>
      </c>
      <c r="F826" s="17">
        <v>4.1999999999999997E-3</v>
      </c>
      <c r="G826" s="17"/>
      <c r="H826" s="17"/>
      <c r="I826" s="17"/>
      <c r="J826" s="17">
        <v>4.1999999999999997E-3</v>
      </c>
      <c r="K826" s="9" t="s">
        <v>1343</v>
      </c>
      <c r="L826" s="9" t="s">
        <v>804</v>
      </c>
      <c r="M826" s="9">
        <v>2023</v>
      </c>
      <c r="N826" s="9" t="s">
        <v>412</v>
      </c>
      <c r="O826" s="10" t="s">
        <v>413</v>
      </c>
      <c r="P826" s="9" t="s">
        <v>414</v>
      </c>
      <c r="Q826" s="9" t="s">
        <v>264</v>
      </c>
      <c r="R826" s="9" t="s">
        <v>1344</v>
      </c>
      <c r="S826" s="9" t="s">
        <v>2163</v>
      </c>
    </row>
    <row r="827" spans="2:19" x14ac:dyDescent="0.35">
      <c r="B827" s="18" t="s">
        <v>258</v>
      </c>
      <c r="C827" s="9" t="s">
        <v>259</v>
      </c>
      <c r="D827" s="9" t="s">
        <v>799</v>
      </c>
      <c r="E827" s="9" t="s">
        <v>39</v>
      </c>
      <c r="F827" s="17">
        <v>0.18559999999999999</v>
      </c>
      <c r="G827" s="17">
        <v>0.18490000000000001</v>
      </c>
      <c r="H827" s="17">
        <v>2.9999999999999997E-4</v>
      </c>
      <c r="I827" s="17">
        <v>4.0000000000000002E-4</v>
      </c>
      <c r="J827" s="17">
        <v>0</v>
      </c>
      <c r="K827" s="9" t="s">
        <v>1343</v>
      </c>
      <c r="L827" s="9" t="s">
        <v>260</v>
      </c>
      <c r="M827" s="9">
        <v>2024</v>
      </c>
      <c r="N827" s="9" t="s">
        <v>557</v>
      </c>
      <c r="O827" s="10" t="s">
        <v>558</v>
      </c>
      <c r="P827" s="9" t="s">
        <v>559</v>
      </c>
      <c r="Q827" s="9" t="s">
        <v>264</v>
      </c>
      <c r="R827" s="9" t="s">
        <v>1344</v>
      </c>
      <c r="S827" s="9" t="s">
        <v>2164</v>
      </c>
    </row>
    <row r="828" spans="2:19" x14ac:dyDescent="0.35">
      <c r="B828" s="18" t="s">
        <v>258</v>
      </c>
      <c r="C828" s="9" t="s">
        <v>259</v>
      </c>
      <c r="D828" s="9" t="s">
        <v>799</v>
      </c>
      <c r="E828" s="9" t="s">
        <v>39</v>
      </c>
      <c r="F828" s="17">
        <v>0.21479999999999999</v>
      </c>
      <c r="G828" s="17">
        <v>0.21410000000000001</v>
      </c>
      <c r="H828" s="17">
        <v>2.9999999999999997E-4</v>
      </c>
      <c r="I828" s="17">
        <v>4.0000000000000002E-4</v>
      </c>
      <c r="J828" s="17">
        <v>0</v>
      </c>
      <c r="K828" s="9" t="s">
        <v>1343</v>
      </c>
      <c r="L828" s="9" t="s">
        <v>260</v>
      </c>
      <c r="M828" s="9">
        <v>2022</v>
      </c>
      <c r="N828" s="9" t="s">
        <v>557</v>
      </c>
      <c r="O828" s="10" t="s">
        <v>558</v>
      </c>
      <c r="P828" s="9" t="s">
        <v>559</v>
      </c>
      <c r="Q828" s="9" t="s">
        <v>264</v>
      </c>
      <c r="R828" s="9" t="s">
        <v>1344</v>
      </c>
      <c r="S828" s="9" t="s">
        <v>2165</v>
      </c>
    </row>
    <row r="829" spans="2:19" x14ac:dyDescent="0.35">
      <c r="B829" s="18" t="s">
        <v>258</v>
      </c>
      <c r="C829" s="9" t="s">
        <v>259</v>
      </c>
      <c r="D829" s="9" t="s">
        <v>799</v>
      </c>
      <c r="E829" s="9" t="s">
        <v>39</v>
      </c>
      <c r="F829" s="17">
        <v>0.222</v>
      </c>
      <c r="G829" s="17">
        <v>0.2213</v>
      </c>
      <c r="H829" s="17">
        <v>2.9999999999999997E-4</v>
      </c>
      <c r="I829" s="17">
        <v>4.0000000000000002E-4</v>
      </c>
      <c r="J829" s="17">
        <v>0</v>
      </c>
      <c r="K829" s="9" t="s">
        <v>1343</v>
      </c>
      <c r="L829" s="9" t="s">
        <v>260</v>
      </c>
      <c r="M829" s="9">
        <v>2023</v>
      </c>
      <c r="N829" s="9" t="s">
        <v>557</v>
      </c>
      <c r="O829" s="10" t="s">
        <v>558</v>
      </c>
      <c r="P829" s="9" t="s">
        <v>559</v>
      </c>
      <c r="Q829" s="9" t="s">
        <v>264</v>
      </c>
      <c r="R829" s="9" t="s">
        <v>1344</v>
      </c>
      <c r="S829" s="9" t="s">
        <v>2166</v>
      </c>
    </row>
    <row r="830" spans="2:19" x14ac:dyDescent="0.35">
      <c r="B830" s="18" t="s">
        <v>800</v>
      </c>
      <c r="C830" s="9" t="s">
        <v>801</v>
      </c>
      <c r="D830" s="9" t="s">
        <v>799</v>
      </c>
      <c r="E830" s="9" t="s">
        <v>39</v>
      </c>
      <c r="F830" s="17">
        <v>3.09E-2</v>
      </c>
      <c r="G830" s="17"/>
      <c r="H830" s="17"/>
      <c r="I830" s="17"/>
      <c r="J830" s="17">
        <v>3.09E-2</v>
      </c>
      <c r="K830" s="9" t="s">
        <v>1343</v>
      </c>
      <c r="L830" s="9" t="s">
        <v>802</v>
      </c>
      <c r="M830" s="9">
        <v>2022</v>
      </c>
      <c r="N830" s="9" t="s">
        <v>557</v>
      </c>
      <c r="O830" s="10" t="s">
        <v>558</v>
      </c>
      <c r="P830" s="9" t="s">
        <v>559</v>
      </c>
      <c r="Q830" s="9" t="s">
        <v>264</v>
      </c>
      <c r="R830" s="9" t="s">
        <v>1344</v>
      </c>
      <c r="S830" s="9" t="s">
        <v>2167</v>
      </c>
    </row>
    <row r="831" spans="2:19" x14ac:dyDescent="0.35">
      <c r="B831" s="18" t="s">
        <v>800</v>
      </c>
      <c r="C831" s="9" t="s">
        <v>801</v>
      </c>
      <c r="D831" s="9" t="s">
        <v>799</v>
      </c>
      <c r="E831" s="9" t="s">
        <v>39</v>
      </c>
      <c r="F831" s="17">
        <v>3.2300000000000002E-2</v>
      </c>
      <c r="G831" s="17"/>
      <c r="H831" s="17"/>
      <c r="I831" s="17"/>
      <c r="J831" s="17">
        <v>3.2300000000000002E-2</v>
      </c>
      <c r="K831" s="9" t="s">
        <v>1343</v>
      </c>
      <c r="L831" s="9" t="s">
        <v>802</v>
      </c>
      <c r="M831" s="9">
        <v>2023</v>
      </c>
      <c r="N831" s="9" t="s">
        <v>557</v>
      </c>
      <c r="O831" s="10" t="s">
        <v>558</v>
      </c>
      <c r="P831" s="9" t="s">
        <v>559</v>
      </c>
      <c r="Q831" s="9" t="s">
        <v>264</v>
      </c>
      <c r="R831" s="9" t="s">
        <v>1344</v>
      </c>
      <c r="S831" s="9" t="s">
        <v>2168</v>
      </c>
    </row>
    <row r="832" spans="2:19" x14ac:dyDescent="0.35">
      <c r="B832" s="18" t="s">
        <v>800</v>
      </c>
      <c r="C832" s="9" t="s">
        <v>803</v>
      </c>
      <c r="D832" s="9" t="s">
        <v>799</v>
      </c>
      <c r="E832" s="9" t="s">
        <v>39</v>
      </c>
      <c r="F832" s="17">
        <v>4.9799999999999997E-2</v>
      </c>
      <c r="G832" s="17"/>
      <c r="H832" s="17"/>
      <c r="I832" s="17"/>
      <c r="J832" s="17">
        <v>4.9799999999999997E-2</v>
      </c>
      <c r="K832" s="9" t="s">
        <v>1343</v>
      </c>
      <c r="L832" s="9" t="s">
        <v>804</v>
      </c>
      <c r="M832" s="9">
        <v>2024</v>
      </c>
      <c r="N832" s="9" t="s">
        <v>557</v>
      </c>
      <c r="O832" s="10" t="s">
        <v>558</v>
      </c>
      <c r="P832" s="9" t="s">
        <v>559</v>
      </c>
      <c r="Q832" s="9" t="s">
        <v>264</v>
      </c>
      <c r="R832" s="9" t="s">
        <v>1344</v>
      </c>
      <c r="S832" s="9" t="s">
        <v>2169</v>
      </c>
    </row>
    <row r="833" spans="2:19" x14ac:dyDescent="0.35">
      <c r="B833" s="18" t="s">
        <v>800</v>
      </c>
      <c r="C833" s="9" t="s">
        <v>803</v>
      </c>
      <c r="D833" s="9" t="s">
        <v>799</v>
      </c>
      <c r="E833" s="9" t="s">
        <v>39</v>
      </c>
      <c r="F833" s="17">
        <v>5.6000000000000001E-2</v>
      </c>
      <c r="G833" s="17"/>
      <c r="H833" s="17"/>
      <c r="I833" s="17"/>
      <c r="J833" s="17">
        <v>5.6000000000000001E-2</v>
      </c>
      <c r="K833" s="9" t="s">
        <v>1343</v>
      </c>
      <c r="L833" s="9" t="s">
        <v>804</v>
      </c>
      <c r="M833" s="9">
        <v>2022</v>
      </c>
      <c r="N833" s="9" t="s">
        <v>557</v>
      </c>
      <c r="O833" s="10" t="s">
        <v>558</v>
      </c>
      <c r="P833" s="9" t="s">
        <v>559</v>
      </c>
      <c r="Q833" s="9" t="s">
        <v>264</v>
      </c>
      <c r="R833" s="9" t="s">
        <v>1344</v>
      </c>
      <c r="S833" s="9" t="s">
        <v>2170</v>
      </c>
    </row>
    <row r="834" spans="2:19" x14ac:dyDescent="0.35">
      <c r="B834" s="18" t="s">
        <v>800</v>
      </c>
      <c r="C834" s="9" t="s">
        <v>803</v>
      </c>
      <c r="D834" s="9" t="s">
        <v>799</v>
      </c>
      <c r="E834" s="9" t="s">
        <v>39</v>
      </c>
      <c r="F834" s="17">
        <v>5.8000000000000003E-2</v>
      </c>
      <c r="G834" s="17"/>
      <c r="H834" s="17"/>
      <c r="I834" s="17"/>
      <c r="J834" s="17">
        <v>5.8000000000000003E-2</v>
      </c>
      <c r="K834" s="9" t="s">
        <v>1343</v>
      </c>
      <c r="L834" s="9" t="s">
        <v>804</v>
      </c>
      <c r="M834" s="9">
        <v>2023</v>
      </c>
      <c r="N834" s="9" t="s">
        <v>557</v>
      </c>
      <c r="O834" s="10" t="s">
        <v>558</v>
      </c>
      <c r="P834" s="9" t="s">
        <v>559</v>
      </c>
      <c r="Q834" s="9" t="s">
        <v>264</v>
      </c>
      <c r="R834" s="9" t="s">
        <v>1344</v>
      </c>
      <c r="S834" s="9" t="s">
        <v>2171</v>
      </c>
    </row>
    <row r="835" spans="2:19" x14ac:dyDescent="0.35">
      <c r="B835" s="18" t="s">
        <v>258</v>
      </c>
      <c r="C835" s="9" t="s">
        <v>259</v>
      </c>
      <c r="D835" s="9" t="s">
        <v>799</v>
      </c>
      <c r="E835" s="9" t="s">
        <v>39</v>
      </c>
      <c r="F835" s="17">
        <v>0.69810000000000005</v>
      </c>
      <c r="G835" s="17">
        <v>0.69489999999999996</v>
      </c>
      <c r="H835" s="17">
        <v>4.0000000000000002E-4</v>
      </c>
      <c r="I835" s="17">
        <v>2.8E-3</v>
      </c>
      <c r="J835" s="17">
        <v>0</v>
      </c>
      <c r="K835" s="9" t="s">
        <v>1343</v>
      </c>
      <c r="L835" s="9" t="s">
        <v>260</v>
      </c>
      <c r="M835" s="9">
        <v>2022</v>
      </c>
      <c r="N835" s="9" t="s">
        <v>549</v>
      </c>
      <c r="O835" s="10" t="s">
        <v>550</v>
      </c>
      <c r="P835" s="9" t="s">
        <v>551</v>
      </c>
      <c r="Q835" s="9" t="s">
        <v>264</v>
      </c>
      <c r="R835" s="9" t="s">
        <v>1344</v>
      </c>
      <c r="S835" s="9" t="s">
        <v>2172</v>
      </c>
    </row>
    <row r="836" spans="2:19" x14ac:dyDescent="0.35">
      <c r="B836" s="18" t="s">
        <v>258</v>
      </c>
      <c r="C836" s="9" t="s">
        <v>259</v>
      </c>
      <c r="D836" s="9" t="s">
        <v>799</v>
      </c>
      <c r="E836" s="9" t="s">
        <v>39</v>
      </c>
      <c r="F836" s="17">
        <v>0.77380000000000004</v>
      </c>
      <c r="G836" s="17">
        <v>0.7702</v>
      </c>
      <c r="H836" s="17">
        <v>4.0000000000000002E-4</v>
      </c>
      <c r="I836" s="17">
        <v>3.2000000000000002E-3</v>
      </c>
      <c r="J836" s="17">
        <v>0</v>
      </c>
      <c r="K836" s="9" t="s">
        <v>1343</v>
      </c>
      <c r="L836" s="9" t="s">
        <v>260</v>
      </c>
      <c r="M836" s="9">
        <v>2023</v>
      </c>
      <c r="N836" s="9" t="s">
        <v>549</v>
      </c>
      <c r="O836" s="10" t="s">
        <v>550</v>
      </c>
      <c r="P836" s="9" t="s">
        <v>551</v>
      </c>
      <c r="Q836" s="9" t="s">
        <v>264</v>
      </c>
      <c r="R836" s="9" t="s">
        <v>1344</v>
      </c>
      <c r="S836" s="9" t="s">
        <v>2173</v>
      </c>
    </row>
    <row r="837" spans="2:19" x14ac:dyDescent="0.35">
      <c r="B837" s="18" t="s">
        <v>800</v>
      </c>
      <c r="C837" s="9" t="s">
        <v>801</v>
      </c>
      <c r="D837" s="9" t="s">
        <v>799</v>
      </c>
      <c r="E837" s="9" t="s">
        <v>39</v>
      </c>
      <c r="F837" s="17">
        <v>8.6599999999999996E-2</v>
      </c>
      <c r="G837" s="17"/>
      <c r="H837" s="17"/>
      <c r="I837" s="17"/>
      <c r="J837" s="17">
        <v>8.6599999999999996E-2</v>
      </c>
      <c r="K837" s="9" t="s">
        <v>1343</v>
      </c>
      <c r="L837" s="9" t="s">
        <v>802</v>
      </c>
      <c r="M837" s="9">
        <v>2022</v>
      </c>
      <c r="N837" s="9" t="s">
        <v>549</v>
      </c>
      <c r="O837" s="10" t="s">
        <v>550</v>
      </c>
      <c r="P837" s="9" t="s">
        <v>551</v>
      </c>
      <c r="Q837" s="9" t="s">
        <v>264</v>
      </c>
      <c r="R837" s="9" t="s">
        <v>1344</v>
      </c>
      <c r="S837" s="9" t="s">
        <v>2174</v>
      </c>
    </row>
    <row r="838" spans="2:19" x14ac:dyDescent="0.35">
      <c r="B838" s="18" t="s">
        <v>800</v>
      </c>
      <c r="C838" s="9" t="s">
        <v>801</v>
      </c>
      <c r="D838" s="9" t="s">
        <v>799</v>
      </c>
      <c r="E838" s="9" t="s">
        <v>39</v>
      </c>
      <c r="F838" s="17">
        <v>9.9199999999999997E-2</v>
      </c>
      <c r="G838" s="17"/>
      <c r="H838" s="17"/>
      <c r="I838" s="17"/>
      <c r="J838" s="17">
        <v>9.9199999999999997E-2</v>
      </c>
      <c r="K838" s="9" t="s">
        <v>1343</v>
      </c>
      <c r="L838" s="9" t="s">
        <v>802</v>
      </c>
      <c r="M838" s="9">
        <v>2023</v>
      </c>
      <c r="N838" s="9" t="s">
        <v>549</v>
      </c>
      <c r="O838" s="10" t="s">
        <v>550</v>
      </c>
      <c r="P838" s="9" t="s">
        <v>551</v>
      </c>
      <c r="Q838" s="9" t="s">
        <v>264</v>
      </c>
      <c r="R838" s="9" t="s">
        <v>1344</v>
      </c>
      <c r="S838" s="9" t="s">
        <v>2175</v>
      </c>
    </row>
    <row r="839" spans="2:19" x14ac:dyDescent="0.35">
      <c r="B839" s="18" t="s">
        <v>800</v>
      </c>
      <c r="C839" s="9" t="s">
        <v>803</v>
      </c>
      <c r="D839" s="9" t="s">
        <v>799</v>
      </c>
      <c r="E839" s="9" t="s">
        <v>39</v>
      </c>
      <c r="F839" s="17">
        <v>0.12809999999999999</v>
      </c>
      <c r="G839" s="17"/>
      <c r="H839" s="17"/>
      <c r="I839" s="17"/>
      <c r="J839" s="17">
        <v>0.12809999999999999</v>
      </c>
      <c r="K839" s="9" t="s">
        <v>1343</v>
      </c>
      <c r="L839" s="9" t="s">
        <v>804</v>
      </c>
      <c r="M839" s="9">
        <v>2022</v>
      </c>
      <c r="N839" s="9" t="s">
        <v>549</v>
      </c>
      <c r="O839" s="10" t="s">
        <v>550</v>
      </c>
      <c r="P839" s="9" t="s">
        <v>551</v>
      </c>
      <c r="Q839" s="9" t="s">
        <v>264</v>
      </c>
      <c r="R839" s="9" t="s">
        <v>1344</v>
      </c>
      <c r="S839" s="9" t="s">
        <v>2176</v>
      </c>
    </row>
    <row r="840" spans="2:19" x14ac:dyDescent="0.35">
      <c r="B840" s="18" t="s">
        <v>800</v>
      </c>
      <c r="C840" s="9" t="s">
        <v>803</v>
      </c>
      <c r="D840" s="9" t="s">
        <v>799</v>
      </c>
      <c r="E840" s="9" t="s">
        <v>39</v>
      </c>
      <c r="F840" s="17">
        <v>0.13100000000000001</v>
      </c>
      <c r="G840" s="17"/>
      <c r="H840" s="17"/>
      <c r="I840" s="17"/>
      <c r="J840" s="17">
        <v>0.13100000000000001</v>
      </c>
      <c r="K840" s="9" t="s">
        <v>1343</v>
      </c>
      <c r="L840" s="9" t="s">
        <v>804</v>
      </c>
      <c r="M840" s="9">
        <v>2024</v>
      </c>
      <c r="N840" s="9" t="s">
        <v>549</v>
      </c>
      <c r="O840" s="10" t="s">
        <v>550</v>
      </c>
      <c r="P840" s="9" t="s">
        <v>551</v>
      </c>
      <c r="Q840" s="9" t="s">
        <v>264</v>
      </c>
      <c r="R840" s="9" t="s">
        <v>1344</v>
      </c>
      <c r="S840" s="9" t="s">
        <v>2177</v>
      </c>
    </row>
    <row r="841" spans="2:19" x14ac:dyDescent="0.35">
      <c r="B841" s="18" t="s">
        <v>800</v>
      </c>
      <c r="C841" s="9" t="s">
        <v>803</v>
      </c>
      <c r="D841" s="9" t="s">
        <v>799</v>
      </c>
      <c r="E841" s="9" t="s">
        <v>39</v>
      </c>
      <c r="F841" s="17">
        <v>0.1313</v>
      </c>
      <c r="G841" s="17"/>
      <c r="H841" s="17"/>
      <c r="I841" s="17"/>
      <c r="J841" s="17">
        <v>0.1313</v>
      </c>
      <c r="K841" s="9" t="s">
        <v>1343</v>
      </c>
      <c r="L841" s="9" t="s">
        <v>804</v>
      </c>
      <c r="M841" s="9">
        <v>2023</v>
      </c>
      <c r="N841" s="9" t="s">
        <v>549</v>
      </c>
      <c r="O841" s="10" t="s">
        <v>550</v>
      </c>
      <c r="P841" s="9" t="s">
        <v>551</v>
      </c>
      <c r="Q841" s="9" t="s">
        <v>264</v>
      </c>
      <c r="R841" s="9" t="s">
        <v>1344</v>
      </c>
      <c r="S841" s="9" t="s">
        <v>2178</v>
      </c>
    </row>
    <row r="842" spans="2:19" x14ac:dyDescent="0.35">
      <c r="B842" s="18" t="s">
        <v>258</v>
      </c>
      <c r="C842" s="9" t="s">
        <v>259</v>
      </c>
      <c r="D842" s="9" t="s">
        <v>799</v>
      </c>
      <c r="E842" s="9" t="s">
        <v>39</v>
      </c>
      <c r="F842" s="17">
        <v>0.52049999999999996</v>
      </c>
      <c r="G842" s="17">
        <v>0.51800000000000002</v>
      </c>
      <c r="H842" s="17">
        <v>2.9999999999999997E-4</v>
      </c>
      <c r="I842" s="17">
        <v>2.2000000000000001E-3</v>
      </c>
      <c r="J842" s="17">
        <v>0</v>
      </c>
      <c r="K842" s="9" t="s">
        <v>1343</v>
      </c>
      <c r="L842" s="9" t="s">
        <v>260</v>
      </c>
      <c r="M842" s="9">
        <v>2024</v>
      </c>
      <c r="N842" s="9" t="s">
        <v>328</v>
      </c>
      <c r="O842" s="10" t="s">
        <v>329</v>
      </c>
      <c r="P842" s="9" t="s">
        <v>330</v>
      </c>
      <c r="Q842" s="9" t="s">
        <v>264</v>
      </c>
      <c r="R842" s="9" t="s">
        <v>1344</v>
      </c>
      <c r="S842" s="9" t="s">
        <v>2179</v>
      </c>
    </row>
    <row r="843" spans="2:19" x14ac:dyDescent="0.35">
      <c r="B843" s="18" t="s">
        <v>258</v>
      </c>
      <c r="C843" s="9" t="s">
        <v>259</v>
      </c>
      <c r="D843" s="9" t="s">
        <v>799</v>
      </c>
      <c r="E843" s="9" t="s">
        <v>39</v>
      </c>
      <c r="F843" s="17">
        <v>0.54630000000000001</v>
      </c>
      <c r="G843" s="17">
        <v>0.54379999999999995</v>
      </c>
      <c r="H843" s="17">
        <v>2.9999999999999997E-4</v>
      </c>
      <c r="I843" s="17">
        <v>2.2000000000000001E-3</v>
      </c>
      <c r="J843" s="17">
        <v>0</v>
      </c>
      <c r="K843" s="9" t="s">
        <v>1343</v>
      </c>
      <c r="L843" s="9" t="s">
        <v>260</v>
      </c>
      <c r="M843" s="9">
        <v>2023</v>
      </c>
      <c r="N843" s="9" t="s">
        <v>328</v>
      </c>
      <c r="O843" s="10" t="s">
        <v>329</v>
      </c>
      <c r="P843" s="9" t="s">
        <v>330</v>
      </c>
      <c r="Q843" s="9" t="s">
        <v>264</v>
      </c>
      <c r="R843" s="9" t="s">
        <v>1344</v>
      </c>
      <c r="S843" s="9" t="s">
        <v>2180</v>
      </c>
    </row>
    <row r="844" spans="2:19" x14ac:dyDescent="0.35">
      <c r="B844" s="18" t="s">
        <v>258</v>
      </c>
      <c r="C844" s="9" t="s">
        <v>259</v>
      </c>
      <c r="D844" s="9" t="s">
        <v>799</v>
      </c>
      <c r="E844" s="9" t="s">
        <v>39</v>
      </c>
      <c r="F844" s="17">
        <v>0.63319999999999999</v>
      </c>
      <c r="G844" s="17">
        <v>0.63039999999999996</v>
      </c>
      <c r="H844" s="17">
        <v>2.9999999999999997E-4</v>
      </c>
      <c r="I844" s="17">
        <v>2.5000000000000001E-3</v>
      </c>
      <c r="J844" s="17">
        <v>0</v>
      </c>
      <c r="K844" s="9" t="s">
        <v>1343</v>
      </c>
      <c r="L844" s="9" t="s">
        <v>260</v>
      </c>
      <c r="M844" s="9">
        <v>2022</v>
      </c>
      <c r="N844" s="9" t="s">
        <v>328</v>
      </c>
      <c r="O844" s="10" t="s">
        <v>329</v>
      </c>
      <c r="P844" s="9" t="s">
        <v>330</v>
      </c>
      <c r="Q844" s="9" t="s">
        <v>264</v>
      </c>
      <c r="R844" s="9" t="s">
        <v>1344</v>
      </c>
      <c r="S844" s="9" t="s">
        <v>2181</v>
      </c>
    </row>
    <row r="845" spans="2:19" x14ac:dyDescent="0.35">
      <c r="B845" s="18" t="s">
        <v>800</v>
      </c>
      <c r="C845" s="9" t="s">
        <v>801</v>
      </c>
      <c r="D845" s="9" t="s">
        <v>799</v>
      </c>
      <c r="E845" s="9" t="s">
        <v>39</v>
      </c>
      <c r="F845" s="17">
        <v>4.0300000000000002E-2</v>
      </c>
      <c r="G845" s="17"/>
      <c r="H845" s="17"/>
      <c r="I845" s="17"/>
      <c r="J845" s="17">
        <v>4.0300000000000002E-2</v>
      </c>
      <c r="K845" s="9" t="s">
        <v>1343</v>
      </c>
      <c r="L845" s="9" t="s">
        <v>802</v>
      </c>
      <c r="M845" s="9">
        <v>2023</v>
      </c>
      <c r="N845" s="9" t="s">
        <v>328</v>
      </c>
      <c r="O845" s="10" t="s">
        <v>329</v>
      </c>
      <c r="P845" s="9" t="s">
        <v>330</v>
      </c>
      <c r="Q845" s="9" t="s">
        <v>264</v>
      </c>
      <c r="R845" s="9" t="s">
        <v>1344</v>
      </c>
      <c r="S845" s="9" t="s">
        <v>2182</v>
      </c>
    </row>
    <row r="846" spans="2:19" x14ac:dyDescent="0.35">
      <c r="B846" s="18" t="s">
        <v>800</v>
      </c>
      <c r="C846" s="9" t="s">
        <v>801</v>
      </c>
      <c r="D846" s="9" t="s">
        <v>799</v>
      </c>
      <c r="E846" s="9" t="s">
        <v>39</v>
      </c>
      <c r="F846" s="17">
        <v>4.3999999999999997E-2</v>
      </c>
      <c r="G846" s="17"/>
      <c r="H846" s="17"/>
      <c r="I846" s="17"/>
      <c r="J846" s="17">
        <v>4.3999999999999997E-2</v>
      </c>
      <c r="K846" s="9" t="s">
        <v>1343</v>
      </c>
      <c r="L846" s="9" t="s">
        <v>802</v>
      </c>
      <c r="M846" s="9">
        <v>2022</v>
      </c>
      <c r="N846" s="9" t="s">
        <v>328</v>
      </c>
      <c r="O846" s="10" t="s">
        <v>329</v>
      </c>
      <c r="P846" s="9" t="s">
        <v>330</v>
      </c>
      <c r="Q846" s="9" t="s">
        <v>264</v>
      </c>
      <c r="R846" s="9" t="s">
        <v>1344</v>
      </c>
      <c r="S846" s="9" t="s">
        <v>2183</v>
      </c>
    </row>
    <row r="847" spans="2:19" x14ac:dyDescent="0.35">
      <c r="B847" s="18" t="s">
        <v>800</v>
      </c>
      <c r="C847" s="9" t="s">
        <v>803</v>
      </c>
      <c r="D847" s="9" t="s">
        <v>799</v>
      </c>
      <c r="E847" s="9" t="s">
        <v>39</v>
      </c>
      <c r="F847" s="17">
        <v>0.1124</v>
      </c>
      <c r="G847" s="17"/>
      <c r="H847" s="17"/>
      <c r="I847" s="17"/>
      <c r="J847" s="17">
        <v>0.1124</v>
      </c>
      <c r="K847" s="9" t="s">
        <v>1343</v>
      </c>
      <c r="L847" s="9" t="s">
        <v>804</v>
      </c>
      <c r="M847" s="9">
        <v>2024</v>
      </c>
      <c r="N847" s="9" t="s">
        <v>328</v>
      </c>
      <c r="O847" s="10" t="s">
        <v>329</v>
      </c>
      <c r="P847" s="9" t="s">
        <v>330</v>
      </c>
      <c r="Q847" s="9" t="s">
        <v>264</v>
      </c>
      <c r="R847" s="9" t="s">
        <v>1344</v>
      </c>
      <c r="S847" s="9" t="s">
        <v>2184</v>
      </c>
    </row>
    <row r="848" spans="2:19" x14ac:dyDescent="0.35">
      <c r="B848" s="18" t="s">
        <v>800</v>
      </c>
      <c r="C848" s="9" t="s">
        <v>803</v>
      </c>
      <c r="D848" s="9" t="s">
        <v>799</v>
      </c>
      <c r="E848" s="9" t="s">
        <v>39</v>
      </c>
      <c r="F848" s="17">
        <v>0.1176</v>
      </c>
      <c r="G848" s="17"/>
      <c r="H848" s="17"/>
      <c r="I848" s="17"/>
      <c r="J848" s="17">
        <v>0.1176</v>
      </c>
      <c r="K848" s="9" t="s">
        <v>1343</v>
      </c>
      <c r="L848" s="9" t="s">
        <v>804</v>
      </c>
      <c r="M848" s="9">
        <v>2023</v>
      </c>
      <c r="N848" s="9" t="s">
        <v>328</v>
      </c>
      <c r="O848" s="10" t="s">
        <v>329</v>
      </c>
      <c r="P848" s="9" t="s">
        <v>330</v>
      </c>
      <c r="Q848" s="9" t="s">
        <v>264</v>
      </c>
      <c r="R848" s="9" t="s">
        <v>1344</v>
      </c>
      <c r="S848" s="9" t="s">
        <v>2185</v>
      </c>
    </row>
    <row r="849" spans="2:19" x14ac:dyDescent="0.35">
      <c r="B849" s="18" t="s">
        <v>800</v>
      </c>
      <c r="C849" s="9" t="s">
        <v>803</v>
      </c>
      <c r="D849" s="9" t="s">
        <v>799</v>
      </c>
      <c r="E849" s="9" t="s">
        <v>39</v>
      </c>
      <c r="F849" s="17">
        <v>0.13170000000000001</v>
      </c>
      <c r="G849" s="17"/>
      <c r="H849" s="17"/>
      <c r="I849" s="17"/>
      <c r="J849" s="17">
        <v>0.13170000000000001</v>
      </c>
      <c r="K849" s="9" t="s">
        <v>1343</v>
      </c>
      <c r="L849" s="9" t="s">
        <v>804</v>
      </c>
      <c r="M849" s="9">
        <v>2022</v>
      </c>
      <c r="N849" s="9" t="s">
        <v>328</v>
      </c>
      <c r="O849" s="10" t="s">
        <v>329</v>
      </c>
      <c r="P849" s="9" t="s">
        <v>330</v>
      </c>
      <c r="Q849" s="9" t="s">
        <v>264</v>
      </c>
      <c r="R849" s="9" t="s">
        <v>1344</v>
      </c>
      <c r="S849" s="9" t="s">
        <v>2186</v>
      </c>
    </row>
    <row r="850" spans="2:19" x14ac:dyDescent="0.35">
      <c r="B850" s="18" t="s">
        <v>258</v>
      </c>
      <c r="C850" s="9" t="s">
        <v>259</v>
      </c>
      <c r="D850" s="9" t="s">
        <v>799</v>
      </c>
      <c r="E850" s="9" t="s">
        <v>39</v>
      </c>
      <c r="F850" s="17">
        <v>6.7000000000000004E-2</v>
      </c>
      <c r="G850" s="17">
        <v>6.5799999999999997E-2</v>
      </c>
      <c r="H850" s="17">
        <v>5.0000000000000001E-4</v>
      </c>
      <c r="I850" s="17">
        <v>6.9999999999999999E-4</v>
      </c>
      <c r="J850" s="17">
        <v>0</v>
      </c>
      <c r="K850" s="9" t="s">
        <v>1343</v>
      </c>
      <c r="L850" s="9" t="s">
        <v>260</v>
      </c>
      <c r="M850" s="9">
        <v>2024</v>
      </c>
      <c r="N850" s="9" t="s">
        <v>476</v>
      </c>
      <c r="O850" s="10" t="s">
        <v>477</v>
      </c>
      <c r="P850" s="9" t="s">
        <v>478</v>
      </c>
      <c r="Q850" s="9" t="s">
        <v>264</v>
      </c>
      <c r="R850" s="9" t="s">
        <v>1344</v>
      </c>
      <c r="S850" s="9" t="s">
        <v>2187</v>
      </c>
    </row>
    <row r="851" spans="2:19" x14ac:dyDescent="0.35">
      <c r="B851" s="18" t="s">
        <v>258</v>
      </c>
      <c r="C851" s="9" t="s">
        <v>259</v>
      </c>
      <c r="D851" s="9" t="s">
        <v>799</v>
      </c>
      <c r="E851" s="9" t="s">
        <v>39</v>
      </c>
      <c r="F851" s="17">
        <v>0.1052</v>
      </c>
      <c r="G851" s="17">
        <v>0.104</v>
      </c>
      <c r="H851" s="17">
        <v>5.0000000000000001E-4</v>
      </c>
      <c r="I851" s="17">
        <v>6.9999999999999999E-4</v>
      </c>
      <c r="J851" s="17">
        <v>0</v>
      </c>
      <c r="K851" s="9" t="s">
        <v>1343</v>
      </c>
      <c r="L851" s="9" t="s">
        <v>260</v>
      </c>
      <c r="M851" s="9">
        <v>2023</v>
      </c>
      <c r="N851" s="9" t="s">
        <v>476</v>
      </c>
      <c r="O851" s="10" t="s">
        <v>477</v>
      </c>
      <c r="P851" s="9" t="s">
        <v>478</v>
      </c>
      <c r="Q851" s="9" t="s">
        <v>264</v>
      </c>
      <c r="R851" s="9" t="s">
        <v>1344</v>
      </c>
      <c r="S851" s="9" t="s">
        <v>2188</v>
      </c>
    </row>
    <row r="852" spans="2:19" x14ac:dyDescent="0.35">
      <c r="B852" s="18" t="s">
        <v>258</v>
      </c>
      <c r="C852" s="9" t="s">
        <v>259</v>
      </c>
      <c r="D852" s="9" t="s">
        <v>799</v>
      </c>
      <c r="E852" s="9" t="s">
        <v>39</v>
      </c>
      <c r="F852" s="17">
        <v>0.1575</v>
      </c>
      <c r="G852" s="17">
        <v>0.15620000000000001</v>
      </c>
      <c r="H852" s="17">
        <v>5.9999999999999995E-4</v>
      </c>
      <c r="I852" s="17">
        <v>6.9999999999999999E-4</v>
      </c>
      <c r="J852" s="17">
        <v>0</v>
      </c>
      <c r="K852" s="9" t="s">
        <v>1343</v>
      </c>
      <c r="L852" s="9" t="s">
        <v>260</v>
      </c>
      <c r="M852" s="9">
        <v>2022</v>
      </c>
      <c r="N852" s="9" t="s">
        <v>476</v>
      </c>
      <c r="O852" s="10" t="s">
        <v>477</v>
      </c>
      <c r="P852" s="9" t="s">
        <v>478</v>
      </c>
      <c r="Q852" s="9" t="s">
        <v>264</v>
      </c>
      <c r="R852" s="9" t="s">
        <v>1344</v>
      </c>
      <c r="S852" s="9" t="s">
        <v>2189</v>
      </c>
    </row>
    <row r="853" spans="2:19" x14ac:dyDescent="0.35">
      <c r="B853" s="18" t="s">
        <v>800</v>
      </c>
      <c r="C853" s="9" t="s">
        <v>801</v>
      </c>
      <c r="D853" s="9" t="s">
        <v>799</v>
      </c>
      <c r="E853" s="9" t="s">
        <v>39</v>
      </c>
      <c r="F853" s="17">
        <v>1.12E-2</v>
      </c>
      <c r="G853" s="17"/>
      <c r="H853" s="17"/>
      <c r="I853" s="17"/>
      <c r="J853" s="17">
        <v>1.12E-2</v>
      </c>
      <c r="K853" s="9" t="s">
        <v>1343</v>
      </c>
      <c r="L853" s="9" t="s">
        <v>802</v>
      </c>
      <c r="M853" s="9">
        <v>2023</v>
      </c>
      <c r="N853" s="9" t="s">
        <v>476</v>
      </c>
      <c r="O853" s="10" t="s">
        <v>477</v>
      </c>
      <c r="P853" s="9" t="s">
        <v>478</v>
      </c>
      <c r="Q853" s="9" t="s">
        <v>264</v>
      </c>
      <c r="R853" s="9" t="s">
        <v>1344</v>
      </c>
      <c r="S853" s="9" t="s">
        <v>2190</v>
      </c>
    </row>
    <row r="854" spans="2:19" x14ac:dyDescent="0.35">
      <c r="B854" s="18" t="s">
        <v>800</v>
      </c>
      <c r="C854" s="9" t="s">
        <v>801</v>
      </c>
      <c r="D854" s="9" t="s">
        <v>799</v>
      </c>
      <c r="E854" s="9" t="s">
        <v>39</v>
      </c>
      <c r="F854" s="17">
        <v>1.7000000000000001E-2</v>
      </c>
      <c r="G854" s="17"/>
      <c r="H854" s="17"/>
      <c r="I854" s="17"/>
      <c r="J854" s="17">
        <v>1.7000000000000001E-2</v>
      </c>
      <c r="K854" s="9" t="s">
        <v>1343</v>
      </c>
      <c r="L854" s="9" t="s">
        <v>802</v>
      </c>
      <c r="M854" s="9">
        <v>2022</v>
      </c>
      <c r="N854" s="9" t="s">
        <v>476</v>
      </c>
      <c r="O854" s="10" t="s">
        <v>477</v>
      </c>
      <c r="P854" s="9" t="s">
        <v>478</v>
      </c>
      <c r="Q854" s="9" t="s">
        <v>264</v>
      </c>
      <c r="R854" s="9" t="s">
        <v>1344</v>
      </c>
      <c r="S854" s="9" t="s">
        <v>2191</v>
      </c>
    </row>
    <row r="855" spans="2:19" x14ac:dyDescent="0.35">
      <c r="B855" s="18" t="s">
        <v>800</v>
      </c>
      <c r="C855" s="9" t="s">
        <v>803</v>
      </c>
      <c r="D855" s="9" t="s">
        <v>799</v>
      </c>
      <c r="E855" s="9" t="s">
        <v>39</v>
      </c>
      <c r="F855" s="17">
        <v>2.5399999999999999E-2</v>
      </c>
      <c r="G855" s="17"/>
      <c r="H855" s="17"/>
      <c r="I855" s="17"/>
      <c r="J855" s="17">
        <v>2.5399999999999999E-2</v>
      </c>
      <c r="K855" s="9" t="s">
        <v>1343</v>
      </c>
      <c r="L855" s="9" t="s">
        <v>804</v>
      </c>
      <c r="M855" s="9">
        <v>2024</v>
      </c>
      <c r="N855" s="9" t="s">
        <v>476</v>
      </c>
      <c r="O855" s="10" t="s">
        <v>477</v>
      </c>
      <c r="P855" s="9" t="s">
        <v>478</v>
      </c>
      <c r="Q855" s="9" t="s">
        <v>264</v>
      </c>
      <c r="R855" s="9" t="s">
        <v>1344</v>
      </c>
      <c r="S855" s="9" t="s">
        <v>2192</v>
      </c>
    </row>
    <row r="856" spans="2:19" x14ac:dyDescent="0.35">
      <c r="B856" s="18" t="s">
        <v>800</v>
      </c>
      <c r="C856" s="9" t="s">
        <v>803</v>
      </c>
      <c r="D856" s="9" t="s">
        <v>799</v>
      </c>
      <c r="E856" s="9" t="s">
        <v>39</v>
      </c>
      <c r="F856" s="17">
        <v>3.2000000000000001E-2</v>
      </c>
      <c r="G856" s="17"/>
      <c r="H856" s="17"/>
      <c r="I856" s="17"/>
      <c r="J856" s="17">
        <v>3.2000000000000001E-2</v>
      </c>
      <c r="K856" s="9" t="s">
        <v>1343</v>
      </c>
      <c r="L856" s="9" t="s">
        <v>804</v>
      </c>
      <c r="M856" s="9">
        <v>2023</v>
      </c>
      <c r="N856" s="9" t="s">
        <v>476</v>
      </c>
      <c r="O856" s="10" t="s">
        <v>477</v>
      </c>
      <c r="P856" s="9" t="s">
        <v>478</v>
      </c>
      <c r="Q856" s="9" t="s">
        <v>264</v>
      </c>
      <c r="R856" s="9" t="s">
        <v>1344</v>
      </c>
      <c r="S856" s="9" t="s">
        <v>2193</v>
      </c>
    </row>
    <row r="857" spans="2:19" x14ac:dyDescent="0.35">
      <c r="B857" s="18" t="s">
        <v>800</v>
      </c>
      <c r="C857" s="9" t="s">
        <v>803</v>
      </c>
      <c r="D857" s="9" t="s">
        <v>799</v>
      </c>
      <c r="E857" s="9" t="s">
        <v>39</v>
      </c>
      <c r="F857" s="17">
        <v>4.0099999999999997E-2</v>
      </c>
      <c r="G857" s="17"/>
      <c r="H857" s="17"/>
      <c r="I857" s="17"/>
      <c r="J857" s="17">
        <v>4.0099999999999997E-2</v>
      </c>
      <c r="K857" s="9" t="s">
        <v>1343</v>
      </c>
      <c r="L857" s="9" t="s">
        <v>804</v>
      </c>
      <c r="M857" s="9">
        <v>2022</v>
      </c>
      <c r="N857" s="9" t="s">
        <v>476</v>
      </c>
      <c r="O857" s="10" t="s">
        <v>477</v>
      </c>
      <c r="P857" s="9" t="s">
        <v>478</v>
      </c>
      <c r="Q857" s="9" t="s">
        <v>264</v>
      </c>
      <c r="R857" s="9" t="s">
        <v>1344</v>
      </c>
      <c r="S857" s="9" t="s">
        <v>2194</v>
      </c>
    </row>
    <row r="858" spans="2:19" x14ac:dyDescent="0.35">
      <c r="B858" s="18" t="s">
        <v>258</v>
      </c>
      <c r="C858" s="9" t="s">
        <v>259</v>
      </c>
      <c r="D858" s="9" t="s">
        <v>799</v>
      </c>
      <c r="E858" s="9" t="s">
        <v>39</v>
      </c>
      <c r="F858" s="17">
        <v>0.46100000000000002</v>
      </c>
      <c r="G858" s="17">
        <v>0.46060000000000001</v>
      </c>
      <c r="H858" s="17">
        <v>2.0000000000000001E-4</v>
      </c>
      <c r="I858" s="17">
        <v>2.0000000000000001E-4</v>
      </c>
      <c r="J858" s="17">
        <v>0</v>
      </c>
      <c r="K858" s="9" t="s">
        <v>1343</v>
      </c>
      <c r="L858" s="9" t="s">
        <v>260</v>
      </c>
      <c r="M858" s="9">
        <v>2023</v>
      </c>
      <c r="N858" s="9" t="s">
        <v>718</v>
      </c>
      <c r="O858" s="10" t="s">
        <v>719</v>
      </c>
      <c r="P858" s="9" t="s">
        <v>720</v>
      </c>
      <c r="Q858" s="9" t="s">
        <v>264</v>
      </c>
      <c r="R858" s="9" t="s">
        <v>1344</v>
      </c>
      <c r="S858" s="9" t="s">
        <v>2195</v>
      </c>
    </row>
    <row r="859" spans="2:19" x14ac:dyDescent="0.35">
      <c r="B859" s="18" t="s">
        <v>258</v>
      </c>
      <c r="C859" s="9" t="s">
        <v>259</v>
      </c>
      <c r="D859" s="9" t="s">
        <v>799</v>
      </c>
      <c r="E859" s="9" t="s">
        <v>39</v>
      </c>
      <c r="F859" s="17">
        <v>0.47410000000000002</v>
      </c>
      <c r="G859" s="17">
        <v>0.47370000000000001</v>
      </c>
      <c r="H859" s="17">
        <v>2.0000000000000001E-4</v>
      </c>
      <c r="I859" s="17">
        <v>2.0000000000000001E-4</v>
      </c>
      <c r="J859" s="17">
        <v>0</v>
      </c>
      <c r="K859" s="9" t="s">
        <v>1343</v>
      </c>
      <c r="L859" s="9" t="s">
        <v>260</v>
      </c>
      <c r="M859" s="9">
        <v>2022</v>
      </c>
      <c r="N859" s="9" t="s">
        <v>718</v>
      </c>
      <c r="O859" s="10" t="s">
        <v>719</v>
      </c>
      <c r="P859" s="9" t="s">
        <v>720</v>
      </c>
      <c r="Q859" s="9" t="s">
        <v>264</v>
      </c>
      <c r="R859" s="9" t="s">
        <v>1344</v>
      </c>
      <c r="S859" s="9" t="s">
        <v>2196</v>
      </c>
    </row>
    <row r="860" spans="2:19" x14ac:dyDescent="0.35">
      <c r="B860" s="18" t="s">
        <v>800</v>
      </c>
      <c r="C860" s="9" t="s">
        <v>801</v>
      </c>
      <c r="D860" s="9" t="s">
        <v>799</v>
      </c>
      <c r="E860" s="9" t="s">
        <v>39</v>
      </c>
      <c r="F860" s="17">
        <v>3.2000000000000001E-2</v>
      </c>
      <c r="G860" s="17"/>
      <c r="H860" s="17"/>
      <c r="I860" s="17"/>
      <c r="J860" s="17">
        <v>3.2000000000000001E-2</v>
      </c>
      <c r="K860" s="9" t="s">
        <v>1343</v>
      </c>
      <c r="L860" s="9" t="s">
        <v>802</v>
      </c>
      <c r="M860" s="9">
        <v>2023</v>
      </c>
      <c r="N860" s="9" t="s">
        <v>718</v>
      </c>
      <c r="O860" s="10" t="s">
        <v>719</v>
      </c>
      <c r="P860" s="9" t="s">
        <v>720</v>
      </c>
      <c r="Q860" s="9" t="s">
        <v>264</v>
      </c>
      <c r="R860" s="9" t="s">
        <v>1344</v>
      </c>
      <c r="S860" s="9" t="s">
        <v>2197</v>
      </c>
    </row>
    <row r="861" spans="2:19" x14ac:dyDescent="0.35">
      <c r="B861" s="18" t="s">
        <v>800</v>
      </c>
      <c r="C861" s="9" t="s">
        <v>801</v>
      </c>
      <c r="D861" s="9" t="s">
        <v>799</v>
      </c>
      <c r="E861" s="9" t="s">
        <v>39</v>
      </c>
      <c r="F861" s="17">
        <v>3.2800000000000003E-2</v>
      </c>
      <c r="G861" s="17"/>
      <c r="H861" s="17"/>
      <c r="I861" s="17"/>
      <c r="J861" s="17">
        <v>3.2800000000000003E-2</v>
      </c>
      <c r="K861" s="9" t="s">
        <v>1343</v>
      </c>
      <c r="L861" s="9" t="s">
        <v>802</v>
      </c>
      <c r="M861" s="9">
        <v>2022</v>
      </c>
      <c r="N861" s="9" t="s">
        <v>718</v>
      </c>
      <c r="O861" s="10" t="s">
        <v>719</v>
      </c>
      <c r="P861" s="9" t="s">
        <v>720</v>
      </c>
      <c r="Q861" s="9" t="s">
        <v>264</v>
      </c>
      <c r="R861" s="9" t="s">
        <v>1344</v>
      </c>
      <c r="S861" s="9" t="s">
        <v>2198</v>
      </c>
    </row>
    <row r="862" spans="2:19" x14ac:dyDescent="0.35">
      <c r="B862" s="18" t="s">
        <v>800</v>
      </c>
      <c r="C862" s="9" t="s">
        <v>803</v>
      </c>
      <c r="D862" s="9" t="s">
        <v>799</v>
      </c>
      <c r="E862" s="9" t="s">
        <v>39</v>
      </c>
      <c r="F862" s="17">
        <v>6.3399999999999998E-2</v>
      </c>
      <c r="G862" s="17"/>
      <c r="H862" s="17"/>
      <c r="I862" s="17"/>
      <c r="J862" s="17">
        <v>6.3399999999999998E-2</v>
      </c>
      <c r="K862" s="9" t="s">
        <v>1343</v>
      </c>
      <c r="L862" s="9" t="s">
        <v>804</v>
      </c>
      <c r="M862" s="9">
        <v>2023</v>
      </c>
      <c r="N862" s="9" t="s">
        <v>718</v>
      </c>
      <c r="O862" s="10" t="s">
        <v>719</v>
      </c>
      <c r="P862" s="9" t="s">
        <v>720</v>
      </c>
      <c r="Q862" s="9" t="s">
        <v>264</v>
      </c>
      <c r="R862" s="9" t="s">
        <v>1344</v>
      </c>
      <c r="S862" s="9" t="s">
        <v>2199</v>
      </c>
    </row>
    <row r="863" spans="2:19" x14ac:dyDescent="0.35">
      <c r="B863" s="18" t="s">
        <v>800</v>
      </c>
      <c r="C863" s="9" t="s">
        <v>803</v>
      </c>
      <c r="D863" s="9" t="s">
        <v>799</v>
      </c>
      <c r="E863" s="9" t="s">
        <v>39</v>
      </c>
      <c r="F863" s="17">
        <v>6.4500000000000002E-2</v>
      </c>
      <c r="G863" s="17"/>
      <c r="H863" s="17"/>
      <c r="I863" s="17"/>
      <c r="J863" s="17">
        <v>6.4500000000000002E-2</v>
      </c>
      <c r="K863" s="9" t="s">
        <v>1343</v>
      </c>
      <c r="L863" s="9" t="s">
        <v>804</v>
      </c>
      <c r="M863" s="9">
        <v>2022</v>
      </c>
      <c r="N863" s="9" t="s">
        <v>718</v>
      </c>
      <c r="O863" s="10" t="s">
        <v>719</v>
      </c>
      <c r="P863" s="9" t="s">
        <v>720</v>
      </c>
      <c r="Q863" s="9" t="s">
        <v>264</v>
      </c>
      <c r="R863" s="9" t="s">
        <v>1344</v>
      </c>
      <c r="S863" s="9" t="s">
        <v>2200</v>
      </c>
    </row>
    <row r="864" spans="2:19" x14ac:dyDescent="0.35">
      <c r="B864" s="18" t="s">
        <v>258</v>
      </c>
      <c r="C864" s="9" t="s">
        <v>259</v>
      </c>
      <c r="D864" s="9" t="s">
        <v>799</v>
      </c>
      <c r="E864" s="9" t="s">
        <v>39</v>
      </c>
      <c r="F864" s="17">
        <v>0.22600000000000001</v>
      </c>
      <c r="G864" s="17">
        <v>0.2253</v>
      </c>
      <c r="H864" s="17">
        <v>1E-4</v>
      </c>
      <c r="I864" s="17">
        <v>5.9999999999999995E-4</v>
      </c>
      <c r="J864" s="17">
        <v>0</v>
      </c>
      <c r="K864" s="9" t="s">
        <v>1343</v>
      </c>
      <c r="L864" s="9" t="s">
        <v>260</v>
      </c>
      <c r="M864" s="9">
        <v>2023</v>
      </c>
      <c r="N864" s="9" t="s">
        <v>399</v>
      </c>
      <c r="O864" s="10" t="s">
        <v>400</v>
      </c>
      <c r="P864" s="9" t="s">
        <v>401</v>
      </c>
      <c r="Q864" s="9" t="s">
        <v>264</v>
      </c>
      <c r="R864" s="9" t="s">
        <v>1344</v>
      </c>
      <c r="S864" s="9" t="s">
        <v>2201</v>
      </c>
    </row>
    <row r="865" spans="2:19" x14ac:dyDescent="0.35">
      <c r="B865" s="18" t="s">
        <v>258</v>
      </c>
      <c r="C865" s="9" t="s">
        <v>259</v>
      </c>
      <c r="D865" s="9" t="s">
        <v>799</v>
      </c>
      <c r="E865" s="9" t="s">
        <v>39</v>
      </c>
      <c r="F865" s="17">
        <v>0.22819999999999999</v>
      </c>
      <c r="G865" s="17">
        <v>0.22750000000000001</v>
      </c>
      <c r="H865" s="17">
        <v>1E-4</v>
      </c>
      <c r="I865" s="17">
        <v>5.9999999999999995E-4</v>
      </c>
      <c r="J865" s="17">
        <v>0</v>
      </c>
      <c r="K865" s="9" t="s">
        <v>1343</v>
      </c>
      <c r="L865" s="9" t="s">
        <v>260</v>
      </c>
      <c r="M865" s="9">
        <v>2024</v>
      </c>
      <c r="N865" s="9" t="s">
        <v>399</v>
      </c>
      <c r="O865" s="10" t="s">
        <v>400</v>
      </c>
      <c r="P865" s="9" t="s">
        <v>401</v>
      </c>
      <c r="Q865" s="9" t="s">
        <v>264</v>
      </c>
      <c r="R865" s="9" t="s">
        <v>1344</v>
      </c>
      <c r="S865" s="9" t="s">
        <v>2202</v>
      </c>
    </row>
    <row r="866" spans="2:19" x14ac:dyDescent="0.35">
      <c r="B866" s="18" t="s">
        <v>258</v>
      </c>
      <c r="C866" s="9" t="s">
        <v>259</v>
      </c>
      <c r="D866" s="9" t="s">
        <v>799</v>
      </c>
      <c r="E866" s="9" t="s">
        <v>39</v>
      </c>
      <c r="F866" s="17">
        <v>0.27689999999999998</v>
      </c>
      <c r="G866" s="17">
        <v>0.27600000000000002</v>
      </c>
      <c r="H866" s="17">
        <v>1E-4</v>
      </c>
      <c r="I866" s="17">
        <v>8.0000000000000004E-4</v>
      </c>
      <c r="J866" s="17">
        <v>0</v>
      </c>
      <c r="K866" s="9" t="s">
        <v>1343</v>
      </c>
      <c r="L866" s="9" t="s">
        <v>260</v>
      </c>
      <c r="M866" s="9">
        <v>2022</v>
      </c>
      <c r="N866" s="9" t="s">
        <v>399</v>
      </c>
      <c r="O866" s="10" t="s">
        <v>400</v>
      </c>
      <c r="P866" s="9" t="s">
        <v>401</v>
      </c>
      <c r="Q866" s="9" t="s">
        <v>264</v>
      </c>
      <c r="R866" s="9" t="s">
        <v>1344</v>
      </c>
      <c r="S866" s="9" t="s">
        <v>2203</v>
      </c>
    </row>
    <row r="867" spans="2:19" x14ac:dyDescent="0.35">
      <c r="B867" s="18" t="s">
        <v>800</v>
      </c>
      <c r="C867" s="9" t="s">
        <v>801</v>
      </c>
      <c r="D867" s="9" t="s">
        <v>799</v>
      </c>
      <c r="E867" s="9" t="s">
        <v>39</v>
      </c>
      <c r="F867" s="17">
        <v>2.46E-2</v>
      </c>
      <c r="G867" s="17"/>
      <c r="H867" s="17"/>
      <c r="I867" s="17"/>
      <c r="J867" s="17">
        <v>2.46E-2</v>
      </c>
      <c r="K867" s="9" t="s">
        <v>1343</v>
      </c>
      <c r="L867" s="9" t="s">
        <v>802</v>
      </c>
      <c r="M867" s="9">
        <v>2023</v>
      </c>
      <c r="N867" s="9" t="s">
        <v>399</v>
      </c>
      <c r="O867" s="10" t="s">
        <v>400</v>
      </c>
      <c r="P867" s="9" t="s">
        <v>401</v>
      </c>
      <c r="Q867" s="9" t="s">
        <v>264</v>
      </c>
      <c r="R867" s="9" t="s">
        <v>1344</v>
      </c>
      <c r="S867" s="9" t="s">
        <v>2204</v>
      </c>
    </row>
    <row r="868" spans="2:19" x14ac:dyDescent="0.35">
      <c r="B868" s="18" t="s">
        <v>800</v>
      </c>
      <c r="C868" s="9" t="s">
        <v>801</v>
      </c>
      <c r="D868" s="9" t="s">
        <v>799</v>
      </c>
      <c r="E868" s="9" t="s">
        <v>39</v>
      </c>
      <c r="F868" s="17">
        <v>3.0499999999999999E-2</v>
      </c>
      <c r="G868" s="17"/>
      <c r="H868" s="17"/>
      <c r="I868" s="17"/>
      <c r="J868" s="17">
        <v>3.0499999999999999E-2</v>
      </c>
      <c r="K868" s="9" t="s">
        <v>1343</v>
      </c>
      <c r="L868" s="9" t="s">
        <v>802</v>
      </c>
      <c r="M868" s="9">
        <v>2022</v>
      </c>
      <c r="N868" s="9" t="s">
        <v>399</v>
      </c>
      <c r="O868" s="10" t="s">
        <v>400</v>
      </c>
      <c r="P868" s="9" t="s">
        <v>401</v>
      </c>
      <c r="Q868" s="9" t="s">
        <v>264</v>
      </c>
      <c r="R868" s="9" t="s">
        <v>1344</v>
      </c>
      <c r="S868" s="9" t="s">
        <v>2205</v>
      </c>
    </row>
    <row r="869" spans="2:19" x14ac:dyDescent="0.35">
      <c r="B869" s="18" t="s">
        <v>800</v>
      </c>
      <c r="C869" s="9" t="s">
        <v>803</v>
      </c>
      <c r="D869" s="9" t="s">
        <v>799</v>
      </c>
      <c r="E869" s="9" t="s">
        <v>39</v>
      </c>
      <c r="F869" s="17">
        <v>4.53E-2</v>
      </c>
      <c r="G869" s="17"/>
      <c r="H869" s="17"/>
      <c r="I869" s="17"/>
      <c r="J869" s="17">
        <v>4.53E-2</v>
      </c>
      <c r="K869" s="9" t="s">
        <v>1343</v>
      </c>
      <c r="L869" s="9" t="s">
        <v>804</v>
      </c>
      <c r="M869" s="9">
        <v>2023</v>
      </c>
      <c r="N869" s="9" t="s">
        <v>399</v>
      </c>
      <c r="O869" s="10" t="s">
        <v>400</v>
      </c>
      <c r="P869" s="9" t="s">
        <v>401</v>
      </c>
      <c r="Q869" s="9" t="s">
        <v>264</v>
      </c>
      <c r="R869" s="9" t="s">
        <v>1344</v>
      </c>
      <c r="S869" s="9" t="s">
        <v>2206</v>
      </c>
    </row>
    <row r="870" spans="2:19" x14ac:dyDescent="0.35">
      <c r="B870" s="18" t="s">
        <v>800</v>
      </c>
      <c r="C870" s="9" t="s">
        <v>803</v>
      </c>
      <c r="D870" s="9" t="s">
        <v>799</v>
      </c>
      <c r="E870" s="9" t="s">
        <v>39</v>
      </c>
      <c r="F870" s="17">
        <v>4.5900000000000003E-2</v>
      </c>
      <c r="G870" s="17"/>
      <c r="H870" s="17"/>
      <c r="I870" s="17"/>
      <c r="J870" s="17">
        <v>4.5900000000000003E-2</v>
      </c>
      <c r="K870" s="9" t="s">
        <v>1343</v>
      </c>
      <c r="L870" s="9" t="s">
        <v>804</v>
      </c>
      <c r="M870" s="9">
        <v>2024</v>
      </c>
      <c r="N870" s="9" t="s">
        <v>399</v>
      </c>
      <c r="O870" s="10" t="s">
        <v>400</v>
      </c>
      <c r="P870" s="9" t="s">
        <v>401</v>
      </c>
      <c r="Q870" s="9" t="s">
        <v>264</v>
      </c>
      <c r="R870" s="9" t="s">
        <v>1344</v>
      </c>
      <c r="S870" s="9" t="s">
        <v>2207</v>
      </c>
    </row>
    <row r="871" spans="2:19" x14ac:dyDescent="0.35">
      <c r="B871" s="18" t="s">
        <v>800</v>
      </c>
      <c r="C871" s="9" t="s">
        <v>803</v>
      </c>
      <c r="D871" s="9" t="s">
        <v>799</v>
      </c>
      <c r="E871" s="9" t="s">
        <v>39</v>
      </c>
      <c r="F871" s="17">
        <v>5.3800000000000001E-2</v>
      </c>
      <c r="G871" s="17"/>
      <c r="H871" s="17"/>
      <c r="I871" s="17"/>
      <c r="J871" s="17">
        <v>5.3800000000000001E-2</v>
      </c>
      <c r="K871" s="9" t="s">
        <v>1343</v>
      </c>
      <c r="L871" s="9" t="s">
        <v>804</v>
      </c>
      <c r="M871" s="9">
        <v>2022</v>
      </c>
      <c r="N871" s="9" t="s">
        <v>399</v>
      </c>
      <c r="O871" s="10" t="s">
        <v>400</v>
      </c>
      <c r="P871" s="9" t="s">
        <v>401</v>
      </c>
      <c r="Q871" s="9" t="s">
        <v>264</v>
      </c>
      <c r="R871" s="9" t="s">
        <v>1344</v>
      </c>
      <c r="S871" s="9" t="s">
        <v>2208</v>
      </c>
    </row>
    <row r="872" spans="2:19" x14ac:dyDescent="0.35">
      <c r="B872" s="18" t="s">
        <v>258</v>
      </c>
      <c r="C872" s="9" t="s">
        <v>259</v>
      </c>
      <c r="D872" s="9" t="s">
        <v>799</v>
      </c>
      <c r="E872" s="9" t="s">
        <v>39</v>
      </c>
      <c r="F872" s="17">
        <v>0.37080000000000002</v>
      </c>
      <c r="G872" s="17">
        <v>0.36990000000000001</v>
      </c>
      <c r="H872" s="17">
        <v>2.0000000000000001E-4</v>
      </c>
      <c r="I872" s="17">
        <v>6.9999999999999999E-4</v>
      </c>
      <c r="J872" s="17">
        <v>0</v>
      </c>
      <c r="K872" s="9" t="s">
        <v>1343</v>
      </c>
      <c r="L872" s="9" t="s">
        <v>260</v>
      </c>
      <c r="M872" s="9">
        <v>2022</v>
      </c>
      <c r="N872" s="9" t="s">
        <v>274</v>
      </c>
      <c r="O872" s="10" t="s">
        <v>275</v>
      </c>
      <c r="P872" s="9" t="s">
        <v>276</v>
      </c>
      <c r="Q872" s="9" t="s">
        <v>264</v>
      </c>
      <c r="R872" s="9" t="s">
        <v>1344</v>
      </c>
      <c r="S872" s="9" t="s">
        <v>2209</v>
      </c>
    </row>
    <row r="873" spans="2:19" x14ac:dyDescent="0.35">
      <c r="B873" s="18" t="s">
        <v>258</v>
      </c>
      <c r="C873" s="9" t="s">
        <v>259</v>
      </c>
      <c r="D873" s="9" t="s">
        <v>799</v>
      </c>
      <c r="E873" s="9" t="s">
        <v>39</v>
      </c>
      <c r="F873" s="17">
        <v>0.39179999999999998</v>
      </c>
      <c r="G873" s="17">
        <v>0.39079999999999998</v>
      </c>
      <c r="H873" s="17">
        <v>2.0000000000000001E-4</v>
      </c>
      <c r="I873" s="17">
        <v>8.0000000000000004E-4</v>
      </c>
      <c r="J873" s="17">
        <v>0</v>
      </c>
      <c r="K873" s="9" t="s">
        <v>1343</v>
      </c>
      <c r="L873" s="9" t="s">
        <v>260</v>
      </c>
      <c r="M873" s="9">
        <v>2023</v>
      </c>
      <c r="N873" s="9" t="s">
        <v>274</v>
      </c>
      <c r="O873" s="10" t="s">
        <v>275</v>
      </c>
      <c r="P873" s="9" t="s">
        <v>276</v>
      </c>
      <c r="Q873" s="9" t="s">
        <v>264</v>
      </c>
      <c r="R873" s="9" t="s">
        <v>1344</v>
      </c>
      <c r="S873" s="9" t="s">
        <v>2210</v>
      </c>
    </row>
    <row r="874" spans="2:19" x14ac:dyDescent="0.35">
      <c r="B874" s="18" t="s">
        <v>800</v>
      </c>
      <c r="C874" s="9" t="s">
        <v>801</v>
      </c>
      <c r="D874" s="9" t="s">
        <v>799</v>
      </c>
      <c r="E874" s="9" t="s">
        <v>39</v>
      </c>
      <c r="F874" s="17">
        <v>3.9300000000000002E-2</v>
      </c>
      <c r="G874" s="17"/>
      <c r="H874" s="17"/>
      <c r="I874" s="17"/>
      <c r="J874" s="17">
        <v>3.9300000000000002E-2</v>
      </c>
      <c r="K874" s="9" t="s">
        <v>1343</v>
      </c>
      <c r="L874" s="9" t="s">
        <v>802</v>
      </c>
      <c r="M874" s="9">
        <v>2022</v>
      </c>
      <c r="N874" s="9" t="s">
        <v>274</v>
      </c>
      <c r="O874" s="10" t="s">
        <v>275</v>
      </c>
      <c r="P874" s="9" t="s">
        <v>276</v>
      </c>
      <c r="Q874" s="9" t="s">
        <v>264</v>
      </c>
      <c r="R874" s="9" t="s">
        <v>1344</v>
      </c>
      <c r="S874" s="9" t="s">
        <v>2211</v>
      </c>
    </row>
    <row r="875" spans="2:19" x14ac:dyDescent="0.35">
      <c r="B875" s="18" t="s">
        <v>800</v>
      </c>
      <c r="C875" s="9" t="s">
        <v>801</v>
      </c>
      <c r="D875" s="9" t="s">
        <v>799</v>
      </c>
      <c r="E875" s="9" t="s">
        <v>39</v>
      </c>
      <c r="F875" s="17">
        <v>4.0599999999999997E-2</v>
      </c>
      <c r="G875" s="17"/>
      <c r="H875" s="17"/>
      <c r="I875" s="17"/>
      <c r="J875" s="17">
        <v>4.0599999999999997E-2</v>
      </c>
      <c r="K875" s="9" t="s">
        <v>1343</v>
      </c>
      <c r="L875" s="9" t="s">
        <v>802</v>
      </c>
      <c r="M875" s="9">
        <v>2023</v>
      </c>
      <c r="N875" s="9" t="s">
        <v>274</v>
      </c>
      <c r="O875" s="10" t="s">
        <v>275</v>
      </c>
      <c r="P875" s="9" t="s">
        <v>276</v>
      </c>
      <c r="Q875" s="9" t="s">
        <v>264</v>
      </c>
      <c r="R875" s="9" t="s">
        <v>1344</v>
      </c>
      <c r="S875" s="9" t="s">
        <v>2212</v>
      </c>
    </row>
    <row r="876" spans="2:19" x14ac:dyDescent="0.35">
      <c r="B876" s="18" t="s">
        <v>800</v>
      </c>
      <c r="C876" s="9" t="s">
        <v>803</v>
      </c>
      <c r="D876" s="9" t="s">
        <v>799</v>
      </c>
      <c r="E876" s="9" t="s">
        <v>39</v>
      </c>
      <c r="F876" s="17">
        <v>5.9400000000000001E-2</v>
      </c>
      <c r="G876" s="17"/>
      <c r="H876" s="17"/>
      <c r="I876" s="17"/>
      <c r="J876" s="17">
        <v>5.9400000000000001E-2</v>
      </c>
      <c r="K876" s="9" t="s">
        <v>1343</v>
      </c>
      <c r="L876" s="9" t="s">
        <v>804</v>
      </c>
      <c r="M876" s="9">
        <v>2022</v>
      </c>
      <c r="N876" s="9" t="s">
        <v>274</v>
      </c>
      <c r="O876" s="10" t="s">
        <v>275</v>
      </c>
      <c r="P876" s="9" t="s">
        <v>276</v>
      </c>
      <c r="Q876" s="9" t="s">
        <v>264</v>
      </c>
      <c r="R876" s="9" t="s">
        <v>1344</v>
      </c>
      <c r="S876" s="9" t="s">
        <v>2213</v>
      </c>
    </row>
    <row r="877" spans="2:19" x14ac:dyDescent="0.35">
      <c r="B877" s="18" t="s">
        <v>800</v>
      </c>
      <c r="C877" s="9" t="s">
        <v>803</v>
      </c>
      <c r="D877" s="9" t="s">
        <v>799</v>
      </c>
      <c r="E877" s="9" t="s">
        <v>39</v>
      </c>
      <c r="F877" s="17">
        <v>6.1400000000000003E-2</v>
      </c>
      <c r="G877" s="17"/>
      <c r="H877" s="17"/>
      <c r="I877" s="17"/>
      <c r="J877" s="17">
        <v>6.1400000000000003E-2</v>
      </c>
      <c r="K877" s="9" t="s">
        <v>1343</v>
      </c>
      <c r="L877" s="9" t="s">
        <v>804</v>
      </c>
      <c r="M877" s="9">
        <v>2023</v>
      </c>
      <c r="N877" s="9" t="s">
        <v>274</v>
      </c>
      <c r="O877" s="10" t="s">
        <v>275</v>
      </c>
      <c r="P877" s="9" t="s">
        <v>276</v>
      </c>
      <c r="Q877" s="9" t="s">
        <v>264</v>
      </c>
      <c r="R877" s="9" t="s">
        <v>1344</v>
      </c>
      <c r="S877" s="9" t="s">
        <v>2214</v>
      </c>
    </row>
    <row r="878" spans="2:19" x14ac:dyDescent="0.35">
      <c r="B878" s="18" t="s">
        <v>258</v>
      </c>
      <c r="C878" s="9" t="s">
        <v>259</v>
      </c>
      <c r="D878" s="9" t="s">
        <v>799</v>
      </c>
      <c r="E878" s="9" t="s">
        <v>39</v>
      </c>
      <c r="F878" s="17">
        <v>0.38109999999999999</v>
      </c>
      <c r="G878" s="17">
        <v>0.37990000000000002</v>
      </c>
      <c r="H878" s="17">
        <v>2.0000000000000001E-4</v>
      </c>
      <c r="I878" s="17">
        <v>1E-3</v>
      </c>
      <c r="J878" s="17">
        <v>0</v>
      </c>
      <c r="K878" s="9" t="s">
        <v>1343</v>
      </c>
      <c r="L878" s="9" t="s">
        <v>260</v>
      </c>
      <c r="M878" s="9">
        <v>2023</v>
      </c>
      <c r="N878" s="9" t="s">
        <v>359</v>
      </c>
      <c r="O878" s="10" t="s">
        <v>360</v>
      </c>
      <c r="P878" s="9" t="s">
        <v>361</v>
      </c>
      <c r="Q878" s="9" t="s">
        <v>264</v>
      </c>
      <c r="R878" s="9" t="s">
        <v>1344</v>
      </c>
      <c r="S878" s="9" t="s">
        <v>2215</v>
      </c>
    </row>
    <row r="879" spans="2:19" x14ac:dyDescent="0.35">
      <c r="B879" s="18" t="s">
        <v>258</v>
      </c>
      <c r="C879" s="9" t="s">
        <v>259</v>
      </c>
      <c r="D879" s="9" t="s">
        <v>799</v>
      </c>
      <c r="E879" s="9" t="s">
        <v>39</v>
      </c>
      <c r="F879" s="17">
        <v>0.4113</v>
      </c>
      <c r="G879" s="17">
        <v>0.41</v>
      </c>
      <c r="H879" s="17">
        <v>2.0000000000000001E-4</v>
      </c>
      <c r="I879" s="17">
        <v>1.1000000000000001E-3</v>
      </c>
      <c r="J879" s="17">
        <v>0</v>
      </c>
      <c r="K879" s="9" t="s">
        <v>1343</v>
      </c>
      <c r="L879" s="9" t="s">
        <v>260</v>
      </c>
      <c r="M879" s="9">
        <v>2022</v>
      </c>
      <c r="N879" s="9" t="s">
        <v>359</v>
      </c>
      <c r="O879" s="10" t="s">
        <v>360</v>
      </c>
      <c r="P879" s="9" t="s">
        <v>361</v>
      </c>
      <c r="Q879" s="9" t="s">
        <v>264</v>
      </c>
      <c r="R879" s="9" t="s">
        <v>1344</v>
      </c>
      <c r="S879" s="9" t="s">
        <v>2216</v>
      </c>
    </row>
    <row r="880" spans="2:19" x14ac:dyDescent="0.35">
      <c r="B880" s="18" t="s">
        <v>800</v>
      </c>
      <c r="C880" s="9" t="s">
        <v>801</v>
      </c>
      <c r="D880" s="9" t="s">
        <v>799</v>
      </c>
      <c r="E880" s="9" t="s">
        <v>39</v>
      </c>
      <c r="F880" s="17">
        <v>7.3700000000000002E-2</v>
      </c>
      <c r="G880" s="17"/>
      <c r="H880" s="17"/>
      <c r="I880" s="17"/>
      <c r="J880" s="17">
        <v>7.3700000000000002E-2</v>
      </c>
      <c r="K880" s="9" t="s">
        <v>1343</v>
      </c>
      <c r="L880" s="9" t="s">
        <v>802</v>
      </c>
      <c r="M880" s="9">
        <v>2023</v>
      </c>
      <c r="N880" s="9" t="s">
        <v>359</v>
      </c>
      <c r="O880" s="10" t="s">
        <v>360</v>
      </c>
      <c r="P880" s="9" t="s">
        <v>361</v>
      </c>
      <c r="Q880" s="9" t="s">
        <v>264</v>
      </c>
      <c r="R880" s="9" t="s">
        <v>1344</v>
      </c>
      <c r="S880" s="9" t="s">
        <v>2217</v>
      </c>
    </row>
    <row r="881" spans="2:19" x14ac:dyDescent="0.35">
      <c r="B881" s="18" t="s">
        <v>800</v>
      </c>
      <c r="C881" s="9" t="s">
        <v>801</v>
      </c>
      <c r="D881" s="9" t="s">
        <v>799</v>
      </c>
      <c r="E881" s="9" t="s">
        <v>39</v>
      </c>
      <c r="F881" s="17">
        <v>8.0100000000000005E-2</v>
      </c>
      <c r="G881" s="17"/>
      <c r="H881" s="17"/>
      <c r="I881" s="17"/>
      <c r="J881" s="17">
        <v>8.0100000000000005E-2</v>
      </c>
      <c r="K881" s="9" t="s">
        <v>1343</v>
      </c>
      <c r="L881" s="9" t="s">
        <v>802</v>
      </c>
      <c r="M881" s="9">
        <v>2022</v>
      </c>
      <c r="N881" s="9" t="s">
        <v>359</v>
      </c>
      <c r="O881" s="10" t="s">
        <v>360</v>
      </c>
      <c r="P881" s="9" t="s">
        <v>361</v>
      </c>
      <c r="Q881" s="9" t="s">
        <v>264</v>
      </c>
      <c r="R881" s="9" t="s">
        <v>1344</v>
      </c>
      <c r="S881" s="9" t="s">
        <v>2218</v>
      </c>
    </row>
    <row r="882" spans="2:19" x14ac:dyDescent="0.35">
      <c r="B882" s="18" t="s">
        <v>800</v>
      </c>
      <c r="C882" s="9" t="s">
        <v>803</v>
      </c>
      <c r="D882" s="9" t="s">
        <v>799</v>
      </c>
      <c r="E882" s="9" t="s">
        <v>39</v>
      </c>
      <c r="F882" s="17">
        <v>5.9700000000000003E-2</v>
      </c>
      <c r="G882" s="17"/>
      <c r="H882" s="17"/>
      <c r="I882" s="17"/>
      <c r="J882" s="17">
        <v>5.9700000000000003E-2</v>
      </c>
      <c r="K882" s="9" t="s">
        <v>1343</v>
      </c>
      <c r="L882" s="9" t="s">
        <v>804</v>
      </c>
      <c r="M882" s="9">
        <v>2023</v>
      </c>
      <c r="N882" s="9" t="s">
        <v>359</v>
      </c>
      <c r="O882" s="10" t="s">
        <v>360</v>
      </c>
      <c r="P882" s="9" t="s">
        <v>361</v>
      </c>
      <c r="Q882" s="9" t="s">
        <v>264</v>
      </c>
      <c r="R882" s="9" t="s">
        <v>1344</v>
      </c>
      <c r="S882" s="9" t="s">
        <v>2219</v>
      </c>
    </row>
    <row r="883" spans="2:19" x14ac:dyDescent="0.35">
      <c r="B883" s="18" t="s">
        <v>800</v>
      </c>
      <c r="C883" s="9" t="s">
        <v>803</v>
      </c>
      <c r="D883" s="9" t="s">
        <v>799</v>
      </c>
      <c r="E883" s="9" t="s">
        <v>39</v>
      </c>
      <c r="F883" s="17">
        <v>6.2899999999999998E-2</v>
      </c>
      <c r="G883" s="17"/>
      <c r="H883" s="17"/>
      <c r="I883" s="17"/>
      <c r="J883" s="17">
        <v>6.2899999999999998E-2</v>
      </c>
      <c r="K883" s="9" t="s">
        <v>1343</v>
      </c>
      <c r="L883" s="9" t="s">
        <v>804</v>
      </c>
      <c r="M883" s="9">
        <v>2022</v>
      </c>
      <c r="N883" s="9" t="s">
        <v>359</v>
      </c>
      <c r="O883" s="10" t="s">
        <v>360</v>
      </c>
      <c r="P883" s="9" t="s">
        <v>361</v>
      </c>
      <c r="Q883" s="9" t="s">
        <v>264</v>
      </c>
      <c r="R883" s="9" t="s">
        <v>1344</v>
      </c>
      <c r="S883" s="9" t="s">
        <v>2220</v>
      </c>
    </row>
    <row r="884" spans="2:19" x14ac:dyDescent="0.35">
      <c r="B884" s="18" t="s">
        <v>258</v>
      </c>
      <c r="C884" s="9" t="s">
        <v>259</v>
      </c>
      <c r="D884" s="9" t="s">
        <v>799</v>
      </c>
      <c r="E884" s="9" t="s">
        <v>39</v>
      </c>
      <c r="F884" s="17">
        <v>0.59799999999999998</v>
      </c>
      <c r="G884" s="17">
        <v>0.59670000000000001</v>
      </c>
      <c r="H884" s="17">
        <v>5.0000000000000001E-4</v>
      </c>
      <c r="I884" s="17">
        <v>8.0000000000000004E-4</v>
      </c>
      <c r="J884" s="17">
        <v>0</v>
      </c>
      <c r="K884" s="9" t="s">
        <v>1343</v>
      </c>
      <c r="L884" s="9" t="s">
        <v>260</v>
      </c>
      <c r="M884" s="9">
        <v>2023</v>
      </c>
      <c r="N884" s="9" t="s">
        <v>733</v>
      </c>
      <c r="O884" s="10" t="s">
        <v>734</v>
      </c>
      <c r="P884" s="9" t="s">
        <v>735</v>
      </c>
      <c r="Q884" s="9" t="s">
        <v>264</v>
      </c>
      <c r="R884" s="9" t="s">
        <v>1344</v>
      </c>
      <c r="S884" s="9" t="s">
        <v>2221</v>
      </c>
    </row>
    <row r="885" spans="2:19" x14ac:dyDescent="0.35">
      <c r="B885" s="18" t="s">
        <v>258</v>
      </c>
      <c r="C885" s="9" t="s">
        <v>259</v>
      </c>
      <c r="D885" s="9" t="s">
        <v>799</v>
      </c>
      <c r="E885" s="9" t="s">
        <v>39</v>
      </c>
      <c r="F885" s="17">
        <v>0.62570000000000003</v>
      </c>
      <c r="G885" s="17">
        <v>0.62439999999999996</v>
      </c>
      <c r="H885" s="17">
        <v>5.0000000000000001E-4</v>
      </c>
      <c r="I885" s="17">
        <v>8.0000000000000004E-4</v>
      </c>
      <c r="J885" s="17">
        <v>0</v>
      </c>
      <c r="K885" s="9" t="s">
        <v>1343</v>
      </c>
      <c r="L885" s="9" t="s">
        <v>260</v>
      </c>
      <c r="M885" s="9">
        <v>2022</v>
      </c>
      <c r="N885" s="9" t="s">
        <v>733</v>
      </c>
      <c r="O885" s="10" t="s">
        <v>734</v>
      </c>
      <c r="P885" s="9" t="s">
        <v>735</v>
      </c>
      <c r="Q885" s="9" t="s">
        <v>264</v>
      </c>
      <c r="R885" s="9" t="s">
        <v>1344</v>
      </c>
      <c r="S885" s="9" t="s">
        <v>2222</v>
      </c>
    </row>
    <row r="886" spans="2:19" x14ac:dyDescent="0.35">
      <c r="B886" s="18" t="s">
        <v>800</v>
      </c>
      <c r="C886" s="9" t="s">
        <v>801</v>
      </c>
      <c r="D886" s="9" t="s">
        <v>799</v>
      </c>
      <c r="E886" s="9" t="s">
        <v>39</v>
      </c>
      <c r="F886" s="17">
        <v>6.6100000000000006E-2</v>
      </c>
      <c r="G886" s="17"/>
      <c r="H886" s="17"/>
      <c r="I886" s="17"/>
      <c r="J886" s="17">
        <v>6.6100000000000006E-2</v>
      </c>
      <c r="K886" s="9" t="s">
        <v>1343</v>
      </c>
      <c r="L886" s="9" t="s">
        <v>802</v>
      </c>
      <c r="M886" s="9">
        <v>2023</v>
      </c>
      <c r="N886" s="9" t="s">
        <v>733</v>
      </c>
      <c r="O886" s="10" t="s">
        <v>734</v>
      </c>
      <c r="P886" s="9" t="s">
        <v>735</v>
      </c>
      <c r="Q886" s="9" t="s">
        <v>264</v>
      </c>
      <c r="R886" s="9" t="s">
        <v>1344</v>
      </c>
      <c r="S886" s="9" t="s">
        <v>2223</v>
      </c>
    </row>
    <row r="887" spans="2:19" x14ac:dyDescent="0.35">
      <c r="B887" s="18" t="s">
        <v>800</v>
      </c>
      <c r="C887" s="9" t="s">
        <v>801</v>
      </c>
      <c r="D887" s="9" t="s">
        <v>799</v>
      </c>
      <c r="E887" s="9" t="s">
        <v>39</v>
      </c>
      <c r="F887" s="17">
        <v>6.9500000000000006E-2</v>
      </c>
      <c r="G887" s="17"/>
      <c r="H887" s="17"/>
      <c r="I887" s="17"/>
      <c r="J887" s="17">
        <v>6.9500000000000006E-2</v>
      </c>
      <c r="K887" s="9" t="s">
        <v>1343</v>
      </c>
      <c r="L887" s="9" t="s">
        <v>802</v>
      </c>
      <c r="M887" s="9">
        <v>2022</v>
      </c>
      <c r="N887" s="9" t="s">
        <v>733</v>
      </c>
      <c r="O887" s="10" t="s">
        <v>734</v>
      </c>
      <c r="P887" s="9" t="s">
        <v>735</v>
      </c>
      <c r="Q887" s="9" t="s">
        <v>264</v>
      </c>
      <c r="R887" s="9" t="s">
        <v>1344</v>
      </c>
      <c r="S887" s="9" t="s">
        <v>2224</v>
      </c>
    </row>
    <row r="888" spans="2:19" x14ac:dyDescent="0.35">
      <c r="B888" s="18" t="s">
        <v>800</v>
      </c>
      <c r="C888" s="9" t="s">
        <v>803</v>
      </c>
      <c r="D888" s="9" t="s">
        <v>799</v>
      </c>
      <c r="E888" s="9" t="s">
        <v>39</v>
      </c>
      <c r="F888" s="17">
        <v>9.8299999999999998E-2</v>
      </c>
      <c r="G888" s="17"/>
      <c r="H888" s="17"/>
      <c r="I888" s="17"/>
      <c r="J888" s="17">
        <v>9.8299999999999998E-2</v>
      </c>
      <c r="K888" s="9" t="s">
        <v>1343</v>
      </c>
      <c r="L888" s="9" t="s">
        <v>804</v>
      </c>
      <c r="M888" s="9">
        <v>2023</v>
      </c>
      <c r="N888" s="9" t="s">
        <v>733</v>
      </c>
      <c r="O888" s="10" t="s">
        <v>734</v>
      </c>
      <c r="P888" s="9" t="s">
        <v>735</v>
      </c>
      <c r="Q888" s="9" t="s">
        <v>264</v>
      </c>
      <c r="R888" s="9" t="s">
        <v>1344</v>
      </c>
      <c r="S888" s="9" t="s">
        <v>2225</v>
      </c>
    </row>
    <row r="889" spans="2:19" x14ac:dyDescent="0.35">
      <c r="B889" s="18" t="s">
        <v>800</v>
      </c>
      <c r="C889" s="9" t="s">
        <v>803</v>
      </c>
      <c r="D889" s="9" t="s">
        <v>799</v>
      </c>
      <c r="E889" s="9" t="s">
        <v>39</v>
      </c>
      <c r="F889" s="17">
        <v>0.1041</v>
      </c>
      <c r="G889" s="17"/>
      <c r="H889" s="17"/>
      <c r="I889" s="17"/>
      <c r="J889" s="17">
        <v>0.1041</v>
      </c>
      <c r="K889" s="9" t="s">
        <v>1343</v>
      </c>
      <c r="L889" s="9" t="s">
        <v>804</v>
      </c>
      <c r="M889" s="9">
        <v>2022</v>
      </c>
      <c r="N889" s="9" t="s">
        <v>733</v>
      </c>
      <c r="O889" s="10" t="s">
        <v>734</v>
      </c>
      <c r="P889" s="9" t="s">
        <v>735</v>
      </c>
      <c r="Q889" s="9" t="s">
        <v>264</v>
      </c>
      <c r="R889" s="9" t="s">
        <v>1344</v>
      </c>
      <c r="S889" s="9" t="s">
        <v>2226</v>
      </c>
    </row>
    <row r="890" spans="2:19" x14ac:dyDescent="0.35">
      <c r="B890" s="18" t="s">
        <v>258</v>
      </c>
      <c r="C890" s="9" t="s">
        <v>259</v>
      </c>
      <c r="D890" s="9" t="s">
        <v>799</v>
      </c>
      <c r="E890" s="9" t="s">
        <v>39</v>
      </c>
      <c r="F890" s="17">
        <v>0.4894</v>
      </c>
      <c r="G890" s="17">
        <v>0.48720000000000002</v>
      </c>
      <c r="H890" s="17">
        <v>8.0000000000000004E-4</v>
      </c>
      <c r="I890" s="17">
        <v>1.4E-3</v>
      </c>
      <c r="J890" s="17">
        <v>0</v>
      </c>
      <c r="K890" s="9" t="s">
        <v>1343</v>
      </c>
      <c r="L890" s="9" t="s">
        <v>260</v>
      </c>
      <c r="M890" s="9">
        <v>2023</v>
      </c>
      <c r="N890" s="9" t="s">
        <v>619</v>
      </c>
      <c r="O890" s="10" t="s">
        <v>620</v>
      </c>
      <c r="P890" s="9" t="s">
        <v>621</v>
      </c>
      <c r="Q890" s="9" t="s">
        <v>264</v>
      </c>
      <c r="R890" s="9" t="s">
        <v>1344</v>
      </c>
      <c r="S890" s="9" t="s">
        <v>2227</v>
      </c>
    </row>
    <row r="891" spans="2:19" x14ac:dyDescent="0.35">
      <c r="B891" s="18" t="s">
        <v>258</v>
      </c>
      <c r="C891" s="9" t="s">
        <v>259</v>
      </c>
      <c r="D891" s="9" t="s">
        <v>799</v>
      </c>
      <c r="E891" s="9" t="s">
        <v>39</v>
      </c>
      <c r="F891" s="17">
        <v>0.55159999999999998</v>
      </c>
      <c r="G891" s="17">
        <v>0.54900000000000004</v>
      </c>
      <c r="H891" s="17">
        <v>8.0000000000000004E-4</v>
      </c>
      <c r="I891" s="17">
        <v>1.8E-3</v>
      </c>
      <c r="J891" s="17">
        <v>0</v>
      </c>
      <c r="K891" s="9" t="s">
        <v>1343</v>
      </c>
      <c r="L891" s="9" t="s">
        <v>260</v>
      </c>
      <c r="M891" s="9">
        <v>2022</v>
      </c>
      <c r="N891" s="9" t="s">
        <v>619</v>
      </c>
      <c r="O891" s="10" t="s">
        <v>620</v>
      </c>
      <c r="P891" s="9" t="s">
        <v>621</v>
      </c>
      <c r="Q891" s="9" t="s">
        <v>264</v>
      </c>
      <c r="R891" s="9" t="s">
        <v>1344</v>
      </c>
      <c r="S891" s="9" t="s">
        <v>2228</v>
      </c>
    </row>
    <row r="892" spans="2:19" x14ac:dyDescent="0.35">
      <c r="B892" s="18" t="s">
        <v>800</v>
      </c>
      <c r="C892" s="9" t="s">
        <v>801</v>
      </c>
      <c r="D892" s="9" t="s">
        <v>799</v>
      </c>
      <c r="E892" s="9" t="s">
        <v>39</v>
      </c>
      <c r="F892" s="17">
        <v>7.2599999999999998E-2</v>
      </c>
      <c r="G892" s="17"/>
      <c r="H892" s="17"/>
      <c r="I892" s="17"/>
      <c r="J892" s="17">
        <v>7.2599999999999998E-2</v>
      </c>
      <c r="K892" s="9" t="s">
        <v>1343</v>
      </c>
      <c r="L892" s="9" t="s">
        <v>802</v>
      </c>
      <c r="M892" s="9">
        <v>2023</v>
      </c>
      <c r="N892" s="9" t="s">
        <v>619</v>
      </c>
      <c r="O892" s="10" t="s">
        <v>620</v>
      </c>
      <c r="P892" s="9" t="s">
        <v>621</v>
      </c>
      <c r="Q892" s="9" t="s">
        <v>264</v>
      </c>
      <c r="R892" s="9" t="s">
        <v>1344</v>
      </c>
      <c r="S892" s="9" t="s">
        <v>2229</v>
      </c>
    </row>
    <row r="893" spans="2:19" x14ac:dyDescent="0.35">
      <c r="B893" s="18" t="s">
        <v>800</v>
      </c>
      <c r="C893" s="9" t="s">
        <v>801</v>
      </c>
      <c r="D893" s="9" t="s">
        <v>799</v>
      </c>
      <c r="E893" s="9" t="s">
        <v>39</v>
      </c>
      <c r="F893" s="17">
        <v>8.09E-2</v>
      </c>
      <c r="G893" s="17"/>
      <c r="H893" s="17"/>
      <c r="I893" s="17"/>
      <c r="J893" s="17">
        <v>8.09E-2</v>
      </c>
      <c r="K893" s="9" t="s">
        <v>1343</v>
      </c>
      <c r="L893" s="9" t="s">
        <v>802</v>
      </c>
      <c r="M893" s="9">
        <v>2022</v>
      </c>
      <c r="N893" s="9" t="s">
        <v>619</v>
      </c>
      <c r="O893" s="10" t="s">
        <v>620</v>
      </c>
      <c r="P893" s="9" t="s">
        <v>621</v>
      </c>
      <c r="Q893" s="9" t="s">
        <v>264</v>
      </c>
      <c r="R893" s="9" t="s">
        <v>1344</v>
      </c>
      <c r="S893" s="9" t="s">
        <v>2230</v>
      </c>
    </row>
    <row r="894" spans="2:19" x14ac:dyDescent="0.35">
      <c r="B894" s="18" t="s">
        <v>800</v>
      </c>
      <c r="C894" s="9" t="s">
        <v>803</v>
      </c>
      <c r="D894" s="9" t="s">
        <v>799</v>
      </c>
      <c r="E894" s="9" t="s">
        <v>39</v>
      </c>
      <c r="F894" s="17">
        <v>9.7900000000000001E-2</v>
      </c>
      <c r="G894" s="17"/>
      <c r="H894" s="17"/>
      <c r="I894" s="17"/>
      <c r="J894" s="17">
        <v>9.7900000000000001E-2</v>
      </c>
      <c r="K894" s="9" t="s">
        <v>1343</v>
      </c>
      <c r="L894" s="9" t="s">
        <v>804</v>
      </c>
      <c r="M894" s="9">
        <v>2023</v>
      </c>
      <c r="N894" s="9" t="s">
        <v>619</v>
      </c>
      <c r="O894" s="10" t="s">
        <v>620</v>
      </c>
      <c r="P894" s="9" t="s">
        <v>621</v>
      </c>
      <c r="Q894" s="9" t="s">
        <v>264</v>
      </c>
      <c r="R894" s="9" t="s">
        <v>1344</v>
      </c>
      <c r="S894" s="9" t="s">
        <v>2231</v>
      </c>
    </row>
    <row r="895" spans="2:19" x14ac:dyDescent="0.35">
      <c r="B895" s="18" t="s">
        <v>800</v>
      </c>
      <c r="C895" s="9" t="s">
        <v>803</v>
      </c>
      <c r="D895" s="9" t="s">
        <v>799</v>
      </c>
      <c r="E895" s="9" t="s">
        <v>39</v>
      </c>
      <c r="F895" s="17">
        <v>0.1024</v>
      </c>
      <c r="G895" s="17"/>
      <c r="H895" s="17"/>
      <c r="I895" s="17"/>
      <c r="J895" s="17">
        <v>0.1024</v>
      </c>
      <c r="K895" s="9" t="s">
        <v>1343</v>
      </c>
      <c r="L895" s="9" t="s">
        <v>804</v>
      </c>
      <c r="M895" s="9">
        <v>2022</v>
      </c>
      <c r="N895" s="9" t="s">
        <v>619</v>
      </c>
      <c r="O895" s="10" t="s">
        <v>620</v>
      </c>
      <c r="P895" s="9" t="s">
        <v>621</v>
      </c>
      <c r="Q895" s="9" t="s">
        <v>264</v>
      </c>
      <c r="R895" s="9" t="s">
        <v>1344</v>
      </c>
      <c r="S895" s="9" t="s">
        <v>2232</v>
      </c>
    </row>
    <row r="896" spans="2:19" x14ac:dyDescent="0.35">
      <c r="B896" s="18" t="s">
        <v>258</v>
      </c>
      <c r="C896" s="9" t="s">
        <v>259</v>
      </c>
      <c r="D896" s="9" t="s">
        <v>799</v>
      </c>
      <c r="E896" s="9" t="s">
        <v>39</v>
      </c>
      <c r="F896" s="17">
        <v>0.67200000000000004</v>
      </c>
      <c r="G896" s="17">
        <v>0.66930000000000001</v>
      </c>
      <c r="H896" s="17">
        <v>2.0000000000000001E-4</v>
      </c>
      <c r="I896" s="17">
        <v>2.5000000000000001E-3</v>
      </c>
      <c r="J896" s="17">
        <v>0</v>
      </c>
      <c r="K896" s="9" t="s">
        <v>1343</v>
      </c>
      <c r="L896" s="9" t="s">
        <v>260</v>
      </c>
      <c r="M896" s="9">
        <v>2023</v>
      </c>
      <c r="N896" s="9" t="s">
        <v>268</v>
      </c>
      <c r="O896" s="10" t="s">
        <v>269</v>
      </c>
      <c r="P896" s="9" t="s">
        <v>270</v>
      </c>
      <c r="Q896" s="9" t="s">
        <v>264</v>
      </c>
      <c r="R896" s="9" t="s">
        <v>1344</v>
      </c>
      <c r="S896" s="9" t="s">
        <v>2233</v>
      </c>
    </row>
    <row r="897" spans="2:19" x14ac:dyDescent="0.35">
      <c r="B897" s="18" t="s">
        <v>258</v>
      </c>
      <c r="C897" s="9" t="s">
        <v>259</v>
      </c>
      <c r="D897" s="9" t="s">
        <v>799</v>
      </c>
      <c r="E897" s="9" t="s">
        <v>39</v>
      </c>
      <c r="F897" s="17">
        <v>0.68640000000000001</v>
      </c>
      <c r="G897" s="17">
        <v>0.68369999999999997</v>
      </c>
      <c r="H897" s="17">
        <v>2.0000000000000001E-4</v>
      </c>
      <c r="I897" s="17">
        <v>2.5000000000000001E-3</v>
      </c>
      <c r="J897" s="17">
        <v>0</v>
      </c>
      <c r="K897" s="9" t="s">
        <v>1343</v>
      </c>
      <c r="L897" s="9" t="s">
        <v>260</v>
      </c>
      <c r="M897" s="9">
        <v>2024</v>
      </c>
      <c r="N897" s="9" t="s">
        <v>268</v>
      </c>
      <c r="O897" s="10" t="s">
        <v>269</v>
      </c>
      <c r="P897" s="9" t="s">
        <v>270</v>
      </c>
      <c r="Q897" s="9" t="s">
        <v>264</v>
      </c>
      <c r="R897" s="9" t="s">
        <v>1344</v>
      </c>
      <c r="S897" s="9" t="s">
        <v>2234</v>
      </c>
    </row>
    <row r="898" spans="2:19" x14ac:dyDescent="0.35">
      <c r="B898" s="18" t="s">
        <v>258</v>
      </c>
      <c r="C898" s="9" t="s">
        <v>259</v>
      </c>
      <c r="D898" s="9" t="s">
        <v>799</v>
      </c>
      <c r="E898" s="9" t="s">
        <v>39</v>
      </c>
      <c r="F898" s="17">
        <v>0.76770000000000005</v>
      </c>
      <c r="G898" s="17">
        <v>0.76459999999999995</v>
      </c>
      <c r="H898" s="17">
        <v>2.0000000000000001E-4</v>
      </c>
      <c r="I898" s="17">
        <v>2.8999999999999998E-3</v>
      </c>
      <c r="J898" s="17">
        <v>0</v>
      </c>
      <c r="K898" s="9" t="s">
        <v>1343</v>
      </c>
      <c r="L898" s="9" t="s">
        <v>260</v>
      </c>
      <c r="M898" s="9">
        <v>2022</v>
      </c>
      <c r="N898" s="9" t="s">
        <v>268</v>
      </c>
      <c r="O898" s="10" t="s">
        <v>269</v>
      </c>
      <c r="P898" s="9" t="s">
        <v>270</v>
      </c>
      <c r="Q898" s="9" t="s">
        <v>264</v>
      </c>
      <c r="R898" s="9" t="s">
        <v>1344</v>
      </c>
      <c r="S898" s="9" t="s">
        <v>2235</v>
      </c>
    </row>
    <row r="899" spans="2:19" x14ac:dyDescent="0.35">
      <c r="B899" s="18" t="s">
        <v>800</v>
      </c>
      <c r="C899" s="9" t="s">
        <v>801</v>
      </c>
      <c r="D899" s="9" t="s">
        <v>799</v>
      </c>
      <c r="E899" s="9" t="s">
        <v>39</v>
      </c>
      <c r="F899" s="17">
        <v>7.8399999999999997E-2</v>
      </c>
      <c r="G899" s="17"/>
      <c r="H899" s="17"/>
      <c r="I899" s="17"/>
      <c r="J899" s="17">
        <v>7.8399999999999997E-2</v>
      </c>
      <c r="K899" s="9" t="s">
        <v>1343</v>
      </c>
      <c r="L899" s="9" t="s">
        <v>802</v>
      </c>
      <c r="M899" s="9">
        <v>2023</v>
      </c>
      <c r="N899" s="9" t="s">
        <v>268</v>
      </c>
      <c r="O899" s="10" t="s">
        <v>269</v>
      </c>
      <c r="P899" s="9" t="s">
        <v>270</v>
      </c>
      <c r="Q899" s="9" t="s">
        <v>264</v>
      </c>
      <c r="R899" s="9" t="s">
        <v>1344</v>
      </c>
      <c r="S899" s="9" t="s">
        <v>2236</v>
      </c>
    </row>
    <row r="900" spans="2:19" x14ac:dyDescent="0.35">
      <c r="B900" s="18" t="s">
        <v>800</v>
      </c>
      <c r="C900" s="9" t="s">
        <v>801</v>
      </c>
      <c r="D900" s="9" t="s">
        <v>799</v>
      </c>
      <c r="E900" s="9" t="s">
        <v>39</v>
      </c>
      <c r="F900" s="17">
        <v>9.2600000000000002E-2</v>
      </c>
      <c r="G900" s="17"/>
      <c r="H900" s="17"/>
      <c r="I900" s="17"/>
      <c r="J900" s="17">
        <v>9.2600000000000002E-2</v>
      </c>
      <c r="K900" s="9" t="s">
        <v>1343</v>
      </c>
      <c r="L900" s="9" t="s">
        <v>802</v>
      </c>
      <c r="M900" s="9">
        <v>2022</v>
      </c>
      <c r="N900" s="9" t="s">
        <v>268</v>
      </c>
      <c r="O900" s="10" t="s">
        <v>269</v>
      </c>
      <c r="P900" s="9" t="s">
        <v>270</v>
      </c>
      <c r="Q900" s="9" t="s">
        <v>264</v>
      </c>
      <c r="R900" s="9" t="s">
        <v>1344</v>
      </c>
      <c r="S900" s="9" t="s">
        <v>2237</v>
      </c>
    </row>
    <row r="901" spans="2:19" x14ac:dyDescent="0.35">
      <c r="B901" s="18" t="s">
        <v>800</v>
      </c>
      <c r="C901" s="9" t="s">
        <v>803</v>
      </c>
      <c r="D901" s="9" t="s">
        <v>799</v>
      </c>
      <c r="E901" s="9" t="s">
        <v>39</v>
      </c>
      <c r="F901" s="17">
        <v>0.1198</v>
      </c>
      <c r="G901" s="17"/>
      <c r="H901" s="17"/>
      <c r="I901" s="17"/>
      <c r="J901" s="17">
        <v>0.1198</v>
      </c>
      <c r="K901" s="9" t="s">
        <v>1343</v>
      </c>
      <c r="L901" s="9" t="s">
        <v>804</v>
      </c>
      <c r="M901" s="9">
        <v>2023</v>
      </c>
      <c r="N901" s="9" t="s">
        <v>268</v>
      </c>
      <c r="O901" s="10" t="s">
        <v>269</v>
      </c>
      <c r="P901" s="9" t="s">
        <v>270</v>
      </c>
      <c r="Q901" s="9" t="s">
        <v>264</v>
      </c>
      <c r="R901" s="9" t="s">
        <v>1344</v>
      </c>
      <c r="S901" s="9" t="s">
        <v>2238</v>
      </c>
    </row>
    <row r="902" spans="2:19" x14ac:dyDescent="0.35">
      <c r="B902" s="18" t="s">
        <v>800</v>
      </c>
      <c r="C902" s="9" t="s">
        <v>803</v>
      </c>
      <c r="D902" s="9" t="s">
        <v>799</v>
      </c>
      <c r="E902" s="9" t="s">
        <v>39</v>
      </c>
      <c r="F902" s="17">
        <v>0.1232</v>
      </c>
      <c r="G902" s="17"/>
      <c r="H902" s="17"/>
      <c r="I902" s="17"/>
      <c r="J902" s="17">
        <v>0.1232</v>
      </c>
      <c r="K902" s="9" t="s">
        <v>1343</v>
      </c>
      <c r="L902" s="9" t="s">
        <v>804</v>
      </c>
      <c r="M902" s="9">
        <v>2024</v>
      </c>
      <c r="N902" s="9" t="s">
        <v>268</v>
      </c>
      <c r="O902" s="10" t="s">
        <v>269</v>
      </c>
      <c r="P902" s="9" t="s">
        <v>270</v>
      </c>
      <c r="Q902" s="9" t="s">
        <v>264</v>
      </c>
      <c r="R902" s="9" t="s">
        <v>1344</v>
      </c>
      <c r="S902" s="9" t="s">
        <v>2239</v>
      </c>
    </row>
    <row r="903" spans="2:19" x14ac:dyDescent="0.35">
      <c r="B903" s="18" t="s">
        <v>800</v>
      </c>
      <c r="C903" s="9" t="s">
        <v>803</v>
      </c>
      <c r="D903" s="9" t="s">
        <v>799</v>
      </c>
      <c r="E903" s="9" t="s">
        <v>39</v>
      </c>
      <c r="F903" s="17">
        <v>0.1328</v>
      </c>
      <c r="G903" s="17"/>
      <c r="H903" s="17"/>
      <c r="I903" s="17"/>
      <c r="J903" s="17">
        <v>0.1328</v>
      </c>
      <c r="K903" s="9" t="s">
        <v>1343</v>
      </c>
      <c r="L903" s="9" t="s">
        <v>804</v>
      </c>
      <c r="M903" s="9">
        <v>2022</v>
      </c>
      <c r="N903" s="9" t="s">
        <v>268</v>
      </c>
      <c r="O903" s="10" t="s">
        <v>269</v>
      </c>
      <c r="P903" s="9" t="s">
        <v>270</v>
      </c>
      <c r="Q903" s="9" t="s">
        <v>264</v>
      </c>
      <c r="R903" s="9" t="s">
        <v>1344</v>
      </c>
      <c r="S903" s="9" t="s">
        <v>2240</v>
      </c>
    </row>
    <row r="904" spans="2:19" x14ac:dyDescent="0.35">
      <c r="B904" s="18" t="s">
        <v>258</v>
      </c>
      <c r="C904" s="9" t="s">
        <v>259</v>
      </c>
      <c r="D904" s="9" t="s">
        <v>799</v>
      </c>
      <c r="E904" s="9" t="s">
        <v>39</v>
      </c>
      <c r="F904" s="17">
        <v>0.36709999999999998</v>
      </c>
      <c r="G904" s="17">
        <v>0.36570000000000003</v>
      </c>
      <c r="H904" s="17">
        <v>5.9999999999999995E-4</v>
      </c>
      <c r="I904" s="17">
        <v>8.0000000000000004E-4</v>
      </c>
      <c r="J904" s="17">
        <v>0</v>
      </c>
      <c r="K904" s="9" t="s">
        <v>1343</v>
      </c>
      <c r="L904" s="9" t="s">
        <v>260</v>
      </c>
      <c r="M904" s="9">
        <v>2024</v>
      </c>
      <c r="N904" s="9" t="s">
        <v>519</v>
      </c>
      <c r="O904" s="10" t="s">
        <v>520</v>
      </c>
      <c r="P904" s="9" t="s">
        <v>521</v>
      </c>
      <c r="Q904" s="9" t="s">
        <v>264</v>
      </c>
      <c r="R904" s="9" t="s">
        <v>1344</v>
      </c>
      <c r="S904" s="9" t="s">
        <v>2241</v>
      </c>
    </row>
    <row r="905" spans="2:19" x14ac:dyDescent="0.35">
      <c r="B905" s="18" t="s">
        <v>258</v>
      </c>
      <c r="C905" s="9" t="s">
        <v>259</v>
      </c>
      <c r="D905" s="9" t="s">
        <v>799</v>
      </c>
      <c r="E905" s="9" t="s">
        <v>39</v>
      </c>
      <c r="F905" s="17">
        <v>0.379</v>
      </c>
      <c r="G905" s="17">
        <v>0.37759999999999999</v>
      </c>
      <c r="H905" s="17">
        <v>5.9999999999999995E-4</v>
      </c>
      <c r="I905" s="17">
        <v>8.0000000000000004E-4</v>
      </c>
      <c r="J905" s="17">
        <v>0</v>
      </c>
      <c r="K905" s="9" t="s">
        <v>1343</v>
      </c>
      <c r="L905" s="9" t="s">
        <v>260</v>
      </c>
      <c r="M905" s="9">
        <v>2023</v>
      </c>
      <c r="N905" s="9" t="s">
        <v>519</v>
      </c>
      <c r="O905" s="10" t="s">
        <v>520</v>
      </c>
      <c r="P905" s="9" t="s">
        <v>521</v>
      </c>
      <c r="Q905" s="9" t="s">
        <v>264</v>
      </c>
      <c r="R905" s="9" t="s">
        <v>1344</v>
      </c>
      <c r="S905" s="9" t="s">
        <v>2242</v>
      </c>
    </row>
    <row r="906" spans="2:19" x14ac:dyDescent="0.35">
      <c r="B906" s="18" t="s">
        <v>258</v>
      </c>
      <c r="C906" s="9" t="s">
        <v>259</v>
      </c>
      <c r="D906" s="9" t="s">
        <v>799</v>
      </c>
      <c r="E906" s="9" t="s">
        <v>39</v>
      </c>
      <c r="F906" s="17">
        <v>0.38030000000000003</v>
      </c>
      <c r="G906" s="17">
        <v>0.37890000000000001</v>
      </c>
      <c r="H906" s="17">
        <v>5.9999999999999995E-4</v>
      </c>
      <c r="I906" s="17">
        <v>8.0000000000000004E-4</v>
      </c>
      <c r="J906" s="17">
        <v>0</v>
      </c>
      <c r="K906" s="9" t="s">
        <v>1343</v>
      </c>
      <c r="L906" s="9" t="s">
        <v>260</v>
      </c>
      <c r="M906" s="9">
        <v>2022</v>
      </c>
      <c r="N906" s="9" t="s">
        <v>519</v>
      </c>
      <c r="O906" s="10" t="s">
        <v>520</v>
      </c>
      <c r="P906" s="9" t="s">
        <v>521</v>
      </c>
      <c r="Q906" s="9" t="s">
        <v>264</v>
      </c>
      <c r="R906" s="9" t="s">
        <v>1344</v>
      </c>
      <c r="S906" s="9" t="s">
        <v>2243</v>
      </c>
    </row>
    <row r="907" spans="2:19" x14ac:dyDescent="0.35">
      <c r="B907" s="18" t="s">
        <v>800</v>
      </c>
      <c r="C907" s="9" t="s">
        <v>801</v>
      </c>
      <c r="D907" s="9" t="s">
        <v>799</v>
      </c>
      <c r="E907" s="9" t="s">
        <v>39</v>
      </c>
      <c r="F907" s="17">
        <v>1.1000000000000001E-3</v>
      </c>
      <c r="G907" s="17"/>
      <c r="H907" s="17"/>
      <c r="I907" s="17"/>
      <c r="J907" s="17">
        <v>1.1000000000000001E-3</v>
      </c>
      <c r="K907" s="9" t="s">
        <v>1343</v>
      </c>
      <c r="L907" s="9" t="s">
        <v>802</v>
      </c>
      <c r="M907" s="9">
        <v>2023</v>
      </c>
      <c r="N907" s="9" t="s">
        <v>519</v>
      </c>
      <c r="O907" s="10" t="s">
        <v>520</v>
      </c>
      <c r="P907" s="9" t="s">
        <v>521</v>
      </c>
      <c r="Q907" s="9" t="s">
        <v>264</v>
      </c>
      <c r="R907" s="9" t="s">
        <v>1344</v>
      </c>
      <c r="S907" s="9" t="s">
        <v>2244</v>
      </c>
    </row>
    <row r="908" spans="2:19" x14ac:dyDescent="0.35">
      <c r="B908" s="18" t="s">
        <v>800</v>
      </c>
      <c r="C908" s="9" t="s">
        <v>801</v>
      </c>
      <c r="D908" s="9" t="s">
        <v>799</v>
      </c>
      <c r="E908" s="9" t="s">
        <v>39</v>
      </c>
      <c r="F908" s="17">
        <v>1.4E-3</v>
      </c>
      <c r="G908" s="17"/>
      <c r="H908" s="17"/>
      <c r="I908" s="17"/>
      <c r="J908" s="17">
        <v>1.4E-3</v>
      </c>
      <c r="K908" s="9" t="s">
        <v>1343</v>
      </c>
      <c r="L908" s="9" t="s">
        <v>802</v>
      </c>
      <c r="M908" s="9">
        <v>2022</v>
      </c>
      <c r="N908" s="9" t="s">
        <v>519</v>
      </c>
      <c r="O908" s="10" t="s">
        <v>520</v>
      </c>
      <c r="P908" s="9" t="s">
        <v>521</v>
      </c>
      <c r="Q908" s="9" t="s">
        <v>264</v>
      </c>
      <c r="R908" s="9" t="s">
        <v>1344</v>
      </c>
      <c r="S908" s="9" t="s">
        <v>2245</v>
      </c>
    </row>
    <row r="909" spans="2:19" x14ac:dyDescent="0.35">
      <c r="B909" s="18" t="s">
        <v>800</v>
      </c>
      <c r="C909" s="9" t="s">
        <v>803</v>
      </c>
      <c r="D909" s="9" t="s">
        <v>799</v>
      </c>
      <c r="E909" s="9" t="s">
        <v>39</v>
      </c>
      <c r="F909" s="17">
        <v>8.8599999999999998E-2</v>
      </c>
      <c r="G909" s="17"/>
      <c r="H909" s="17"/>
      <c r="I909" s="17"/>
      <c r="J909" s="17">
        <v>8.8599999999999998E-2</v>
      </c>
      <c r="K909" s="9" t="s">
        <v>1343</v>
      </c>
      <c r="L909" s="9" t="s">
        <v>804</v>
      </c>
      <c r="M909" s="9">
        <v>2022</v>
      </c>
      <c r="N909" s="9" t="s">
        <v>519</v>
      </c>
      <c r="O909" s="10" t="s">
        <v>520</v>
      </c>
      <c r="P909" s="9" t="s">
        <v>521</v>
      </c>
      <c r="Q909" s="9" t="s">
        <v>264</v>
      </c>
      <c r="R909" s="9" t="s">
        <v>1344</v>
      </c>
      <c r="S909" s="9" t="s">
        <v>2246</v>
      </c>
    </row>
    <row r="910" spans="2:19" x14ac:dyDescent="0.35">
      <c r="B910" s="18" t="s">
        <v>800</v>
      </c>
      <c r="C910" s="9" t="s">
        <v>803</v>
      </c>
      <c r="D910" s="9" t="s">
        <v>799</v>
      </c>
      <c r="E910" s="9" t="s">
        <v>39</v>
      </c>
      <c r="F910" s="17">
        <v>9.06E-2</v>
      </c>
      <c r="G910" s="17"/>
      <c r="H910" s="17"/>
      <c r="I910" s="17"/>
      <c r="J910" s="17">
        <v>9.06E-2</v>
      </c>
      <c r="K910" s="9" t="s">
        <v>1343</v>
      </c>
      <c r="L910" s="9" t="s">
        <v>804</v>
      </c>
      <c r="M910" s="9">
        <v>2023</v>
      </c>
      <c r="N910" s="9" t="s">
        <v>519</v>
      </c>
      <c r="O910" s="10" t="s">
        <v>520</v>
      </c>
      <c r="P910" s="9" t="s">
        <v>521</v>
      </c>
      <c r="Q910" s="9" t="s">
        <v>264</v>
      </c>
      <c r="R910" s="9" t="s">
        <v>1344</v>
      </c>
      <c r="S910" s="9" t="s">
        <v>2247</v>
      </c>
    </row>
    <row r="911" spans="2:19" x14ac:dyDescent="0.35">
      <c r="B911" s="18" t="s">
        <v>800</v>
      </c>
      <c r="C911" s="9" t="s">
        <v>803</v>
      </c>
      <c r="D911" s="9" t="s">
        <v>799</v>
      </c>
      <c r="E911" s="9" t="s">
        <v>39</v>
      </c>
      <c r="F911" s="17">
        <v>9.1700000000000004E-2</v>
      </c>
      <c r="G911" s="17"/>
      <c r="H911" s="17"/>
      <c r="I911" s="17"/>
      <c r="J911" s="17">
        <v>9.1700000000000004E-2</v>
      </c>
      <c r="K911" s="9" t="s">
        <v>1343</v>
      </c>
      <c r="L911" s="9" t="s">
        <v>804</v>
      </c>
      <c r="M911" s="9">
        <v>2024</v>
      </c>
      <c r="N911" s="9" t="s">
        <v>519</v>
      </c>
      <c r="O911" s="10" t="s">
        <v>520</v>
      </c>
      <c r="P911" s="9" t="s">
        <v>521</v>
      </c>
      <c r="Q911" s="9" t="s">
        <v>264</v>
      </c>
      <c r="R911" s="9" t="s">
        <v>1344</v>
      </c>
      <c r="S911" s="9" t="s">
        <v>2248</v>
      </c>
    </row>
    <row r="912" spans="2:19" x14ac:dyDescent="0.35">
      <c r="B912" s="18" t="s">
        <v>258</v>
      </c>
      <c r="C912" s="9" t="s">
        <v>259</v>
      </c>
      <c r="D912" s="9" t="s">
        <v>799</v>
      </c>
      <c r="E912" s="9" t="s">
        <v>39</v>
      </c>
      <c r="F912" s="17">
        <v>6.4399999999999999E-2</v>
      </c>
      <c r="G912" s="17">
        <v>6.4000000000000001E-2</v>
      </c>
      <c r="H912" s="17">
        <v>1E-4</v>
      </c>
      <c r="I912" s="17">
        <v>2.9999999999999997E-4</v>
      </c>
      <c r="J912" s="17">
        <v>0</v>
      </c>
      <c r="K912" s="9" t="s">
        <v>1343</v>
      </c>
      <c r="L912" s="9" t="s">
        <v>260</v>
      </c>
      <c r="M912" s="9">
        <v>2024</v>
      </c>
      <c r="N912" s="9" t="s">
        <v>426</v>
      </c>
      <c r="O912" s="10" t="s">
        <v>427</v>
      </c>
      <c r="P912" s="9" t="s">
        <v>428</v>
      </c>
      <c r="Q912" s="9" t="s">
        <v>264</v>
      </c>
      <c r="R912" s="9" t="s">
        <v>1344</v>
      </c>
      <c r="S912" s="9" t="s">
        <v>2249</v>
      </c>
    </row>
    <row r="913" spans="2:19" x14ac:dyDescent="0.35">
      <c r="B913" s="18" t="s">
        <v>258</v>
      </c>
      <c r="C913" s="9" t="s">
        <v>259</v>
      </c>
      <c r="D913" s="9" t="s">
        <v>799</v>
      </c>
      <c r="E913" s="9" t="s">
        <v>39</v>
      </c>
      <c r="F913" s="17">
        <v>9.7600000000000006E-2</v>
      </c>
      <c r="G913" s="17">
        <v>9.7199999999999995E-2</v>
      </c>
      <c r="H913" s="17">
        <v>1E-4</v>
      </c>
      <c r="I913" s="17">
        <v>2.9999999999999997E-4</v>
      </c>
      <c r="J913" s="17">
        <v>0</v>
      </c>
      <c r="K913" s="9" t="s">
        <v>1343</v>
      </c>
      <c r="L913" s="9" t="s">
        <v>260</v>
      </c>
      <c r="M913" s="9">
        <v>2023</v>
      </c>
      <c r="N913" s="9" t="s">
        <v>426</v>
      </c>
      <c r="O913" s="10" t="s">
        <v>427</v>
      </c>
      <c r="P913" s="9" t="s">
        <v>428</v>
      </c>
      <c r="Q913" s="9" t="s">
        <v>264</v>
      </c>
      <c r="R913" s="9" t="s">
        <v>1344</v>
      </c>
      <c r="S913" s="9" t="s">
        <v>2250</v>
      </c>
    </row>
    <row r="914" spans="2:19" x14ac:dyDescent="0.35">
      <c r="B914" s="18" t="s">
        <v>258</v>
      </c>
      <c r="C914" s="9" t="s">
        <v>259</v>
      </c>
      <c r="D914" s="9" t="s">
        <v>799</v>
      </c>
      <c r="E914" s="9" t="s">
        <v>39</v>
      </c>
      <c r="F914" s="17">
        <v>0.12230000000000001</v>
      </c>
      <c r="G914" s="17">
        <v>0.12180000000000001</v>
      </c>
      <c r="H914" s="17">
        <v>1E-4</v>
      </c>
      <c r="I914" s="17">
        <v>4.0000000000000002E-4</v>
      </c>
      <c r="J914" s="17">
        <v>0</v>
      </c>
      <c r="K914" s="9" t="s">
        <v>1343</v>
      </c>
      <c r="L914" s="9" t="s">
        <v>260</v>
      </c>
      <c r="M914" s="9">
        <v>2022</v>
      </c>
      <c r="N914" s="9" t="s">
        <v>426</v>
      </c>
      <c r="O914" s="10" t="s">
        <v>427</v>
      </c>
      <c r="P914" s="9" t="s">
        <v>428</v>
      </c>
      <c r="Q914" s="9" t="s">
        <v>264</v>
      </c>
      <c r="R914" s="9" t="s">
        <v>1344</v>
      </c>
      <c r="S914" s="9" t="s">
        <v>2251</v>
      </c>
    </row>
    <row r="915" spans="2:19" x14ac:dyDescent="0.35">
      <c r="B915" s="18" t="s">
        <v>800</v>
      </c>
      <c r="C915" s="9" t="s">
        <v>801</v>
      </c>
      <c r="D915" s="9" t="s">
        <v>799</v>
      </c>
      <c r="E915" s="9" t="s">
        <v>39</v>
      </c>
      <c r="F915" s="17">
        <v>3.8E-3</v>
      </c>
      <c r="G915" s="17"/>
      <c r="H915" s="17"/>
      <c r="I915" s="17"/>
      <c r="J915" s="17">
        <v>3.8E-3</v>
      </c>
      <c r="K915" s="9" t="s">
        <v>1343</v>
      </c>
      <c r="L915" s="9" t="s">
        <v>802</v>
      </c>
      <c r="M915" s="9">
        <v>2023</v>
      </c>
      <c r="N915" s="9" t="s">
        <v>426</v>
      </c>
      <c r="O915" s="10" t="s">
        <v>427</v>
      </c>
      <c r="P915" s="9" t="s">
        <v>428</v>
      </c>
      <c r="Q915" s="9" t="s">
        <v>264</v>
      </c>
      <c r="R915" s="9" t="s">
        <v>1344</v>
      </c>
      <c r="S915" s="9" t="s">
        <v>2252</v>
      </c>
    </row>
    <row r="916" spans="2:19" x14ac:dyDescent="0.35">
      <c r="B916" s="18" t="s">
        <v>800</v>
      </c>
      <c r="C916" s="9" t="s">
        <v>801</v>
      </c>
      <c r="D916" s="9" t="s">
        <v>799</v>
      </c>
      <c r="E916" s="9" t="s">
        <v>39</v>
      </c>
      <c r="F916" s="17">
        <v>5.0000000000000001E-3</v>
      </c>
      <c r="G916" s="17"/>
      <c r="H916" s="17"/>
      <c r="I916" s="17"/>
      <c r="J916" s="17">
        <v>5.0000000000000001E-3</v>
      </c>
      <c r="K916" s="9" t="s">
        <v>1343</v>
      </c>
      <c r="L916" s="9" t="s">
        <v>802</v>
      </c>
      <c r="M916" s="9">
        <v>2022</v>
      </c>
      <c r="N916" s="9" t="s">
        <v>426</v>
      </c>
      <c r="O916" s="10" t="s">
        <v>427</v>
      </c>
      <c r="P916" s="9" t="s">
        <v>428</v>
      </c>
      <c r="Q916" s="9" t="s">
        <v>264</v>
      </c>
      <c r="R916" s="9" t="s">
        <v>1344</v>
      </c>
      <c r="S916" s="9" t="s">
        <v>2253</v>
      </c>
    </row>
    <row r="917" spans="2:19" x14ac:dyDescent="0.35">
      <c r="B917" s="18" t="s">
        <v>800</v>
      </c>
      <c r="C917" s="9" t="s">
        <v>803</v>
      </c>
      <c r="D917" s="9" t="s">
        <v>799</v>
      </c>
      <c r="E917" s="9" t="s">
        <v>39</v>
      </c>
      <c r="F917" s="17">
        <v>2.4500000000000001E-2</v>
      </c>
      <c r="G917" s="17"/>
      <c r="H917" s="17"/>
      <c r="I917" s="17"/>
      <c r="J917" s="17">
        <v>2.4500000000000001E-2</v>
      </c>
      <c r="K917" s="9" t="s">
        <v>1343</v>
      </c>
      <c r="L917" s="9" t="s">
        <v>804</v>
      </c>
      <c r="M917" s="9">
        <v>2024</v>
      </c>
      <c r="N917" s="9" t="s">
        <v>426</v>
      </c>
      <c r="O917" s="10" t="s">
        <v>427</v>
      </c>
      <c r="P917" s="9" t="s">
        <v>428</v>
      </c>
      <c r="Q917" s="9" t="s">
        <v>264</v>
      </c>
      <c r="R917" s="9" t="s">
        <v>1344</v>
      </c>
      <c r="S917" s="9" t="s">
        <v>2254</v>
      </c>
    </row>
    <row r="918" spans="2:19" x14ac:dyDescent="0.35">
      <c r="B918" s="18" t="s">
        <v>800</v>
      </c>
      <c r="C918" s="9" t="s">
        <v>803</v>
      </c>
      <c r="D918" s="9" t="s">
        <v>799</v>
      </c>
      <c r="E918" s="9" t="s">
        <v>39</v>
      </c>
      <c r="F918" s="17">
        <v>2.86E-2</v>
      </c>
      <c r="G918" s="17"/>
      <c r="H918" s="17"/>
      <c r="I918" s="17"/>
      <c r="J918" s="17">
        <v>2.86E-2</v>
      </c>
      <c r="K918" s="9" t="s">
        <v>1343</v>
      </c>
      <c r="L918" s="9" t="s">
        <v>804</v>
      </c>
      <c r="M918" s="9">
        <v>2023</v>
      </c>
      <c r="N918" s="9" t="s">
        <v>426</v>
      </c>
      <c r="O918" s="10" t="s">
        <v>427</v>
      </c>
      <c r="P918" s="9" t="s">
        <v>428</v>
      </c>
      <c r="Q918" s="9" t="s">
        <v>264</v>
      </c>
      <c r="R918" s="9" t="s">
        <v>1344</v>
      </c>
      <c r="S918" s="9" t="s">
        <v>2255</v>
      </c>
    </row>
    <row r="919" spans="2:19" x14ac:dyDescent="0.35">
      <c r="B919" s="18" t="s">
        <v>800</v>
      </c>
      <c r="C919" s="9" t="s">
        <v>803</v>
      </c>
      <c r="D919" s="9" t="s">
        <v>799</v>
      </c>
      <c r="E919" s="9" t="s">
        <v>39</v>
      </c>
      <c r="F919" s="17">
        <v>3.2500000000000001E-2</v>
      </c>
      <c r="G919" s="17"/>
      <c r="H919" s="17"/>
      <c r="I919" s="17"/>
      <c r="J919" s="17">
        <v>3.2500000000000001E-2</v>
      </c>
      <c r="K919" s="9" t="s">
        <v>1343</v>
      </c>
      <c r="L919" s="9" t="s">
        <v>804</v>
      </c>
      <c r="M919" s="9">
        <v>2022</v>
      </c>
      <c r="N919" s="9" t="s">
        <v>426</v>
      </c>
      <c r="O919" s="10" t="s">
        <v>427</v>
      </c>
      <c r="P919" s="9" t="s">
        <v>428</v>
      </c>
      <c r="Q919" s="9" t="s">
        <v>264</v>
      </c>
      <c r="R919" s="9" t="s">
        <v>1344</v>
      </c>
      <c r="S919" s="9" t="s">
        <v>2256</v>
      </c>
    </row>
    <row r="920" spans="2:19" x14ac:dyDescent="0.35">
      <c r="B920" s="18" t="s">
        <v>258</v>
      </c>
      <c r="C920" s="9" t="s">
        <v>259</v>
      </c>
      <c r="D920" s="9" t="s">
        <v>799</v>
      </c>
      <c r="E920" s="9" t="s">
        <v>39</v>
      </c>
      <c r="F920" s="17">
        <v>0.17829999999999999</v>
      </c>
      <c r="G920" s="17">
        <v>0.17749999999999999</v>
      </c>
      <c r="H920" s="17">
        <v>1E-4</v>
      </c>
      <c r="I920" s="17">
        <v>6.9999999999999999E-4</v>
      </c>
      <c r="J920" s="17">
        <v>0</v>
      </c>
      <c r="K920" s="9" t="s">
        <v>1343</v>
      </c>
      <c r="L920" s="9" t="s">
        <v>260</v>
      </c>
      <c r="M920" s="9">
        <v>2023</v>
      </c>
      <c r="N920" s="9" t="s">
        <v>289</v>
      </c>
      <c r="O920" s="10" t="s">
        <v>290</v>
      </c>
      <c r="P920" s="9" t="s">
        <v>291</v>
      </c>
      <c r="Q920" s="9" t="s">
        <v>264</v>
      </c>
      <c r="R920" s="9" t="s">
        <v>1344</v>
      </c>
      <c r="S920" s="9" t="s">
        <v>2257</v>
      </c>
    </row>
    <row r="921" spans="2:19" x14ac:dyDescent="0.35">
      <c r="B921" s="18" t="s">
        <v>258</v>
      </c>
      <c r="C921" s="9" t="s">
        <v>259</v>
      </c>
      <c r="D921" s="9" t="s">
        <v>799</v>
      </c>
      <c r="E921" s="9" t="s">
        <v>39</v>
      </c>
      <c r="F921" s="17">
        <v>0.1804</v>
      </c>
      <c r="G921" s="17">
        <v>0.17960000000000001</v>
      </c>
      <c r="H921" s="17">
        <v>1E-4</v>
      </c>
      <c r="I921" s="17">
        <v>6.9999999999999999E-4</v>
      </c>
      <c r="J921" s="17">
        <v>0</v>
      </c>
      <c r="K921" s="9" t="s">
        <v>1343</v>
      </c>
      <c r="L921" s="9" t="s">
        <v>260</v>
      </c>
      <c r="M921" s="9">
        <v>2024</v>
      </c>
      <c r="N921" s="9" t="s">
        <v>289</v>
      </c>
      <c r="O921" s="10" t="s">
        <v>290</v>
      </c>
      <c r="P921" s="9" t="s">
        <v>291</v>
      </c>
      <c r="Q921" s="9" t="s">
        <v>264</v>
      </c>
      <c r="R921" s="9" t="s">
        <v>1344</v>
      </c>
      <c r="S921" s="9" t="s">
        <v>2258</v>
      </c>
    </row>
    <row r="922" spans="2:19" x14ac:dyDescent="0.35">
      <c r="B922" s="18" t="s">
        <v>258</v>
      </c>
      <c r="C922" s="9" t="s">
        <v>259</v>
      </c>
      <c r="D922" s="9" t="s">
        <v>799</v>
      </c>
      <c r="E922" s="9" t="s">
        <v>39</v>
      </c>
      <c r="F922" s="17">
        <v>0.2109</v>
      </c>
      <c r="G922" s="17">
        <v>0.21</v>
      </c>
      <c r="H922" s="17">
        <v>1E-4</v>
      </c>
      <c r="I922" s="17">
        <v>8.0000000000000004E-4</v>
      </c>
      <c r="J922" s="17">
        <v>0</v>
      </c>
      <c r="K922" s="9" t="s">
        <v>1343</v>
      </c>
      <c r="L922" s="9" t="s">
        <v>260</v>
      </c>
      <c r="M922" s="9">
        <v>2022</v>
      </c>
      <c r="N922" s="9" t="s">
        <v>289</v>
      </c>
      <c r="O922" s="10" t="s">
        <v>290</v>
      </c>
      <c r="P922" s="9" t="s">
        <v>291</v>
      </c>
      <c r="Q922" s="9" t="s">
        <v>264</v>
      </c>
      <c r="R922" s="9" t="s">
        <v>1344</v>
      </c>
      <c r="S922" s="9" t="s">
        <v>2259</v>
      </c>
    </row>
    <row r="923" spans="2:19" x14ac:dyDescent="0.35">
      <c r="B923" s="18" t="s">
        <v>800</v>
      </c>
      <c r="C923" s="9" t="s">
        <v>801</v>
      </c>
      <c r="D923" s="9" t="s">
        <v>799</v>
      </c>
      <c r="E923" s="9" t="s">
        <v>39</v>
      </c>
      <c r="F923" s="17">
        <v>6.7999999999999996E-3</v>
      </c>
      <c r="G923" s="17"/>
      <c r="H923" s="17"/>
      <c r="I923" s="17"/>
      <c r="J923" s="17">
        <v>6.7999999999999996E-3</v>
      </c>
      <c r="K923" s="9" t="s">
        <v>1343</v>
      </c>
      <c r="L923" s="9" t="s">
        <v>802</v>
      </c>
      <c r="M923" s="9">
        <v>2023</v>
      </c>
      <c r="N923" s="9" t="s">
        <v>289</v>
      </c>
      <c r="O923" s="10" t="s">
        <v>290</v>
      </c>
      <c r="P923" s="9" t="s">
        <v>291</v>
      </c>
      <c r="Q923" s="9" t="s">
        <v>264</v>
      </c>
      <c r="R923" s="9" t="s">
        <v>1344</v>
      </c>
      <c r="S923" s="9" t="s">
        <v>2260</v>
      </c>
    </row>
    <row r="924" spans="2:19" x14ac:dyDescent="0.35">
      <c r="B924" s="18" t="s">
        <v>800</v>
      </c>
      <c r="C924" s="9" t="s">
        <v>801</v>
      </c>
      <c r="D924" s="9" t="s">
        <v>799</v>
      </c>
      <c r="E924" s="9" t="s">
        <v>39</v>
      </c>
      <c r="F924" s="17">
        <v>9.4000000000000004E-3</v>
      </c>
      <c r="G924" s="17"/>
      <c r="H924" s="17"/>
      <c r="I924" s="17"/>
      <c r="J924" s="17">
        <v>9.4000000000000004E-3</v>
      </c>
      <c r="K924" s="9" t="s">
        <v>1343</v>
      </c>
      <c r="L924" s="9" t="s">
        <v>802</v>
      </c>
      <c r="M924" s="9">
        <v>2022</v>
      </c>
      <c r="N924" s="9" t="s">
        <v>289</v>
      </c>
      <c r="O924" s="10" t="s">
        <v>290</v>
      </c>
      <c r="P924" s="9" t="s">
        <v>291</v>
      </c>
      <c r="Q924" s="9" t="s">
        <v>264</v>
      </c>
      <c r="R924" s="9" t="s">
        <v>1344</v>
      </c>
      <c r="S924" s="9" t="s">
        <v>2261</v>
      </c>
    </row>
    <row r="925" spans="2:19" x14ac:dyDescent="0.35">
      <c r="B925" s="18" t="s">
        <v>800</v>
      </c>
      <c r="C925" s="9" t="s">
        <v>803</v>
      </c>
      <c r="D925" s="9" t="s">
        <v>799</v>
      </c>
      <c r="E925" s="9" t="s">
        <v>39</v>
      </c>
      <c r="F925" s="17">
        <v>3.6200000000000003E-2</v>
      </c>
      <c r="G925" s="17"/>
      <c r="H925" s="17"/>
      <c r="I925" s="17"/>
      <c r="J925" s="17">
        <v>3.6200000000000003E-2</v>
      </c>
      <c r="K925" s="9" t="s">
        <v>1343</v>
      </c>
      <c r="L925" s="9" t="s">
        <v>804</v>
      </c>
      <c r="M925" s="9">
        <v>2023</v>
      </c>
      <c r="N925" s="9" t="s">
        <v>289</v>
      </c>
      <c r="O925" s="10" t="s">
        <v>290</v>
      </c>
      <c r="P925" s="9" t="s">
        <v>291</v>
      </c>
      <c r="Q925" s="9" t="s">
        <v>264</v>
      </c>
      <c r="R925" s="9" t="s">
        <v>1344</v>
      </c>
      <c r="S925" s="9" t="s">
        <v>2262</v>
      </c>
    </row>
    <row r="926" spans="2:19" x14ac:dyDescent="0.35">
      <c r="B926" s="18" t="s">
        <v>800</v>
      </c>
      <c r="C926" s="9" t="s">
        <v>803</v>
      </c>
      <c r="D926" s="9" t="s">
        <v>799</v>
      </c>
      <c r="E926" s="9" t="s">
        <v>39</v>
      </c>
      <c r="F926" s="17">
        <v>3.7199999999999997E-2</v>
      </c>
      <c r="G926" s="17"/>
      <c r="H926" s="17"/>
      <c r="I926" s="17"/>
      <c r="J926" s="17">
        <v>3.7199999999999997E-2</v>
      </c>
      <c r="K926" s="9" t="s">
        <v>1343</v>
      </c>
      <c r="L926" s="9" t="s">
        <v>804</v>
      </c>
      <c r="M926" s="9">
        <v>2024</v>
      </c>
      <c r="N926" s="9" t="s">
        <v>289</v>
      </c>
      <c r="O926" s="10" t="s">
        <v>290</v>
      </c>
      <c r="P926" s="9" t="s">
        <v>291</v>
      </c>
      <c r="Q926" s="9" t="s">
        <v>264</v>
      </c>
      <c r="R926" s="9" t="s">
        <v>1344</v>
      </c>
      <c r="S926" s="9" t="s">
        <v>2263</v>
      </c>
    </row>
    <row r="927" spans="2:19" x14ac:dyDescent="0.35">
      <c r="B927" s="18" t="s">
        <v>800</v>
      </c>
      <c r="C927" s="9" t="s">
        <v>803</v>
      </c>
      <c r="D927" s="9" t="s">
        <v>799</v>
      </c>
      <c r="E927" s="9" t="s">
        <v>39</v>
      </c>
      <c r="F927" s="17">
        <v>4.1599999999999998E-2</v>
      </c>
      <c r="G927" s="17"/>
      <c r="H927" s="17"/>
      <c r="I927" s="17"/>
      <c r="J927" s="17">
        <v>4.1599999999999998E-2</v>
      </c>
      <c r="K927" s="9" t="s">
        <v>1343</v>
      </c>
      <c r="L927" s="9" t="s">
        <v>804</v>
      </c>
      <c r="M927" s="9">
        <v>2022</v>
      </c>
      <c r="N927" s="9" t="s">
        <v>289</v>
      </c>
      <c r="O927" s="10" t="s">
        <v>290</v>
      </c>
      <c r="P927" s="9" t="s">
        <v>291</v>
      </c>
      <c r="Q927" s="9" t="s">
        <v>264</v>
      </c>
      <c r="R927" s="9" t="s">
        <v>1344</v>
      </c>
      <c r="S927" s="9" t="s">
        <v>2264</v>
      </c>
    </row>
    <row r="928" spans="2:19" x14ac:dyDescent="0.35">
      <c r="B928" s="18" t="s">
        <v>258</v>
      </c>
      <c r="C928" s="9" t="s">
        <v>259</v>
      </c>
      <c r="D928" s="9" t="s">
        <v>799</v>
      </c>
      <c r="E928" s="9" t="s">
        <v>39</v>
      </c>
      <c r="F928" s="17">
        <v>0.87649999999999995</v>
      </c>
      <c r="G928" s="17">
        <v>0.87260000000000004</v>
      </c>
      <c r="H928" s="17">
        <v>2.9999999999999997E-4</v>
      </c>
      <c r="I928" s="17">
        <v>3.5999999999999999E-3</v>
      </c>
      <c r="J928" s="17">
        <v>0</v>
      </c>
      <c r="K928" s="9" t="s">
        <v>1343</v>
      </c>
      <c r="L928" s="9" t="s">
        <v>260</v>
      </c>
      <c r="M928" s="9">
        <v>2023</v>
      </c>
      <c r="N928" s="9" t="s">
        <v>511</v>
      </c>
      <c r="O928" s="10" t="s">
        <v>512</v>
      </c>
      <c r="P928" s="9" t="s">
        <v>513</v>
      </c>
      <c r="Q928" s="9" t="s">
        <v>264</v>
      </c>
      <c r="R928" s="9" t="s">
        <v>1344</v>
      </c>
      <c r="S928" s="9" t="s">
        <v>2265</v>
      </c>
    </row>
    <row r="929" spans="2:19" x14ac:dyDescent="0.35">
      <c r="B929" s="18" t="s">
        <v>258</v>
      </c>
      <c r="C929" s="9" t="s">
        <v>259</v>
      </c>
      <c r="D929" s="9" t="s">
        <v>799</v>
      </c>
      <c r="E929" s="9" t="s">
        <v>39</v>
      </c>
      <c r="F929" s="17">
        <v>0.87980000000000003</v>
      </c>
      <c r="G929" s="17">
        <v>0.87580000000000002</v>
      </c>
      <c r="H929" s="17">
        <v>2.9999999999999997E-4</v>
      </c>
      <c r="I929" s="17">
        <v>3.7000000000000002E-3</v>
      </c>
      <c r="J929" s="17">
        <v>0</v>
      </c>
      <c r="K929" s="9" t="s">
        <v>1343</v>
      </c>
      <c r="L929" s="9" t="s">
        <v>260</v>
      </c>
      <c r="M929" s="9">
        <v>2022</v>
      </c>
      <c r="N929" s="9" t="s">
        <v>511</v>
      </c>
      <c r="O929" s="10" t="s">
        <v>512</v>
      </c>
      <c r="P929" s="9" t="s">
        <v>513</v>
      </c>
      <c r="Q929" s="9" t="s">
        <v>264</v>
      </c>
      <c r="R929" s="9" t="s">
        <v>1344</v>
      </c>
      <c r="S929" s="9" t="s">
        <v>2266</v>
      </c>
    </row>
    <row r="930" spans="2:19" x14ac:dyDescent="0.35">
      <c r="B930" s="18" t="s">
        <v>258</v>
      </c>
      <c r="C930" s="9" t="s">
        <v>259</v>
      </c>
      <c r="D930" s="9" t="s">
        <v>799</v>
      </c>
      <c r="E930" s="9" t="s">
        <v>39</v>
      </c>
      <c r="F930" s="17">
        <v>0.89700000000000002</v>
      </c>
      <c r="G930" s="17">
        <v>0.8931</v>
      </c>
      <c r="H930" s="17">
        <v>2.9999999999999997E-4</v>
      </c>
      <c r="I930" s="17">
        <v>3.5999999999999999E-3</v>
      </c>
      <c r="J930" s="17">
        <v>0</v>
      </c>
      <c r="K930" s="9" t="s">
        <v>1343</v>
      </c>
      <c r="L930" s="9" t="s">
        <v>260</v>
      </c>
      <c r="M930" s="9">
        <v>2024</v>
      </c>
      <c r="N930" s="9" t="s">
        <v>511</v>
      </c>
      <c r="O930" s="10" t="s">
        <v>512</v>
      </c>
      <c r="P930" s="9" t="s">
        <v>513</v>
      </c>
      <c r="Q930" s="9" t="s">
        <v>264</v>
      </c>
      <c r="R930" s="9" t="s">
        <v>1344</v>
      </c>
      <c r="S930" s="9" t="s">
        <v>2267</v>
      </c>
    </row>
    <row r="931" spans="2:19" x14ac:dyDescent="0.35">
      <c r="B931" s="18" t="s">
        <v>800</v>
      </c>
      <c r="C931" s="9" t="s">
        <v>801</v>
      </c>
      <c r="D931" s="9" t="s">
        <v>799</v>
      </c>
      <c r="E931" s="9" t="s">
        <v>39</v>
      </c>
      <c r="F931" s="17">
        <v>0.1066</v>
      </c>
      <c r="G931" s="17"/>
      <c r="H931" s="17"/>
      <c r="I931" s="17"/>
      <c r="J931" s="17">
        <v>0.1066</v>
      </c>
      <c r="K931" s="9" t="s">
        <v>1343</v>
      </c>
      <c r="L931" s="9" t="s">
        <v>802</v>
      </c>
      <c r="M931" s="9">
        <v>2022</v>
      </c>
      <c r="N931" s="9" t="s">
        <v>511</v>
      </c>
      <c r="O931" s="10" t="s">
        <v>512</v>
      </c>
      <c r="P931" s="9" t="s">
        <v>513</v>
      </c>
      <c r="Q931" s="9" t="s">
        <v>264</v>
      </c>
      <c r="R931" s="9" t="s">
        <v>1344</v>
      </c>
      <c r="S931" s="9" t="s">
        <v>2268</v>
      </c>
    </row>
    <row r="932" spans="2:19" x14ac:dyDescent="0.35">
      <c r="B932" s="18" t="s">
        <v>800</v>
      </c>
      <c r="C932" s="9" t="s">
        <v>801</v>
      </c>
      <c r="D932" s="9" t="s">
        <v>799</v>
      </c>
      <c r="E932" s="9" t="s">
        <v>39</v>
      </c>
      <c r="F932" s="17">
        <v>0.1082</v>
      </c>
      <c r="G932" s="17"/>
      <c r="H932" s="17"/>
      <c r="I932" s="17"/>
      <c r="J932" s="17">
        <v>0.1082</v>
      </c>
      <c r="K932" s="9" t="s">
        <v>1343</v>
      </c>
      <c r="L932" s="9" t="s">
        <v>802</v>
      </c>
      <c r="M932" s="9">
        <v>2023</v>
      </c>
      <c r="N932" s="9" t="s">
        <v>511</v>
      </c>
      <c r="O932" s="10" t="s">
        <v>512</v>
      </c>
      <c r="P932" s="9" t="s">
        <v>513</v>
      </c>
      <c r="Q932" s="9" t="s">
        <v>264</v>
      </c>
      <c r="R932" s="9" t="s">
        <v>1344</v>
      </c>
      <c r="S932" s="9" t="s">
        <v>2269</v>
      </c>
    </row>
    <row r="933" spans="2:19" x14ac:dyDescent="0.35">
      <c r="B933" s="18" t="s">
        <v>800</v>
      </c>
      <c r="C933" s="9" t="s">
        <v>803</v>
      </c>
      <c r="D933" s="9" t="s">
        <v>799</v>
      </c>
      <c r="E933" s="9" t="s">
        <v>39</v>
      </c>
      <c r="F933" s="17">
        <v>0.153</v>
      </c>
      <c r="G933" s="17"/>
      <c r="H933" s="17"/>
      <c r="I933" s="17"/>
      <c r="J933" s="17">
        <v>0.153</v>
      </c>
      <c r="K933" s="9" t="s">
        <v>1343</v>
      </c>
      <c r="L933" s="9" t="s">
        <v>804</v>
      </c>
      <c r="M933" s="9">
        <v>2022</v>
      </c>
      <c r="N933" s="9" t="s">
        <v>511</v>
      </c>
      <c r="O933" s="10" t="s">
        <v>512</v>
      </c>
      <c r="P933" s="9" t="s">
        <v>513</v>
      </c>
      <c r="Q933" s="9" t="s">
        <v>264</v>
      </c>
      <c r="R933" s="9" t="s">
        <v>1344</v>
      </c>
      <c r="S933" s="9" t="s">
        <v>2270</v>
      </c>
    </row>
    <row r="934" spans="2:19" x14ac:dyDescent="0.35">
      <c r="B934" s="18" t="s">
        <v>800</v>
      </c>
      <c r="C934" s="9" t="s">
        <v>803</v>
      </c>
      <c r="D934" s="9" t="s">
        <v>799</v>
      </c>
      <c r="E934" s="9" t="s">
        <v>39</v>
      </c>
      <c r="F934" s="17">
        <v>0.15329999999999999</v>
      </c>
      <c r="G934" s="17"/>
      <c r="H934" s="17"/>
      <c r="I934" s="17"/>
      <c r="J934" s="17">
        <v>0.15329999999999999</v>
      </c>
      <c r="K934" s="9" t="s">
        <v>1343</v>
      </c>
      <c r="L934" s="9" t="s">
        <v>804</v>
      </c>
      <c r="M934" s="9">
        <v>2023</v>
      </c>
      <c r="N934" s="9" t="s">
        <v>511</v>
      </c>
      <c r="O934" s="10" t="s">
        <v>512</v>
      </c>
      <c r="P934" s="9" t="s">
        <v>513</v>
      </c>
      <c r="Q934" s="9" t="s">
        <v>264</v>
      </c>
      <c r="R934" s="9" t="s">
        <v>1344</v>
      </c>
      <c r="S934" s="9" t="s">
        <v>2271</v>
      </c>
    </row>
    <row r="935" spans="2:19" x14ac:dyDescent="0.35">
      <c r="B935" s="18" t="s">
        <v>800</v>
      </c>
      <c r="C935" s="9" t="s">
        <v>803</v>
      </c>
      <c r="D935" s="9" t="s">
        <v>799</v>
      </c>
      <c r="E935" s="9" t="s">
        <v>39</v>
      </c>
      <c r="F935" s="17">
        <v>0.15490000000000001</v>
      </c>
      <c r="G935" s="17"/>
      <c r="H935" s="17"/>
      <c r="I935" s="17"/>
      <c r="J935" s="17">
        <v>0.15490000000000001</v>
      </c>
      <c r="K935" s="9" t="s">
        <v>1343</v>
      </c>
      <c r="L935" s="9" t="s">
        <v>804</v>
      </c>
      <c r="M935" s="9">
        <v>2024</v>
      </c>
      <c r="N935" s="9" t="s">
        <v>511</v>
      </c>
      <c r="O935" s="10" t="s">
        <v>512</v>
      </c>
      <c r="P935" s="9" t="s">
        <v>513</v>
      </c>
      <c r="Q935" s="9" t="s">
        <v>264</v>
      </c>
      <c r="R935" s="9" t="s">
        <v>1344</v>
      </c>
      <c r="S935" s="9" t="s">
        <v>2272</v>
      </c>
    </row>
    <row r="936" spans="2:19" x14ac:dyDescent="0.35">
      <c r="B936" s="18" t="s">
        <v>258</v>
      </c>
      <c r="C936" s="9" t="s">
        <v>259</v>
      </c>
      <c r="D936" s="9" t="s">
        <v>799</v>
      </c>
      <c r="E936" s="9" t="s">
        <v>39</v>
      </c>
      <c r="F936" s="17">
        <v>0.43259999999999998</v>
      </c>
      <c r="G936" s="17">
        <v>0.43099999999999999</v>
      </c>
      <c r="H936" s="17">
        <v>2.0000000000000001E-4</v>
      </c>
      <c r="I936" s="17">
        <v>1.4E-3</v>
      </c>
      <c r="J936" s="17">
        <v>0</v>
      </c>
      <c r="K936" s="9" t="s">
        <v>1343</v>
      </c>
      <c r="L936" s="9" t="s">
        <v>260</v>
      </c>
      <c r="M936" s="9">
        <v>2024</v>
      </c>
      <c r="N936" s="9" t="s">
        <v>390</v>
      </c>
      <c r="O936" s="10" t="s">
        <v>391</v>
      </c>
      <c r="P936" s="9" t="s">
        <v>392</v>
      </c>
      <c r="Q936" s="9" t="s">
        <v>264</v>
      </c>
      <c r="R936" s="9" t="s">
        <v>1344</v>
      </c>
      <c r="S936" s="9" t="s">
        <v>2273</v>
      </c>
    </row>
    <row r="937" spans="2:19" x14ac:dyDescent="0.35">
      <c r="B937" s="18" t="s">
        <v>258</v>
      </c>
      <c r="C937" s="9" t="s">
        <v>259</v>
      </c>
      <c r="D937" s="9" t="s">
        <v>799</v>
      </c>
      <c r="E937" s="9" t="s">
        <v>39</v>
      </c>
      <c r="F937" s="17">
        <v>0.4471</v>
      </c>
      <c r="G937" s="17">
        <v>0.44550000000000001</v>
      </c>
      <c r="H937" s="17">
        <v>2.0000000000000001E-4</v>
      </c>
      <c r="I937" s="17">
        <v>1.4E-3</v>
      </c>
      <c r="J937" s="17">
        <v>0</v>
      </c>
      <c r="K937" s="9" t="s">
        <v>1343</v>
      </c>
      <c r="L937" s="9" t="s">
        <v>260</v>
      </c>
      <c r="M937" s="9">
        <v>2023</v>
      </c>
      <c r="N937" s="9" t="s">
        <v>390</v>
      </c>
      <c r="O937" s="10" t="s">
        <v>391</v>
      </c>
      <c r="P937" s="9" t="s">
        <v>392</v>
      </c>
      <c r="Q937" s="9" t="s">
        <v>264</v>
      </c>
      <c r="R937" s="9" t="s">
        <v>1344</v>
      </c>
      <c r="S937" s="9" t="s">
        <v>2274</v>
      </c>
    </row>
    <row r="938" spans="2:19" x14ac:dyDescent="0.35">
      <c r="B938" s="18" t="s">
        <v>258</v>
      </c>
      <c r="C938" s="9" t="s">
        <v>259</v>
      </c>
      <c r="D938" s="9" t="s">
        <v>799</v>
      </c>
      <c r="E938" s="9" t="s">
        <v>39</v>
      </c>
      <c r="F938" s="17">
        <v>0.45829999999999999</v>
      </c>
      <c r="G938" s="17">
        <v>0.45669999999999999</v>
      </c>
      <c r="H938" s="17">
        <v>2.0000000000000001E-4</v>
      </c>
      <c r="I938" s="17">
        <v>1.4E-3</v>
      </c>
      <c r="J938" s="17">
        <v>0</v>
      </c>
      <c r="K938" s="9" t="s">
        <v>1343</v>
      </c>
      <c r="L938" s="9" t="s">
        <v>260</v>
      </c>
      <c r="M938" s="9">
        <v>2022</v>
      </c>
      <c r="N938" s="9" t="s">
        <v>390</v>
      </c>
      <c r="O938" s="10" t="s">
        <v>391</v>
      </c>
      <c r="P938" s="9" t="s">
        <v>392</v>
      </c>
      <c r="Q938" s="9" t="s">
        <v>264</v>
      </c>
      <c r="R938" s="9" t="s">
        <v>1344</v>
      </c>
      <c r="S938" s="9" t="s">
        <v>2275</v>
      </c>
    </row>
    <row r="939" spans="2:19" x14ac:dyDescent="0.35">
      <c r="B939" s="18" t="s">
        <v>800</v>
      </c>
      <c r="C939" s="9" t="s">
        <v>801</v>
      </c>
      <c r="D939" s="9" t="s">
        <v>799</v>
      </c>
      <c r="E939" s="9" t="s">
        <v>39</v>
      </c>
      <c r="F939" s="17">
        <v>1.8499999999999999E-2</v>
      </c>
      <c r="G939" s="17"/>
      <c r="H939" s="17"/>
      <c r="I939" s="17"/>
      <c r="J939" s="17">
        <v>1.8499999999999999E-2</v>
      </c>
      <c r="K939" s="9" t="s">
        <v>1343</v>
      </c>
      <c r="L939" s="9" t="s">
        <v>802</v>
      </c>
      <c r="M939" s="9">
        <v>2023</v>
      </c>
      <c r="N939" s="9" t="s">
        <v>390</v>
      </c>
      <c r="O939" s="10" t="s">
        <v>391</v>
      </c>
      <c r="P939" s="9" t="s">
        <v>392</v>
      </c>
      <c r="Q939" s="9" t="s">
        <v>264</v>
      </c>
      <c r="R939" s="9" t="s">
        <v>1344</v>
      </c>
      <c r="S939" s="9" t="s">
        <v>2276</v>
      </c>
    </row>
    <row r="940" spans="2:19" x14ac:dyDescent="0.35">
      <c r="B940" s="18" t="s">
        <v>800</v>
      </c>
      <c r="C940" s="9" t="s">
        <v>801</v>
      </c>
      <c r="D940" s="9" t="s">
        <v>799</v>
      </c>
      <c r="E940" s="9" t="s">
        <v>39</v>
      </c>
      <c r="F940" s="17">
        <v>1.8599999999999998E-2</v>
      </c>
      <c r="G940" s="17"/>
      <c r="H940" s="17"/>
      <c r="I940" s="17"/>
      <c r="J940" s="17">
        <v>1.8599999999999998E-2</v>
      </c>
      <c r="K940" s="9" t="s">
        <v>1343</v>
      </c>
      <c r="L940" s="9" t="s">
        <v>802</v>
      </c>
      <c r="M940" s="9">
        <v>2022</v>
      </c>
      <c r="N940" s="9" t="s">
        <v>390</v>
      </c>
      <c r="O940" s="10" t="s">
        <v>391</v>
      </c>
      <c r="P940" s="9" t="s">
        <v>392</v>
      </c>
      <c r="Q940" s="9" t="s">
        <v>264</v>
      </c>
      <c r="R940" s="9" t="s">
        <v>1344</v>
      </c>
      <c r="S940" s="9" t="s">
        <v>2277</v>
      </c>
    </row>
    <row r="941" spans="2:19" x14ac:dyDescent="0.35">
      <c r="B941" s="18" t="s">
        <v>800</v>
      </c>
      <c r="C941" s="9" t="s">
        <v>803</v>
      </c>
      <c r="D941" s="9" t="s">
        <v>799</v>
      </c>
      <c r="E941" s="9" t="s">
        <v>39</v>
      </c>
      <c r="F941" s="17">
        <v>7.6100000000000001E-2</v>
      </c>
      <c r="G941" s="17"/>
      <c r="H941" s="17"/>
      <c r="I941" s="17"/>
      <c r="J941" s="17">
        <v>7.6100000000000001E-2</v>
      </c>
      <c r="K941" s="9" t="s">
        <v>1343</v>
      </c>
      <c r="L941" s="9" t="s">
        <v>804</v>
      </c>
      <c r="M941" s="9">
        <v>2024</v>
      </c>
      <c r="N941" s="9" t="s">
        <v>390</v>
      </c>
      <c r="O941" s="10" t="s">
        <v>391</v>
      </c>
      <c r="P941" s="9" t="s">
        <v>392</v>
      </c>
      <c r="Q941" s="9" t="s">
        <v>264</v>
      </c>
      <c r="R941" s="9" t="s">
        <v>1344</v>
      </c>
      <c r="S941" s="9" t="s">
        <v>2278</v>
      </c>
    </row>
    <row r="942" spans="2:19" x14ac:dyDescent="0.35">
      <c r="B942" s="18" t="s">
        <v>800</v>
      </c>
      <c r="C942" s="9" t="s">
        <v>803</v>
      </c>
      <c r="D942" s="9" t="s">
        <v>799</v>
      </c>
      <c r="E942" s="9" t="s">
        <v>39</v>
      </c>
      <c r="F942" s="17">
        <v>7.7899999999999997E-2</v>
      </c>
      <c r="G942" s="17"/>
      <c r="H942" s="17"/>
      <c r="I942" s="17"/>
      <c r="J942" s="17">
        <v>7.7899999999999997E-2</v>
      </c>
      <c r="K942" s="9" t="s">
        <v>1343</v>
      </c>
      <c r="L942" s="9" t="s">
        <v>804</v>
      </c>
      <c r="M942" s="9">
        <v>2023</v>
      </c>
      <c r="N942" s="9" t="s">
        <v>390</v>
      </c>
      <c r="O942" s="10" t="s">
        <v>391</v>
      </c>
      <c r="P942" s="9" t="s">
        <v>392</v>
      </c>
      <c r="Q942" s="9" t="s">
        <v>264</v>
      </c>
      <c r="R942" s="9" t="s">
        <v>1344</v>
      </c>
      <c r="S942" s="9" t="s">
        <v>2279</v>
      </c>
    </row>
    <row r="943" spans="2:19" x14ac:dyDescent="0.35">
      <c r="B943" s="18" t="s">
        <v>800</v>
      </c>
      <c r="C943" s="9" t="s">
        <v>803</v>
      </c>
      <c r="D943" s="9" t="s">
        <v>799</v>
      </c>
      <c r="E943" s="9" t="s">
        <v>39</v>
      </c>
      <c r="F943" s="17">
        <v>8.0500000000000002E-2</v>
      </c>
      <c r="G943" s="17"/>
      <c r="H943" s="17"/>
      <c r="I943" s="17"/>
      <c r="J943" s="17">
        <v>8.0500000000000002E-2</v>
      </c>
      <c r="K943" s="9" t="s">
        <v>1343</v>
      </c>
      <c r="L943" s="9" t="s">
        <v>804</v>
      </c>
      <c r="M943" s="9">
        <v>2022</v>
      </c>
      <c r="N943" s="9" t="s">
        <v>390</v>
      </c>
      <c r="O943" s="10" t="s">
        <v>391</v>
      </c>
      <c r="P943" s="9" t="s">
        <v>392</v>
      </c>
      <c r="Q943" s="9" t="s">
        <v>264</v>
      </c>
      <c r="R943" s="9" t="s">
        <v>1344</v>
      </c>
      <c r="S943" s="9" t="s">
        <v>2280</v>
      </c>
    </row>
    <row r="944" spans="2:19" x14ac:dyDescent="0.35">
      <c r="B944" s="18" t="s">
        <v>258</v>
      </c>
      <c r="C944" s="9" t="s">
        <v>259</v>
      </c>
      <c r="D944" s="9" t="s">
        <v>799</v>
      </c>
      <c r="E944" s="9" t="s">
        <v>39</v>
      </c>
      <c r="F944" s="17">
        <v>0.82899999999999996</v>
      </c>
      <c r="G944" s="17">
        <v>0.82630000000000003</v>
      </c>
      <c r="H944" s="17">
        <v>8.9999999999999998E-4</v>
      </c>
      <c r="I944" s="17">
        <v>1.8E-3</v>
      </c>
      <c r="J944" s="17">
        <v>0</v>
      </c>
      <c r="K944" s="9" t="s">
        <v>1343</v>
      </c>
      <c r="L944" s="9" t="s">
        <v>260</v>
      </c>
      <c r="M944" s="9">
        <v>2023</v>
      </c>
      <c r="N944" s="9" t="s">
        <v>784</v>
      </c>
      <c r="O944" s="10" t="s">
        <v>785</v>
      </c>
      <c r="P944" s="9" t="s">
        <v>786</v>
      </c>
      <c r="Q944" s="9" t="s">
        <v>264</v>
      </c>
      <c r="R944" s="9" t="s">
        <v>1344</v>
      </c>
      <c r="S944" s="9" t="s">
        <v>2281</v>
      </c>
    </row>
    <row r="945" spans="2:19" x14ac:dyDescent="0.35">
      <c r="B945" s="18" t="s">
        <v>258</v>
      </c>
      <c r="C945" s="9" t="s">
        <v>259</v>
      </c>
      <c r="D945" s="9" t="s">
        <v>799</v>
      </c>
      <c r="E945" s="9" t="s">
        <v>39</v>
      </c>
      <c r="F945" s="17">
        <v>0.85</v>
      </c>
      <c r="G945" s="17">
        <v>0.84719999999999995</v>
      </c>
      <c r="H945" s="17">
        <v>1E-3</v>
      </c>
      <c r="I945" s="17">
        <v>1.8E-3</v>
      </c>
      <c r="J945" s="17">
        <v>0</v>
      </c>
      <c r="K945" s="9" t="s">
        <v>1343</v>
      </c>
      <c r="L945" s="9" t="s">
        <v>260</v>
      </c>
      <c r="M945" s="9">
        <v>2022</v>
      </c>
      <c r="N945" s="9" t="s">
        <v>784</v>
      </c>
      <c r="O945" s="10" t="s">
        <v>785</v>
      </c>
      <c r="P945" s="9" t="s">
        <v>786</v>
      </c>
      <c r="Q945" s="9" t="s">
        <v>264</v>
      </c>
      <c r="R945" s="9" t="s">
        <v>1344</v>
      </c>
      <c r="S945" s="9" t="s">
        <v>2282</v>
      </c>
    </row>
    <row r="946" spans="2:19" x14ac:dyDescent="0.35">
      <c r="B946" s="18" t="s">
        <v>800</v>
      </c>
      <c r="C946" s="9" t="s">
        <v>801</v>
      </c>
      <c r="D946" s="9" t="s">
        <v>799</v>
      </c>
      <c r="E946" s="9" t="s">
        <v>39</v>
      </c>
      <c r="F946" s="17">
        <v>4.3700000000000003E-2</v>
      </c>
      <c r="G946" s="17"/>
      <c r="H946" s="17"/>
      <c r="I946" s="17"/>
      <c r="J946" s="17">
        <v>4.3700000000000003E-2</v>
      </c>
      <c r="K946" s="9" t="s">
        <v>1343</v>
      </c>
      <c r="L946" s="9" t="s">
        <v>802</v>
      </c>
      <c r="M946" s="9">
        <v>2023</v>
      </c>
      <c r="N946" s="9" t="s">
        <v>784</v>
      </c>
      <c r="O946" s="10" t="s">
        <v>785</v>
      </c>
      <c r="P946" s="9" t="s">
        <v>786</v>
      </c>
      <c r="Q946" s="9" t="s">
        <v>264</v>
      </c>
      <c r="R946" s="9" t="s">
        <v>1344</v>
      </c>
      <c r="S946" s="9" t="s">
        <v>2283</v>
      </c>
    </row>
    <row r="947" spans="2:19" x14ac:dyDescent="0.35">
      <c r="B947" s="18" t="s">
        <v>800</v>
      </c>
      <c r="C947" s="9" t="s">
        <v>801</v>
      </c>
      <c r="D947" s="9" t="s">
        <v>799</v>
      </c>
      <c r="E947" s="9" t="s">
        <v>39</v>
      </c>
      <c r="F947" s="17">
        <v>4.4900000000000002E-2</v>
      </c>
      <c r="G947" s="17"/>
      <c r="H947" s="17"/>
      <c r="I947" s="17"/>
      <c r="J947" s="17">
        <v>4.4900000000000002E-2</v>
      </c>
      <c r="K947" s="9" t="s">
        <v>1343</v>
      </c>
      <c r="L947" s="9" t="s">
        <v>802</v>
      </c>
      <c r="M947" s="9">
        <v>2022</v>
      </c>
      <c r="N947" s="9" t="s">
        <v>784</v>
      </c>
      <c r="O947" s="10" t="s">
        <v>785</v>
      </c>
      <c r="P947" s="9" t="s">
        <v>786</v>
      </c>
      <c r="Q947" s="9" t="s">
        <v>264</v>
      </c>
      <c r="R947" s="9" t="s">
        <v>1344</v>
      </c>
      <c r="S947" s="9" t="s">
        <v>2284</v>
      </c>
    </row>
    <row r="948" spans="2:19" x14ac:dyDescent="0.35">
      <c r="B948" s="18" t="s">
        <v>800</v>
      </c>
      <c r="C948" s="9" t="s">
        <v>803</v>
      </c>
      <c r="D948" s="9" t="s">
        <v>799</v>
      </c>
      <c r="E948" s="9" t="s">
        <v>39</v>
      </c>
      <c r="F948" s="17">
        <v>0.21299999999999999</v>
      </c>
      <c r="G948" s="17"/>
      <c r="H948" s="17"/>
      <c r="I948" s="17"/>
      <c r="J948" s="17">
        <v>0.21299999999999999</v>
      </c>
      <c r="K948" s="9" t="s">
        <v>1343</v>
      </c>
      <c r="L948" s="9" t="s">
        <v>804</v>
      </c>
      <c r="M948" s="9">
        <v>2023</v>
      </c>
      <c r="N948" s="9" t="s">
        <v>784</v>
      </c>
      <c r="O948" s="10" t="s">
        <v>785</v>
      </c>
      <c r="P948" s="9" t="s">
        <v>786</v>
      </c>
      <c r="Q948" s="9" t="s">
        <v>264</v>
      </c>
      <c r="R948" s="9" t="s">
        <v>1344</v>
      </c>
      <c r="S948" s="9" t="s">
        <v>2285</v>
      </c>
    </row>
    <row r="949" spans="2:19" x14ac:dyDescent="0.35">
      <c r="B949" s="18" t="s">
        <v>800</v>
      </c>
      <c r="C949" s="9" t="s">
        <v>803</v>
      </c>
      <c r="D949" s="9" t="s">
        <v>799</v>
      </c>
      <c r="E949" s="9" t="s">
        <v>39</v>
      </c>
      <c r="F949" s="17">
        <v>0.217</v>
      </c>
      <c r="G949" s="17"/>
      <c r="H949" s="17"/>
      <c r="I949" s="17"/>
      <c r="J949" s="17">
        <v>0.217</v>
      </c>
      <c r="K949" s="9" t="s">
        <v>1343</v>
      </c>
      <c r="L949" s="9" t="s">
        <v>804</v>
      </c>
      <c r="M949" s="9">
        <v>2022</v>
      </c>
      <c r="N949" s="9" t="s">
        <v>784</v>
      </c>
      <c r="O949" s="10" t="s">
        <v>785</v>
      </c>
      <c r="P949" s="9" t="s">
        <v>786</v>
      </c>
      <c r="Q949" s="9" t="s">
        <v>264</v>
      </c>
      <c r="R949" s="9" t="s">
        <v>1344</v>
      </c>
      <c r="S949" s="9" t="s">
        <v>2286</v>
      </c>
    </row>
    <row r="950" spans="2:19" x14ac:dyDescent="0.35">
      <c r="B950" s="18" t="s">
        <v>258</v>
      </c>
      <c r="C950" s="9" t="s">
        <v>259</v>
      </c>
      <c r="D950" s="9" t="s">
        <v>799</v>
      </c>
      <c r="E950" s="9" t="s">
        <v>39</v>
      </c>
      <c r="F950" s="17">
        <v>0.1134</v>
      </c>
      <c r="G950" s="17">
        <v>0.11269999999999999</v>
      </c>
      <c r="H950" s="17">
        <v>2.9999999999999997E-4</v>
      </c>
      <c r="I950" s="17">
        <v>4.0000000000000002E-4</v>
      </c>
      <c r="J950" s="17">
        <v>0</v>
      </c>
      <c r="K950" s="9" t="s">
        <v>1343</v>
      </c>
      <c r="L950" s="9" t="s">
        <v>260</v>
      </c>
      <c r="M950" s="9">
        <v>2024</v>
      </c>
      <c r="N950" s="9" t="s">
        <v>468</v>
      </c>
      <c r="O950" s="10" t="s">
        <v>469</v>
      </c>
      <c r="P950" s="9" t="s">
        <v>470</v>
      </c>
      <c r="Q950" s="9" t="s">
        <v>264</v>
      </c>
      <c r="R950" s="9" t="s">
        <v>1344</v>
      </c>
      <c r="S950" s="9" t="s">
        <v>2287</v>
      </c>
    </row>
    <row r="951" spans="2:19" x14ac:dyDescent="0.35">
      <c r="B951" s="18" t="s">
        <v>258</v>
      </c>
      <c r="C951" s="9" t="s">
        <v>259</v>
      </c>
      <c r="D951" s="9" t="s">
        <v>799</v>
      </c>
      <c r="E951" s="9" t="s">
        <v>39</v>
      </c>
      <c r="F951" s="17">
        <v>0.13339999999999999</v>
      </c>
      <c r="G951" s="17">
        <v>0.13270000000000001</v>
      </c>
      <c r="H951" s="17">
        <v>2.9999999999999997E-4</v>
      </c>
      <c r="I951" s="17">
        <v>4.0000000000000002E-4</v>
      </c>
      <c r="J951" s="17">
        <v>0</v>
      </c>
      <c r="K951" s="9" t="s">
        <v>1343</v>
      </c>
      <c r="L951" s="9" t="s">
        <v>260</v>
      </c>
      <c r="M951" s="9">
        <v>2023</v>
      </c>
      <c r="N951" s="9" t="s">
        <v>468</v>
      </c>
      <c r="O951" s="10" t="s">
        <v>469</v>
      </c>
      <c r="P951" s="9" t="s">
        <v>470</v>
      </c>
      <c r="Q951" s="9" t="s">
        <v>264</v>
      </c>
      <c r="R951" s="9" t="s">
        <v>1344</v>
      </c>
      <c r="S951" s="9" t="s">
        <v>2288</v>
      </c>
    </row>
    <row r="952" spans="2:19" x14ac:dyDescent="0.35">
      <c r="B952" s="18" t="s">
        <v>258</v>
      </c>
      <c r="C952" s="9" t="s">
        <v>259</v>
      </c>
      <c r="D952" s="9" t="s">
        <v>799</v>
      </c>
      <c r="E952" s="9" t="s">
        <v>39</v>
      </c>
      <c r="F952" s="17">
        <v>0.17119999999999999</v>
      </c>
      <c r="G952" s="17">
        <v>0.1704</v>
      </c>
      <c r="H952" s="17">
        <v>2.9999999999999997E-4</v>
      </c>
      <c r="I952" s="17">
        <v>5.0000000000000001E-4</v>
      </c>
      <c r="J952" s="17">
        <v>0</v>
      </c>
      <c r="K952" s="9" t="s">
        <v>1343</v>
      </c>
      <c r="L952" s="9" t="s">
        <v>260</v>
      </c>
      <c r="M952" s="9">
        <v>2022</v>
      </c>
      <c r="N952" s="9" t="s">
        <v>468</v>
      </c>
      <c r="O952" s="10" t="s">
        <v>469</v>
      </c>
      <c r="P952" s="9" t="s">
        <v>470</v>
      </c>
      <c r="Q952" s="9" t="s">
        <v>264</v>
      </c>
      <c r="R952" s="9" t="s">
        <v>1344</v>
      </c>
      <c r="S952" s="9" t="s">
        <v>2289</v>
      </c>
    </row>
    <row r="953" spans="2:19" x14ac:dyDescent="0.35">
      <c r="B953" s="18" t="s">
        <v>800</v>
      </c>
      <c r="C953" s="9" t="s">
        <v>801</v>
      </c>
      <c r="D953" s="9" t="s">
        <v>799</v>
      </c>
      <c r="E953" s="9" t="s">
        <v>39</v>
      </c>
      <c r="F953" s="17">
        <v>1.4800000000000001E-2</v>
      </c>
      <c r="G953" s="17"/>
      <c r="H953" s="17"/>
      <c r="I953" s="17"/>
      <c r="J953" s="17">
        <v>1.4800000000000001E-2</v>
      </c>
      <c r="K953" s="9" t="s">
        <v>1343</v>
      </c>
      <c r="L953" s="9" t="s">
        <v>802</v>
      </c>
      <c r="M953" s="9">
        <v>2023</v>
      </c>
      <c r="N953" s="9" t="s">
        <v>468</v>
      </c>
      <c r="O953" s="10" t="s">
        <v>469</v>
      </c>
      <c r="P953" s="9" t="s">
        <v>470</v>
      </c>
      <c r="Q953" s="9" t="s">
        <v>264</v>
      </c>
      <c r="R953" s="9" t="s">
        <v>1344</v>
      </c>
      <c r="S953" s="9" t="s">
        <v>2290</v>
      </c>
    </row>
    <row r="954" spans="2:19" x14ac:dyDescent="0.35">
      <c r="B954" s="18" t="s">
        <v>800</v>
      </c>
      <c r="C954" s="9" t="s">
        <v>801</v>
      </c>
      <c r="D954" s="9" t="s">
        <v>799</v>
      </c>
      <c r="E954" s="9" t="s">
        <v>39</v>
      </c>
      <c r="F954" s="17">
        <v>1.8700000000000001E-2</v>
      </c>
      <c r="G954" s="17"/>
      <c r="H954" s="17"/>
      <c r="I954" s="17"/>
      <c r="J954" s="17">
        <v>1.8700000000000001E-2</v>
      </c>
      <c r="K954" s="9" t="s">
        <v>1343</v>
      </c>
      <c r="L954" s="9" t="s">
        <v>802</v>
      </c>
      <c r="M954" s="9">
        <v>2022</v>
      </c>
      <c r="N954" s="9" t="s">
        <v>468</v>
      </c>
      <c r="O954" s="10" t="s">
        <v>469</v>
      </c>
      <c r="P954" s="9" t="s">
        <v>470</v>
      </c>
      <c r="Q954" s="9" t="s">
        <v>264</v>
      </c>
      <c r="R954" s="9" t="s">
        <v>1344</v>
      </c>
      <c r="S954" s="9" t="s">
        <v>2291</v>
      </c>
    </row>
    <row r="955" spans="2:19" x14ac:dyDescent="0.35">
      <c r="B955" s="18" t="s">
        <v>800</v>
      </c>
      <c r="C955" s="9" t="s">
        <v>803</v>
      </c>
      <c r="D955" s="9" t="s">
        <v>799</v>
      </c>
      <c r="E955" s="9" t="s">
        <v>39</v>
      </c>
      <c r="F955" s="17">
        <v>3.39E-2</v>
      </c>
      <c r="G955" s="17"/>
      <c r="H955" s="17"/>
      <c r="I955" s="17"/>
      <c r="J955" s="17">
        <v>3.39E-2</v>
      </c>
      <c r="K955" s="9" t="s">
        <v>1343</v>
      </c>
      <c r="L955" s="9" t="s">
        <v>804</v>
      </c>
      <c r="M955" s="9">
        <v>2024</v>
      </c>
      <c r="N955" s="9" t="s">
        <v>468</v>
      </c>
      <c r="O955" s="10" t="s">
        <v>469</v>
      </c>
      <c r="P955" s="9" t="s">
        <v>470</v>
      </c>
      <c r="Q955" s="9" t="s">
        <v>264</v>
      </c>
      <c r="R955" s="9" t="s">
        <v>1344</v>
      </c>
      <c r="S955" s="9" t="s">
        <v>2292</v>
      </c>
    </row>
    <row r="956" spans="2:19" x14ac:dyDescent="0.35">
      <c r="B956" s="18" t="s">
        <v>800</v>
      </c>
      <c r="C956" s="9" t="s">
        <v>803</v>
      </c>
      <c r="D956" s="9" t="s">
        <v>799</v>
      </c>
      <c r="E956" s="9" t="s">
        <v>39</v>
      </c>
      <c r="F956" s="17">
        <v>3.7199999999999997E-2</v>
      </c>
      <c r="G956" s="17"/>
      <c r="H956" s="17"/>
      <c r="I956" s="17"/>
      <c r="J956" s="17">
        <v>3.7199999999999997E-2</v>
      </c>
      <c r="K956" s="9" t="s">
        <v>1343</v>
      </c>
      <c r="L956" s="9" t="s">
        <v>804</v>
      </c>
      <c r="M956" s="9">
        <v>2023</v>
      </c>
      <c r="N956" s="9" t="s">
        <v>468</v>
      </c>
      <c r="O956" s="10" t="s">
        <v>469</v>
      </c>
      <c r="P956" s="9" t="s">
        <v>470</v>
      </c>
      <c r="Q956" s="9" t="s">
        <v>264</v>
      </c>
      <c r="R956" s="9" t="s">
        <v>1344</v>
      </c>
      <c r="S956" s="9" t="s">
        <v>2293</v>
      </c>
    </row>
    <row r="957" spans="2:19" x14ac:dyDescent="0.35">
      <c r="B957" s="18" t="s">
        <v>800</v>
      </c>
      <c r="C957" s="9" t="s">
        <v>803</v>
      </c>
      <c r="D957" s="9" t="s">
        <v>799</v>
      </c>
      <c r="E957" s="9" t="s">
        <v>39</v>
      </c>
      <c r="F957" s="17">
        <v>4.24E-2</v>
      </c>
      <c r="G957" s="17"/>
      <c r="H957" s="17"/>
      <c r="I957" s="17"/>
      <c r="J957" s="17">
        <v>4.24E-2</v>
      </c>
      <c r="K957" s="9" t="s">
        <v>1343</v>
      </c>
      <c r="L957" s="9" t="s">
        <v>804</v>
      </c>
      <c r="M957" s="9">
        <v>2022</v>
      </c>
      <c r="N957" s="9" t="s">
        <v>468</v>
      </c>
      <c r="O957" s="10" t="s">
        <v>469</v>
      </c>
      <c r="P957" s="9" t="s">
        <v>470</v>
      </c>
      <c r="Q957" s="9" t="s">
        <v>264</v>
      </c>
      <c r="R957" s="9" t="s">
        <v>1344</v>
      </c>
      <c r="S957" s="9" t="s">
        <v>2294</v>
      </c>
    </row>
    <row r="958" spans="2:19" x14ac:dyDescent="0.35">
      <c r="B958" s="18" t="s">
        <v>258</v>
      </c>
      <c r="C958" s="9" t="s">
        <v>259</v>
      </c>
      <c r="D958" s="9" t="s">
        <v>799</v>
      </c>
      <c r="E958" s="9" t="s">
        <v>39</v>
      </c>
      <c r="F958" s="17">
        <v>0.48070000000000002</v>
      </c>
      <c r="G958" s="17">
        <v>0.47820000000000001</v>
      </c>
      <c r="H958" s="17">
        <v>5.0000000000000001E-4</v>
      </c>
      <c r="I958" s="17">
        <v>2E-3</v>
      </c>
      <c r="J958" s="17">
        <v>0</v>
      </c>
      <c r="K958" s="9" t="s">
        <v>1343</v>
      </c>
      <c r="L958" s="9" t="s">
        <v>260</v>
      </c>
      <c r="M958" s="9">
        <v>2023</v>
      </c>
      <c r="N958" s="9" t="s">
        <v>616</v>
      </c>
      <c r="O958" s="10" t="s">
        <v>617</v>
      </c>
      <c r="P958" s="9" t="s">
        <v>618</v>
      </c>
      <c r="Q958" s="9" t="s">
        <v>264</v>
      </c>
      <c r="R958" s="9" t="s">
        <v>1344</v>
      </c>
      <c r="S958" s="9" t="s">
        <v>2295</v>
      </c>
    </row>
    <row r="959" spans="2:19" x14ac:dyDescent="0.35">
      <c r="B959" s="18" t="s">
        <v>258</v>
      </c>
      <c r="C959" s="9" t="s">
        <v>259</v>
      </c>
      <c r="D959" s="9" t="s">
        <v>799</v>
      </c>
      <c r="E959" s="9" t="s">
        <v>39</v>
      </c>
      <c r="F959" s="17">
        <v>0.48099999999999998</v>
      </c>
      <c r="G959" s="17">
        <v>0.47860000000000003</v>
      </c>
      <c r="H959" s="17">
        <v>4.0000000000000002E-4</v>
      </c>
      <c r="I959" s="17">
        <v>2E-3</v>
      </c>
      <c r="J959" s="17">
        <v>0</v>
      </c>
      <c r="K959" s="9" t="s">
        <v>1343</v>
      </c>
      <c r="L959" s="9" t="s">
        <v>260</v>
      </c>
      <c r="M959" s="9">
        <v>2022</v>
      </c>
      <c r="N959" s="9" t="s">
        <v>616</v>
      </c>
      <c r="O959" s="10" t="s">
        <v>617</v>
      </c>
      <c r="P959" s="9" t="s">
        <v>618</v>
      </c>
      <c r="Q959" s="9" t="s">
        <v>264</v>
      </c>
      <c r="R959" s="9" t="s">
        <v>1344</v>
      </c>
      <c r="S959" s="9" t="s">
        <v>2296</v>
      </c>
    </row>
    <row r="960" spans="2:19" x14ac:dyDescent="0.35">
      <c r="B960" s="18" t="s">
        <v>800</v>
      </c>
      <c r="C960" s="9" t="s">
        <v>801</v>
      </c>
      <c r="D960" s="9" t="s">
        <v>799</v>
      </c>
      <c r="E960" s="9" t="s">
        <v>39</v>
      </c>
      <c r="F960" s="17">
        <v>5.1900000000000002E-2</v>
      </c>
      <c r="G960" s="17"/>
      <c r="H960" s="17"/>
      <c r="I960" s="17"/>
      <c r="J960" s="17">
        <v>5.1900000000000002E-2</v>
      </c>
      <c r="K960" s="9" t="s">
        <v>1343</v>
      </c>
      <c r="L960" s="9" t="s">
        <v>802</v>
      </c>
      <c r="M960" s="9">
        <v>2022</v>
      </c>
      <c r="N960" s="9" t="s">
        <v>616</v>
      </c>
      <c r="O960" s="10" t="s">
        <v>617</v>
      </c>
      <c r="P960" s="9" t="s">
        <v>618</v>
      </c>
      <c r="Q960" s="9" t="s">
        <v>264</v>
      </c>
      <c r="R960" s="9" t="s">
        <v>1344</v>
      </c>
      <c r="S960" s="9" t="s">
        <v>2297</v>
      </c>
    </row>
    <row r="961" spans="2:19" x14ac:dyDescent="0.35">
      <c r="B961" s="18" t="s">
        <v>800</v>
      </c>
      <c r="C961" s="9" t="s">
        <v>801</v>
      </c>
      <c r="D961" s="9" t="s">
        <v>799</v>
      </c>
      <c r="E961" s="9" t="s">
        <v>39</v>
      </c>
      <c r="F961" s="17">
        <v>5.4600000000000003E-2</v>
      </c>
      <c r="G961" s="17"/>
      <c r="H961" s="17"/>
      <c r="I961" s="17"/>
      <c r="J961" s="17">
        <v>5.4600000000000003E-2</v>
      </c>
      <c r="K961" s="9" t="s">
        <v>1343</v>
      </c>
      <c r="L961" s="9" t="s">
        <v>802</v>
      </c>
      <c r="M961" s="9">
        <v>2023</v>
      </c>
      <c r="N961" s="9" t="s">
        <v>616</v>
      </c>
      <c r="O961" s="10" t="s">
        <v>617</v>
      </c>
      <c r="P961" s="9" t="s">
        <v>618</v>
      </c>
      <c r="Q961" s="9" t="s">
        <v>264</v>
      </c>
      <c r="R961" s="9" t="s">
        <v>1344</v>
      </c>
      <c r="S961" s="9" t="s">
        <v>2298</v>
      </c>
    </row>
    <row r="962" spans="2:19" x14ac:dyDescent="0.35">
      <c r="B962" s="18" t="s">
        <v>800</v>
      </c>
      <c r="C962" s="9" t="s">
        <v>803</v>
      </c>
      <c r="D962" s="9" t="s">
        <v>799</v>
      </c>
      <c r="E962" s="9" t="s">
        <v>39</v>
      </c>
      <c r="F962" s="17">
        <v>8.5999999999999993E-2</v>
      </c>
      <c r="G962" s="17"/>
      <c r="H962" s="17"/>
      <c r="I962" s="17"/>
      <c r="J962" s="17">
        <v>8.5999999999999993E-2</v>
      </c>
      <c r="K962" s="9" t="s">
        <v>1343</v>
      </c>
      <c r="L962" s="9" t="s">
        <v>804</v>
      </c>
      <c r="M962" s="9">
        <v>2022</v>
      </c>
      <c r="N962" s="9" t="s">
        <v>616</v>
      </c>
      <c r="O962" s="10" t="s">
        <v>617</v>
      </c>
      <c r="P962" s="9" t="s">
        <v>618</v>
      </c>
      <c r="Q962" s="9" t="s">
        <v>264</v>
      </c>
      <c r="R962" s="9" t="s">
        <v>1344</v>
      </c>
      <c r="S962" s="9" t="s">
        <v>2299</v>
      </c>
    </row>
    <row r="963" spans="2:19" x14ac:dyDescent="0.35">
      <c r="B963" s="18" t="s">
        <v>800</v>
      </c>
      <c r="C963" s="9" t="s">
        <v>803</v>
      </c>
      <c r="D963" s="9" t="s">
        <v>799</v>
      </c>
      <c r="E963" s="9" t="s">
        <v>39</v>
      </c>
      <c r="F963" s="17">
        <v>8.8099999999999998E-2</v>
      </c>
      <c r="G963" s="17"/>
      <c r="H963" s="17"/>
      <c r="I963" s="17"/>
      <c r="J963" s="17">
        <v>8.8099999999999998E-2</v>
      </c>
      <c r="K963" s="9" t="s">
        <v>1343</v>
      </c>
      <c r="L963" s="9" t="s">
        <v>804</v>
      </c>
      <c r="M963" s="9">
        <v>2023</v>
      </c>
      <c r="N963" s="9" t="s">
        <v>616</v>
      </c>
      <c r="O963" s="10" t="s">
        <v>617</v>
      </c>
      <c r="P963" s="9" t="s">
        <v>618</v>
      </c>
      <c r="Q963" s="9" t="s">
        <v>264</v>
      </c>
      <c r="R963" s="9" t="s">
        <v>1344</v>
      </c>
      <c r="S963" s="9" t="s">
        <v>2300</v>
      </c>
    </row>
    <row r="964" spans="2:19" x14ac:dyDescent="0.35">
      <c r="B964" s="18" t="s">
        <v>258</v>
      </c>
      <c r="C964" s="9" t="s">
        <v>259</v>
      </c>
      <c r="D964" s="9" t="s">
        <v>799</v>
      </c>
      <c r="E964" s="9" t="s">
        <v>39</v>
      </c>
      <c r="F964" s="17">
        <v>0.1386</v>
      </c>
      <c r="G964" s="17">
        <v>0.1381</v>
      </c>
      <c r="H964" s="17">
        <v>2.0000000000000001E-4</v>
      </c>
      <c r="I964" s="17">
        <v>2.9999999999999997E-4</v>
      </c>
      <c r="J964" s="17">
        <v>0</v>
      </c>
      <c r="K964" s="9" t="s">
        <v>1343</v>
      </c>
      <c r="L964" s="9" t="s">
        <v>260</v>
      </c>
      <c r="M964" s="9">
        <v>2023</v>
      </c>
      <c r="N964" s="9" t="s">
        <v>769</v>
      </c>
      <c r="O964" s="10" t="s">
        <v>770</v>
      </c>
      <c r="P964" s="9" t="s">
        <v>771</v>
      </c>
      <c r="Q964" s="9" t="s">
        <v>264</v>
      </c>
      <c r="R964" s="9" t="s">
        <v>1344</v>
      </c>
      <c r="S964" s="9" t="s">
        <v>2301</v>
      </c>
    </row>
    <row r="965" spans="2:19" x14ac:dyDescent="0.35">
      <c r="B965" s="18" t="s">
        <v>258</v>
      </c>
      <c r="C965" s="9" t="s">
        <v>259</v>
      </c>
      <c r="D965" s="9" t="s">
        <v>799</v>
      </c>
      <c r="E965" s="9" t="s">
        <v>39</v>
      </c>
      <c r="F965" s="17">
        <v>0.20519999999999999</v>
      </c>
      <c r="G965" s="17">
        <v>0.2046</v>
      </c>
      <c r="H965" s="17">
        <v>2.0000000000000001E-4</v>
      </c>
      <c r="I965" s="17">
        <v>4.0000000000000002E-4</v>
      </c>
      <c r="J965" s="17">
        <v>0</v>
      </c>
      <c r="K965" s="9" t="s">
        <v>1343</v>
      </c>
      <c r="L965" s="9" t="s">
        <v>260</v>
      </c>
      <c r="M965" s="9">
        <v>2022</v>
      </c>
      <c r="N965" s="9" t="s">
        <v>769</v>
      </c>
      <c r="O965" s="10" t="s">
        <v>770</v>
      </c>
      <c r="P965" s="9" t="s">
        <v>771</v>
      </c>
      <c r="Q965" s="9" t="s">
        <v>264</v>
      </c>
      <c r="R965" s="9" t="s">
        <v>1344</v>
      </c>
      <c r="S965" s="9" t="s">
        <v>2302</v>
      </c>
    </row>
    <row r="966" spans="2:19" x14ac:dyDescent="0.35">
      <c r="B966" s="18" t="s">
        <v>800</v>
      </c>
      <c r="C966" s="9" t="s">
        <v>801</v>
      </c>
      <c r="D966" s="9" t="s">
        <v>799</v>
      </c>
      <c r="E966" s="9" t="s">
        <v>39</v>
      </c>
      <c r="F966" s="17">
        <v>4.5999999999999999E-2</v>
      </c>
      <c r="G966" s="17"/>
      <c r="H966" s="17"/>
      <c r="I966" s="17"/>
      <c r="J966" s="17">
        <v>4.5999999999999999E-2</v>
      </c>
      <c r="K966" s="9" t="s">
        <v>1343</v>
      </c>
      <c r="L966" s="9" t="s">
        <v>802</v>
      </c>
      <c r="M966" s="9">
        <v>2023</v>
      </c>
      <c r="N966" s="9" t="s">
        <v>769</v>
      </c>
      <c r="O966" s="10" t="s">
        <v>770</v>
      </c>
      <c r="P966" s="9" t="s">
        <v>771</v>
      </c>
      <c r="Q966" s="9" t="s">
        <v>264</v>
      </c>
      <c r="R966" s="9" t="s">
        <v>1344</v>
      </c>
      <c r="S966" s="9" t="s">
        <v>2303</v>
      </c>
    </row>
    <row r="967" spans="2:19" x14ac:dyDescent="0.35">
      <c r="B967" s="18" t="s">
        <v>800</v>
      </c>
      <c r="C967" s="9" t="s">
        <v>801</v>
      </c>
      <c r="D967" s="9" t="s">
        <v>799</v>
      </c>
      <c r="E967" s="9" t="s">
        <v>39</v>
      </c>
      <c r="F967" s="17">
        <v>5.4899999999999997E-2</v>
      </c>
      <c r="G967" s="17"/>
      <c r="H967" s="17"/>
      <c r="I967" s="17"/>
      <c r="J967" s="17">
        <v>5.4899999999999997E-2</v>
      </c>
      <c r="K967" s="9" t="s">
        <v>1343</v>
      </c>
      <c r="L967" s="9" t="s">
        <v>802</v>
      </c>
      <c r="M967" s="9">
        <v>2022</v>
      </c>
      <c r="N967" s="9" t="s">
        <v>769</v>
      </c>
      <c r="O967" s="10" t="s">
        <v>770</v>
      </c>
      <c r="P967" s="9" t="s">
        <v>771</v>
      </c>
      <c r="Q967" s="9" t="s">
        <v>264</v>
      </c>
      <c r="R967" s="9" t="s">
        <v>1344</v>
      </c>
      <c r="S967" s="9" t="s">
        <v>2304</v>
      </c>
    </row>
    <row r="968" spans="2:19" x14ac:dyDescent="0.35">
      <c r="B968" s="18" t="s">
        <v>800</v>
      </c>
      <c r="C968" s="9" t="s">
        <v>803</v>
      </c>
      <c r="D968" s="9" t="s">
        <v>799</v>
      </c>
      <c r="E968" s="9" t="s">
        <v>39</v>
      </c>
      <c r="F968" s="17">
        <v>2.63E-2</v>
      </c>
      <c r="G968" s="17"/>
      <c r="H968" s="17"/>
      <c r="I968" s="17"/>
      <c r="J968" s="17">
        <v>2.63E-2</v>
      </c>
      <c r="K968" s="9" t="s">
        <v>1343</v>
      </c>
      <c r="L968" s="9" t="s">
        <v>804</v>
      </c>
      <c r="M968" s="9">
        <v>2024</v>
      </c>
      <c r="N968" s="9" t="s">
        <v>769</v>
      </c>
      <c r="O968" s="10" t="s">
        <v>770</v>
      </c>
      <c r="P968" s="9" t="s">
        <v>771</v>
      </c>
      <c r="Q968" s="9" t="s">
        <v>264</v>
      </c>
      <c r="R968" s="9" t="s">
        <v>1344</v>
      </c>
      <c r="S968" s="9" t="s">
        <v>2305</v>
      </c>
    </row>
    <row r="969" spans="2:19" x14ac:dyDescent="0.35">
      <c r="B969" s="18" t="s">
        <v>800</v>
      </c>
      <c r="C969" s="9" t="s">
        <v>803</v>
      </c>
      <c r="D969" s="9" t="s">
        <v>799</v>
      </c>
      <c r="E969" s="9" t="s">
        <v>39</v>
      </c>
      <c r="F969" s="17">
        <v>3.1800000000000002E-2</v>
      </c>
      <c r="G969" s="17"/>
      <c r="H969" s="17"/>
      <c r="I969" s="17"/>
      <c r="J969" s="17">
        <v>3.1800000000000002E-2</v>
      </c>
      <c r="K969" s="9" t="s">
        <v>1343</v>
      </c>
      <c r="L969" s="9" t="s">
        <v>804</v>
      </c>
      <c r="M969" s="9">
        <v>2023</v>
      </c>
      <c r="N969" s="9" t="s">
        <v>769</v>
      </c>
      <c r="O969" s="10" t="s">
        <v>770</v>
      </c>
      <c r="P969" s="9" t="s">
        <v>771</v>
      </c>
      <c r="Q969" s="9" t="s">
        <v>264</v>
      </c>
      <c r="R969" s="9" t="s">
        <v>1344</v>
      </c>
      <c r="S969" s="9" t="s">
        <v>2306</v>
      </c>
    </row>
    <row r="970" spans="2:19" x14ac:dyDescent="0.35">
      <c r="B970" s="18" t="s">
        <v>800</v>
      </c>
      <c r="C970" s="9" t="s">
        <v>803</v>
      </c>
      <c r="D970" s="9" t="s">
        <v>799</v>
      </c>
      <c r="E970" s="9" t="s">
        <v>39</v>
      </c>
      <c r="F970" s="17">
        <v>4.4999999999999998E-2</v>
      </c>
      <c r="G970" s="17"/>
      <c r="H970" s="17"/>
      <c r="I970" s="17"/>
      <c r="J970" s="17">
        <v>4.4999999999999998E-2</v>
      </c>
      <c r="K970" s="9" t="s">
        <v>1343</v>
      </c>
      <c r="L970" s="9" t="s">
        <v>804</v>
      </c>
      <c r="M970" s="9">
        <v>2022</v>
      </c>
      <c r="N970" s="9" t="s">
        <v>769</v>
      </c>
      <c r="O970" s="10" t="s">
        <v>770</v>
      </c>
      <c r="P970" s="9" t="s">
        <v>771</v>
      </c>
      <c r="Q970" s="9" t="s">
        <v>264</v>
      </c>
      <c r="R970" s="9" t="s">
        <v>1344</v>
      </c>
      <c r="S970" s="9" t="s">
        <v>2307</v>
      </c>
    </row>
    <row r="971" spans="2:19" x14ac:dyDescent="0.35">
      <c r="B971" s="18" t="s">
        <v>258</v>
      </c>
      <c r="C971" s="9" t="s">
        <v>259</v>
      </c>
      <c r="D971" s="9" t="s">
        <v>799</v>
      </c>
      <c r="E971" s="9" t="s">
        <v>39</v>
      </c>
      <c r="F971" s="17">
        <v>0.40089999999999998</v>
      </c>
      <c r="G971" s="17">
        <v>0.3997</v>
      </c>
      <c r="H971" s="17">
        <v>4.0000000000000002E-4</v>
      </c>
      <c r="I971" s="17">
        <v>8.0000000000000004E-4</v>
      </c>
      <c r="J971" s="17">
        <v>0</v>
      </c>
      <c r="K971" s="9" t="s">
        <v>1343</v>
      </c>
      <c r="L971" s="9" t="s">
        <v>260</v>
      </c>
      <c r="M971" s="9">
        <v>2023</v>
      </c>
      <c r="N971" s="9" t="s">
        <v>787</v>
      </c>
      <c r="O971" s="10" t="s">
        <v>788</v>
      </c>
      <c r="P971" s="9" t="s">
        <v>789</v>
      </c>
      <c r="Q971" s="9" t="s">
        <v>264</v>
      </c>
      <c r="R971" s="9" t="s">
        <v>1344</v>
      </c>
      <c r="S971" s="9" t="s">
        <v>2308</v>
      </c>
    </row>
    <row r="972" spans="2:19" x14ac:dyDescent="0.35">
      <c r="B972" s="18" t="s">
        <v>258</v>
      </c>
      <c r="C972" s="9" t="s">
        <v>259</v>
      </c>
      <c r="D972" s="9" t="s">
        <v>799</v>
      </c>
      <c r="E972" s="9" t="s">
        <v>39</v>
      </c>
      <c r="F972" s="17">
        <v>0.56140000000000001</v>
      </c>
      <c r="G972" s="17">
        <v>0.55959999999999999</v>
      </c>
      <c r="H972" s="17">
        <v>5.9999999999999995E-4</v>
      </c>
      <c r="I972" s="17">
        <v>1.1999999999999999E-3</v>
      </c>
      <c r="J972" s="17">
        <v>0</v>
      </c>
      <c r="K972" s="9" t="s">
        <v>1343</v>
      </c>
      <c r="L972" s="9" t="s">
        <v>260</v>
      </c>
      <c r="M972" s="9">
        <v>2022</v>
      </c>
      <c r="N972" s="9" t="s">
        <v>787</v>
      </c>
      <c r="O972" s="10" t="s">
        <v>788</v>
      </c>
      <c r="P972" s="9" t="s">
        <v>789</v>
      </c>
      <c r="Q972" s="9" t="s">
        <v>264</v>
      </c>
      <c r="R972" s="9" t="s">
        <v>1344</v>
      </c>
      <c r="S972" s="9" t="s">
        <v>2309</v>
      </c>
    </row>
    <row r="973" spans="2:19" x14ac:dyDescent="0.35">
      <c r="B973" s="18" t="s">
        <v>800</v>
      </c>
      <c r="C973" s="9" t="s">
        <v>801</v>
      </c>
      <c r="D973" s="9" t="s">
        <v>799</v>
      </c>
      <c r="E973" s="9" t="s">
        <v>39</v>
      </c>
      <c r="F973" s="17">
        <v>6.0999999999999999E-2</v>
      </c>
      <c r="G973" s="17"/>
      <c r="H973" s="17"/>
      <c r="I973" s="17"/>
      <c r="J973" s="17">
        <v>6.0999999999999999E-2</v>
      </c>
      <c r="K973" s="9" t="s">
        <v>1343</v>
      </c>
      <c r="L973" s="9" t="s">
        <v>802</v>
      </c>
      <c r="M973" s="9">
        <v>2023</v>
      </c>
      <c r="N973" s="9" t="s">
        <v>787</v>
      </c>
      <c r="O973" s="10" t="s">
        <v>788</v>
      </c>
      <c r="P973" s="9" t="s">
        <v>789</v>
      </c>
      <c r="Q973" s="9" t="s">
        <v>264</v>
      </c>
      <c r="R973" s="9" t="s">
        <v>1344</v>
      </c>
      <c r="S973" s="9" t="s">
        <v>2310</v>
      </c>
    </row>
    <row r="974" spans="2:19" x14ac:dyDescent="0.35">
      <c r="B974" s="18" t="s">
        <v>800</v>
      </c>
      <c r="C974" s="9" t="s">
        <v>801</v>
      </c>
      <c r="D974" s="9" t="s">
        <v>799</v>
      </c>
      <c r="E974" s="9" t="s">
        <v>39</v>
      </c>
      <c r="F974" s="17">
        <v>8.5400000000000004E-2</v>
      </c>
      <c r="G974" s="17"/>
      <c r="H974" s="17"/>
      <c r="I974" s="17"/>
      <c r="J974" s="17">
        <v>8.5400000000000004E-2</v>
      </c>
      <c r="K974" s="9" t="s">
        <v>1343</v>
      </c>
      <c r="L974" s="9" t="s">
        <v>802</v>
      </c>
      <c r="M974" s="9">
        <v>2022</v>
      </c>
      <c r="N974" s="9" t="s">
        <v>787</v>
      </c>
      <c r="O974" s="10" t="s">
        <v>788</v>
      </c>
      <c r="P974" s="9" t="s">
        <v>789</v>
      </c>
      <c r="Q974" s="9" t="s">
        <v>264</v>
      </c>
      <c r="R974" s="9" t="s">
        <v>1344</v>
      </c>
      <c r="S974" s="9" t="s">
        <v>2311</v>
      </c>
    </row>
    <row r="975" spans="2:19" x14ac:dyDescent="0.35">
      <c r="B975" s="18" t="s">
        <v>800</v>
      </c>
      <c r="C975" s="9" t="s">
        <v>803</v>
      </c>
      <c r="D975" s="9" t="s">
        <v>799</v>
      </c>
      <c r="E975" s="9" t="s">
        <v>39</v>
      </c>
      <c r="F975" s="17">
        <v>0.11020000000000001</v>
      </c>
      <c r="G975" s="17"/>
      <c r="H975" s="17"/>
      <c r="I975" s="17"/>
      <c r="J975" s="17">
        <v>0.11020000000000001</v>
      </c>
      <c r="K975" s="9" t="s">
        <v>1343</v>
      </c>
      <c r="L975" s="9" t="s">
        <v>804</v>
      </c>
      <c r="M975" s="9">
        <v>2024</v>
      </c>
      <c r="N975" s="9" t="s">
        <v>787</v>
      </c>
      <c r="O975" s="10" t="s">
        <v>788</v>
      </c>
      <c r="P975" s="9" t="s">
        <v>789</v>
      </c>
      <c r="Q975" s="9" t="s">
        <v>264</v>
      </c>
      <c r="R975" s="9" t="s">
        <v>1344</v>
      </c>
      <c r="S975" s="9" t="s">
        <v>2312</v>
      </c>
    </row>
    <row r="976" spans="2:19" x14ac:dyDescent="0.35">
      <c r="B976" s="18" t="s">
        <v>800</v>
      </c>
      <c r="C976" s="9" t="s">
        <v>803</v>
      </c>
      <c r="D976" s="9" t="s">
        <v>799</v>
      </c>
      <c r="E976" s="9" t="s">
        <v>39</v>
      </c>
      <c r="F976" s="17">
        <v>0.1129</v>
      </c>
      <c r="G976" s="17"/>
      <c r="H976" s="17"/>
      <c r="I976" s="17"/>
      <c r="J976" s="17">
        <v>0.1129</v>
      </c>
      <c r="K976" s="9" t="s">
        <v>1343</v>
      </c>
      <c r="L976" s="9" t="s">
        <v>804</v>
      </c>
      <c r="M976" s="9">
        <v>2023</v>
      </c>
      <c r="N976" s="9" t="s">
        <v>787</v>
      </c>
      <c r="O976" s="10" t="s">
        <v>788</v>
      </c>
      <c r="P976" s="9" t="s">
        <v>789</v>
      </c>
      <c r="Q976" s="9" t="s">
        <v>264</v>
      </c>
      <c r="R976" s="9" t="s">
        <v>1344</v>
      </c>
      <c r="S976" s="9" t="s">
        <v>2313</v>
      </c>
    </row>
    <row r="977" spans="2:19" x14ac:dyDescent="0.35">
      <c r="B977" s="18" t="s">
        <v>800</v>
      </c>
      <c r="C977" s="9" t="s">
        <v>803</v>
      </c>
      <c r="D977" s="9" t="s">
        <v>799</v>
      </c>
      <c r="E977" s="9" t="s">
        <v>39</v>
      </c>
      <c r="F977" s="17">
        <v>0.1545</v>
      </c>
      <c r="G977" s="17"/>
      <c r="H977" s="17"/>
      <c r="I977" s="17"/>
      <c r="J977" s="17">
        <v>0.1545</v>
      </c>
      <c r="K977" s="9" t="s">
        <v>1343</v>
      </c>
      <c r="L977" s="9" t="s">
        <v>804</v>
      </c>
      <c r="M977" s="9">
        <v>2022</v>
      </c>
      <c r="N977" s="9" t="s">
        <v>787</v>
      </c>
      <c r="O977" s="10" t="s">
        <v>788</v>
      </c>
      <c r="P977" s="9" t="s">
        <v>789</v>
      </c>
      <c r="Q977" s="9" t="s">
        <v>264</v>
      </c>
      <c r="R977" s="9" t="s">
        <v>1344</v>
      </c>
      <c r="S977" s="9" t="s">
        <v>2314</v>
      </c>
    </row>
    <row r="978" spans="2:19" x14ac:dyDescent="0.35">
      <c r="B978" s="18" t="s">
        <v>258</v>
      </c>
      <c r="C978" s="9" t="s">
        <v>259</v>
      </c>
      <c r="D978" s="9" t="s">
        <v>799</v>
      </c>
      <c r="E978" s="9" t="s">
        <v>39</v>
      </c>
      <c r="F978" s="17">
        <v>0.01</v>
      </c>
      <c r="G978" s="17">
        <v>9.9000000000000008E-3</v>
      </c>
      <c r="H978" s="17"/>
      <c r="I978" s="17">
        <v>1E-4</v>
      </c>
      <c r="J978" s="17">
        <v>0</v>
      </c>
      <c r="K978" s="9" t="s">
        <v>1343</v>
      </c>
      <c r="L978" s="9" t="s">
        <v>260</v>
      </c>
      <c r="M978" s="9">
        <v>2023</v>
      </c>
      <c r="N978" s="9" t="s">
        <v>301</v>
      </c>
      <c r="O978" s="10" t="s">
        <v>302</v>
      </c>
      <c r="P978" s="9" t="s">
        <v>303</v>
      </c>
      <c r="Q978" s="9" t="s">
        <v>264</v>
      </c>
      <c r="R978" s="9" t="s">
        <v>1344</v>
      </c>
      <c r="S978" s="9" t="s">
        <v>2315</v>
      </c>
    </row>
    <row r="979" spans="2:19" x14ac:dyDescent="0.35">
      <c r="B979" s="18" t="s">
        <v>258</v>
      </c>
      <c r="C979" s="9" t="s">
        <v>259</v>
      </c>
      <c r="D979" s="9" t="s">
        <v>799</v>
      </c>
      <c r="E979" s="9" t="s">
        <v>39</v>
      </c>
      <c r="F979" s="17">
        <v>1.01E-2</v>
      </c>
      <c r="G979" s="17">
        <v>0.01</v>
      </c>
      <c r="H979" s="17"/>
      <c r="I979" s="17">
        <v>1E-4</v>
      </c>
      <c r="J979" s="17">
        <v>0</v>
      </c>
      <c r="K979" s="9" t="s">
        <v>1343</v>
      </c>
      <c r="L979" s="9" t="s">
        <v>260</v>
      </c>
      <c r="M979" s="9">
        <v>2024</v>
      </c>
      <c r="N979" s="9" t="s">
        <v>301</v>
      </c>
      <c r="O979" s="10" t="s">
        <v>302</v>
      </c>
      <c r="P979" s="9" t="s">
        <v>303</v>
      </c>
      <c r="Q979" s="9" t="s">
        <v>264</v>
      </c>
      <c r="R979" s="9" t="s">
        <v>1344</v>
      </c>
      <c r="S979" s="9" t="s">
        <v>2316</v>
      </c>
    </row>
    <row r="980" spans="2:19" x14ac:dyDescent="0.35">
      <c r="B980" s="18" t="s">
        <v>258</v>
      </c>
      <c r="C980" s="9" t="s">
        <v>259</v>
      </c>
      <c r="D980" s="9" t="s">
        <v>799</v>
      </c>
      <c r="E980" s="9" t="s">
        <v>39</v>
      </c>
      <c r="F980" s="17">
        <v>1.11E-2</v>
      </c>
      <c r="G980" s="17">
        <v>1.0999999999999999E-2</v>
      </c>
      <c r="H980" s="17"/>
      <c r="I980" s="17">
        <v>1E-4</v>
      </c>
      <c r="J980" s="17">
        <v>0</v>
      </c>
      <c r="K980" s="9" t="s">
        <v>1343</v>
      </c>
      <c r="L980" s="9" t="s">
        <v>260</v>
      </c>
      <c r="M980" s="9">
        <v>2022</v>
      </c>
      <c r="N980" s="9" t="s">
        <v>301</v>
      </c>
      <c r="O980" s="10" t="s">
        <v>302</v>
      </c>
      <c r="P980" s="9" t="s">
        <v>303</v>
      </c>
      <c r="Q980" s="9" t="s">
        <v>264</v>
      </c>
      <c r="R980" s="9" t="s">
        <v>1344</v>
      </c>
      <c r="S980" s="9" t="s">
        <v>2317</v>
      </c>
    </row>
    <row r="981" spans="2:19" x14ac:dyDescent="0.35">
      <c r="B981" s="18" t="s">
        <v>800</v>
      </c>
      <c r="C981" s="9" t="s">
        <v>801</v>
      </c>
      <c r="D981" s="9" t="s">
        <v>799</v>
      </c>
      <c r="E981" s="9" t="s">
        <v>39</v>
      </c>
      <c r="F981" s="17">
        <v>1.2999999999999999E-3</v>
      </c>
      <c r="G981" s="17"/>
      <c r="H981" s="17"/>
      <c r="I981" s="17"/>
      <c r="J981" s="17">
        <v>1.2999999999999999E-3</v>
      </c>
      <c r="K981" s="9" t="s">
        <v>1343</v>
      </c>
      <c r="L981" s="9" t="s">
        <v>802</v>
      </c>
      <c r="M981" s="9">
        <v>2022</v>
      </c>
      <c r="N981" s="9" t="s">
        <v>301</v>
      </c>
      <c r="O981" s="10" t="s">
        <v>302</v>
      </c>
      <c r="P981" s="9" t="s">
        <v>303</v>
      </c>
      <c r="Q981" s="9" t="s">
        <v>264</v>
      </c>
      <c r="R981" s="9" t="s">
        <v>1344</v>
      </c>
      <c r="S981" s="9" t="s">
        <v>2318</v>
      </c>
    </row>
    <row r="982" spans="2:19" x14ac:dyDescent="0.35">
      <c r="B982" s="18" t="s">
        <v>800</v>
      </c>
      <c r="C982" s="9" t="s">
        <v>801</v>
      </c>
      <c r="D982" s="9" t="s">
        <v>799</v>
      </c>
      <c r="E982" s="9" t="s">
        <v>39</v>
      </c>
      <c r="F982" s="17">
        <v>1.2999999999999999E-3</v>
      </c>
      <c r="G982" s="17"/>
      <c r="H982" s="17"/>
      <c r="I982" s="17"/>
      <c r="J982" s="17">
        <v>1.2999999999999999E-3</v>
      </c>
      <c r="K982" s="9" t="s">
        <v>1343</v>
      </c>
      <c r="L982" s="9" t="s">
        <v>802</v>
      </c>
      <c r="M982" s="9">
        <v>2023</v>
      </c>
      <c r="N982" s="9" t="s">
        <v>301</v>
      </c>
      <c r="O982" s="10" t="s">
        <v>302</v>
      </c>
      <c r="P982" s="9" t="s">
        <v>303</v>
      </c>
      <c r="Q982" s="9" t="s">
        <v>264</v>
      </c>
      <c r="R982" s="9" t="s">
        <v>1344</v>
      </c>
      <c r="S982" s="9" t="s">
        <v>2319</v>
      </c>
    </row>
    <row r="983" spans="2:19" x14ac:dyDescent="0.35">
      <c r="B983" s="18" t="s">
        <v>800</v>
      </c>
      <c r="C983" s="9" t="s">
        <v>803</v>
      </c>
      <c r="D983" s="9" t="s">
        <v>799</v>
      </c>
      <c r="E983" s="9" t="s">
        <v>39</v>
      </c>
      <c r="F983" s="17">
        <v>1.2699999999999999E-2</v>
      </c>
      <c r="G983" s="17"/>
      <c r="H983" s="17"/>
      <c r="I983" s="17"/>
      <c r="J983" s="17">
        <v>1.2699999999999999E-2</v>
      </c>
      <c r="K983" s="9" t="s">
        <v>1343</v>
      </c>
      <c r="L983" s="9" t="s">
        <v>804</v>
      </c>
      <c r="M983" s="9">
        <v>2024</v>
      </c>
      <c r="N983" s="9" t="s">
        <v>301</v>
      </c>
      <c r="O983" s="10" t="s">
        <v>302</v>
      </c>
      <c r="P983" s="9" t="s">
        <v>303</v>
      </c>
      <c r="Q983" s="9" t="s">
        <v>264</v>
      </c>
      <c r="R983" s="9" t="s">
        <v>1344</v>
      </c>
      <c r="S983" s="9" t="s">
        <v>2320</v>
      </c>
    </row>
    <row r="984" spans="2:19" x14ac:dyDescent="0.35">
      <c r="B984" s="18" t="s">
        <v>800</v>
      </c>
      <c r="C984" s="9" t="s">
        <v>803</v>
      </c>
      <c r="D984" s="9" t="s">
        <v>799</v>
      </c>
      <c r="E984" s="9" t="s">
        <v>39</v>
      </c>
      <c r="F984" s="17">
        <v>1.2999999999999999E-2</v>
      </c>
      <c r="G984" s="17"/>
      <c r="H984" s="17"/>
      <c r="I984" s="17"/>
      <c r="J984" s="17">
        <v>1.2999999999999999E-2</v>
      </c>
      <c r="K984" s="9" t="s">
        <v>1343</v>
      </c>
      <c r="L984" s="9" t="s">
        <v>804</v>
      </c>
      <c r="M984" s="9">
        <v>2023</v>
      </c>
      <c r="N984" s="9" t="s">
        <v>301</v>
      </c>
      <c r="O984" s="10" t="s">
        <v>302</v>
      </c>
      <c r="P984" s="9" t="s">
        <v>303</v>
      </c>
      <c r="Q984" s="9" t="s">
        <v>264</v>
      </c>
      <c r="R984" s="9" t="s">
        <v>1344</v>
      </c>
      <c r="S984" s="9" t="s">
        <v>2321</v>
      </c>
    </row>
    <row r="985" spans="2:19" x14ac:dyDescent="0.35">
      <c r="B985" s="18" t="s">
        <v>800</v>
      </c>
      <c r="C985" s="9" t="s">
        <v>803</v>
      </c>
      <c r="D985" s="9" t="s">
        <v>799</v>
      </c>
      <c r="E985" s="9" t="s">
        <v>39</v>
      </c>
      <c r="F985" s="17">
        <v>1.32E-2</v>
      </c>
      <c r="G985" s="17"/>
      <c r="H985" s="17"/>
      <c r="I985" s="17"/>
      <c r="J985" s="17">
        <v>1.32E-2</v>
      </c>
      <c r="K985" s="9" t="s">
        <v>1343</v>
      </c>
      <c r="L985" s="9" t="s">
        <v>804</v>
      </c>
      <c r="M985" s="9">
        <v>2022</v>
      </c>
      <c r="N985" s="9" t="s">
        <v>301</v>
      </c>
      <c r="O985" s="10" t="s">
        <v>302</v>
      </c>
      <c r="P985" s="9" t="s">
        <v>303</v>
      </c>
      <c r="Q985" s="9" t="s">
        <v>264</v>
      </c>
      <c r="R985" s="9" t="s">
        <v>1344</v>
      </c>
      <c r="S985" s="9" t="s">
        <v>2322</v>
      </c>
    </row>
    <row r="986" spans="2:19" x14ac:dyDescent="0.35">
      <c r="B986" s="18" t="s">
        <v>258</v>
      </c>
      <c r="C986" s="9" t="s">
        <v>259</v>
      </c>
      <c r="D986" s="9" t="s">
        <v>799</v>
      </c>
      <c r="E986" s="9" t="s">
        <v>39</v>
      </c>
      <c r="F986" s="17">
        <v>1.7999999999999999E-2</v>
      </c>
      <c r="G986" s="17">
        <v>1.7600000000000001E-2</v>
      </c>
      <c r="H986" s="17">
        <v>2.0000000000000001E-4</v>
      </c>
      <c r="I986" s="17">
        <v>2.0000000000000001E-4</v>
      </c>
      <c r="J986" s="17">
        <v>0</v>
      </c>
      <c r="K986" s="9" t="s">
        <v>1343</v>
      </c>
      <c r="L986" s="9" t="s">
        <v>260</v>
      </c>
      <c r="M986" s="9">
        <v>2024</v>
      </c>
      <c r="N986" s="9" t="s">
        <v>444</v>
      </c>
      <c r="O986" s="10" t="s">
        <v>445</v>
      </c>
      <c r="P986" s="9" t="s">
        <v>446</v>
      </c>
      <c r="Q986" s="9" t="s">
        <v>264</v>
      </c>
      <c r="R986" s="9" t="s">
        <v>1344</v>
      </c>
      <c r="S986" s="9" t="s">
        <v>2323</v>
      </c>
    </row>
    <row r="987" spans="2:19" x14ac:dyDescent="0.35">
      <c r="B987" s="18" t="s">
        <v>258</v>
      </c>
      <c r="C987" s="9" t="s">
        <v>259</v>
      </c>
      <c r="D987" s="9" t="s">
        <v>799</v>
      </c>
      <c r="E987" s="9" t="s">
        <v>39</v>
      </c>
      <c r="F987" s="17">
        <v>2.1700000000000001E-2</v>
      </c>
      <c r="G987" s="17">
        <v>2.1299999999999999E-2</v>
      </c>
      <c r="H987" s="17">
        <v>2.0000000000000001E-4</v>
      </c>
      <c r="I987" s="17">
        <v>2.0000000000000001E-4</v>
      </c>
      <c r="J987" s="17">
        <v>0</v>
      </c>
      <c r="K987" s="9" t="s">
        <v>1343</v>
      </c>
      <c r="L987" s="9" t="s">
        <v>260</v>
      </c>
      <c r="M987" s="9">
        <v>2023</v>
      </c>
      <c r="N987" s="9" t="s">
        <v>444</v>
      </c>
      <c r="O987" s="10" t="s">
        <v>445</v>
      </c>
      <c r="P987" s="9" t="s">
        <v>446</v>
      </c>
      <c r="Q987" s="9" t="s">
        <v>264</v>
      </c>
      <c r="R987" s="9" t="s">
        <v>1344</v>
      </c>
      <c r="S987" s="9" t="s">
        <v>2324</v>
      </c>
    </row>
    <row r="988" spans="2:19" x14ac:dyDescent="0.35">
      <c r="B988" s="18" t="s">
        <v>258</v>
      </c>
      <c r="C988" s="9" t="s">
        <v>259</v>
      </c>
      <c r="D988" s="9" t="s">
        <v>799</v>
      </c>
      <c r="E988" s="9" t="s">
        <v>39</v>
      </c>
      <c r="F988" s="17">
        <v>2.5499999999999998E-2</v>
      </c>
      <c r="G988" s="17">
        <v>2.5000000000000001E-2</v>
      </c>
      <c r="H988" s="17">
        <v>2.0000000000000001E-4</v>
      </c>
      <c r="I988" s="17">
        <v>2.9999999999999997E-4</v>
      </c>
      <c r="J988" s="17">
        <v>0</v>
      </c>
      <c r="K988" s="9" t="s">
        <v>1343</v>
      </c>
      <c r="L988" s="9" t="s">
        <v>260</v>
      </c>
      <c r="M988" s="9">
        <v>2022</v>
      </c>
      <c r="N988" s="9" t="s">
        <v>444</v>
      </c>
      <c r="O988" s="10" t="s">
        <v>445</v>
      </c>
      <c r="P988" s="9" t="s">
        <v>446</v>
      </c>
      <c r="Q988" s="9" t="s">
        <v>264</v>
      </c>
      <c r="R988" s="9" t="s">
        <v>1344</v>
      </c>
      <c r="S988" s="9" t="s">
        <v>2325</v>
      </c>
    </row>
    <row r="989" spans="2:19" x14ac:dyDescent="0.35">
      <c r="B989" s="18" t="s">
        <v>800</v>
      </c>
      <c r="C989" s="9" t="s">
        <v>801</v>
      </c>
      <c r="D989" s="9" t="s">
        <v>799</v>
      </c>
      <c r="E989" s="9" t="s">
        <v>39</v>
      </c>
      <c r="F989" s="17">
        <v>1.5E-3</v>
      </c>
      <c r="G989" s="17"/>
      <c r="H989" s="17"/>
      <c r="I989" s="17"/>
      <c r="J989" s="17">
        <v>1.5E-3</v>
      </c>
      <c r="K989" s="9" t="s">
        <v>1343</v>
      </c>
      <c r="L989" s="9" t="s">
        <v>802</v>
      </c>
      <c r="M989" s="9">
        <v>2023</v>
      </c>
      <c r="N989" s="9" t="s">
        <v>444</v>
      </c>
      <c r="O989" s="10" t="s">
        <v>445</v>
      </c>
      <c r="P989" s="9" t="s">
        <v>446</v>
      </c>
      <c r="Q989" s="9" t="s">
        <v>264</v>
      </c>
      <c r="R989" s="9" t="s">
        <v>1344</v>
      </c>
      <c r="S989" s="9" t="s">
        <v>2326</v>
      </c>
    </row>
    <row r="990" spans="2:19" x14ac:dyDescent="0.35">
      <c r="B990" s="18" t="s">
        <v>800</v>
      </c>
      <c r="C990" s="9" t="s">
        <v>801</v>
      </c>
      <c r="D990" s="9" t="s">
        <v>799</v>
      </c>
      <c r="E990" s="9" t="s">
        <v>39</v>
      </c>
      <c r="F990" s="17">
        <v>1.9E-3</v>
      </c>
      <c r="G990" s="17"/>
      <c r="H990" s="17"/>
      <c r="I990" s="17"/>
      <c r="J990" s="17">
        <v>1.9E-3</v>
      </c>
      <c r="K990" s="9" t="s">
        <v>1343</v>
      </c>
      <c r="L990" s="9" t="s">
        <v>802</v>
      </c>
      <c r="M990" s="9">
        <v>2022</v>
      </c>
      <c r="N990" s="9" t="s">
        <v>444</v>
      </c>
      <c r="O990" s="10" t="s">
        <v>445</v>
      </c>
      <c r="P990" s="9" t="s">
        <v>446</v>
      </c>
      <c r="Q990" s="9" t="s">
        <v>264</v>
      </c>
      <c r="R990" s="9" t="s">
        <v>1344</v>
      </c>
      <c r="S990" s="9" t="s">
        <v>2327</v>
      </c>
    </row>
    <row r="991" spans="2:19" x14ac:dyDescent="0.35">
      <c r="B991" s="18" t="s">
        <v>800</v>
      </c>
      <c r="C991" s="9" t="s">
        <v>803</v>
      </c>
      <c r="D991" s="9" t="s">
        <v>799</v>
      </c>
      <c r="E991" s="9" t="s">
        <v>39</v>
      </c>
      <c r="F991" s="17">
        <v>1.01E-2</v>
      </c>
      <c r="G991" s="17"/>
      <c r="H991" s="17"/>
      <c r="I991" s="17"/>
      <c r="J991" s="17">
        <v>1.01E-2</v>
      </c>
      <c r="K991" s="9" t="s">
        <v>1343</v>
      </c>
      <c r="L991" s="9" t="s">
        <v>804</v>
      </c>
      <c r="M991" s="9">
        <v>2024</v>
      </c>
      <c r="N991" s="9" t="s">
        <v>444</v>
      </c>
      <c r="O991" s="10" t="s">
        <v>445</v>
      </c>
      <c r="P991" s="9" t="s">
        <v>446</v>
      </c>
      <c r="Q991" s="9" t="s">
        <v>264</v>
      </c>
      <c r="R991" s="9" t="s">
        <v>1344</v>
      </c>
      <c r="S991" s="9" t="s">
        <v>2328</v>
      </c>
    </row>
    <row r="992" spans="2:19" x14ac:dyDescent="0.35">
      <c r="B992" s="18" t="s">
        <v>800</v>
      </c>
      <c r="C992" s="9" t="s">
        <v>803</v>
      </c>
      <c r="D992" s="9" t="s">
        <v>799</v>
      </c>
      <c r="E992" s="9" t="s">
        <v>39</v>
      </c>
      <c r="F992" s="17">
        <v>1.06E-2</v>
      </c>
      <c r="G992" s="17"/>
      <c r="H992" s="17"/>
      <c r="I992" s="17"/>
      <c r="J992" s="17">
        <v>1.06E-2</v>
      </c>
      <c r="K992" s="9" t="s">
        <v>1343</v>
      </c>
      <c r="L992" s="9" t="s">
        <v>804</v>
      </c>
      <c r="M992" s="9">
        <v>2023</v>
      </c>
      <c r="N992" s="9" t="s">
        <v>444</v>
      </c>
      <c r="O992" s="10" t="s">
        <v>445</v>
      </c>
      <c r="P992" s="9" t="s">
        <v>446</v>
      </c>
      <c r="Q992" s="9" t="s">
        <v>264</v>
      </c>
      <c r="R992" s="9" t="s">
        <v>1344</v>
      </c>
      <c r="S992" s="9" t="s">
        <v>2329</v>
      </c>
    </row>
    <row r="993" spans="2:19" x14ac:dyDescent="0.35">
      <c r="B993" s="18" t="s">
        <v>800</v>
      </c>
      <c r="C993" s="9" t="s">
        <v>803</v>
      </c>
      <c r="D993" s="9" t="s">
        <v>799</v>
      </c>
      <c r="E993" s="9" t="s">
        <v>39</v>
      </c>
      <c r="F993" s="17">
        <v>1.12E-2</v>
      </c>
      <c r="G993" s="17"/>
      <c r="H993" s="17"/>
      <c r="I993" s="17"/>
      <c r="J993" s="17">
        <v>1.12E-2</v>
      </c>
      <c r="K993" s="9" t="s">
        <v>1343</v>
      </c>
      <c r="L993" s="9" t="s">
        <v>804</v>
      </c>
      <c r="M993" s="9">
        <v>2022</v>
      </c>
      <c r="N993" s="9" t="s">
        <v>444</v>
      </c>
      <c r="O993" s="10" t="s">
        <v>445</v>
      </c>
      <c r="P993" s="9" t="s">
        <v>446</v>
      </c>
      <c r="Q993" s="9" t="s">
        <v>264</v>
      </c>
      <c r="R993" s="9" t="s">
        <v>1344</v>
      </c>
      <c r="S993" s="9" t="s">
        <v>2330</v>
      </c>
    </row>
    <row r="994" spans="2:19" x14ac:dyDescent="0.35">
      <c r="B994" s="18" t="s">
        <v>258</v>
      </c>
      <c r="C994" s="9" t="s">
        <v>259</v>
      </c>
      <c r="D994" s="9" t="s">
        <v>799</v>
      </c>
      <c r="E994" s="9" t="s">
        <v>39</v>
      </c>
      <c r="F994" s="17">
        <v>0.53149999999999997</v>
      </c>
      <c r="G994" s="17">
        <v>0.53039999999999998</v>
      </c>
      <c r="H994" s="17">
        <v>4.0000000000000002E-4</v>
      </c>
      <c r="I994" s="17">
        <v>6.9999999999999999E-4</v>
      </c>
      <c r="J994" s="17">
        <v>0</v>
      </c>
      <c r="K994" s="9" t="s">
        <v>1343</v>
      </c>
      <c r="L994" s="9" t="s">
        <v>260</v>
      </c>
      <c r="M994" s="9">
        <v>2022</v>
      </c>
      <c r="N994" s="9" t="s">
        <v>709</v>
      </c>
      <c r="O994" s="10" t="s">
        <v>710</v>
      </c>
      <c r="P994" s="9" t="s">
        <v>711</v>
      </c>
      <c r="Q994" s="9" t="s">
        <v>264</v>
      </c>
      <c r="R994" s="9" t="s">
        <v>1344</v>
      </c>
      <c r="S994" s="9" t="s">
        <v>2331</v>
      </c>
    </row>
    <row r="995" spans="2:19" x14ac:dyDescent="0.35">
      <c r="B995" s="18" t="s">
        <v>258</v>
      </c>
      <c r="C995" s="9" t="s">
        <v>259</v>
      </c>
      <c r="D995" s="9" t="s">
        <v>799</v>
      </c>
      <c r="E995" s="9" t="s">
        <v>39</v>
      </c>
      <c r="F995" s="17">
        <v>0.53639999999999999</v>
      </c>
      <c r="G995" s="17">
        <v>0.5353</v>
      </c>
      <c r="H995" s="17">
        <v>4.0000000000000002E-4</v>
      </c>
      <c r="I995" s="17">
        <v>6.9999999999999999E-4</v>
      </c>
      <c r="J995" s="17">
        <v>0</v>
      </c>
      <c r="K995" s="9" t="s">
        <v>1343</v>
      </c>
      <c r="L995" s="9" t="s">
        <v>260</v>
      </c>
      <c r="M995" s="9">
        <v>2023</v>
      </c>
      <c r="N995" s="9" t="s">
        <v>709</v>
      </c>
      <c r="O995" s="10" t="s">
        <v>710</v>
      </c>
      <c r="P995" s="9" t="s">
        <v>711</v>
      </c>
      <c r="Q995" s="9" t="s">
        <v>264</v>
      </c>
      <c r="R995" s="9" t="s">
        <v>1344</v>
      </c>
      <c r="S995" s="9" t="s">
        <v>2332</v>
      </c>
    </row>
    <row r="996" spans="2:19" x14ac:dyDescent="0.35">
      <c r="B996" s="18" t="s">
        <v>800</v>
      </c>
      <c r="C996" s="9" t="s">
        <v>801</v>
      </c>
      <c r="D996" s="9" t="s">
        <v>799</v>
      </c>
      <c r="E996" s="9" t="s">
        <v>39</v>
      </c>
      <c r="F996" s="17">
        <v>0.152</v>
      </c>
      <c r="G996" s="17"/>
      <c r="H996" s="17"/>
      <c r="I996" s="17"/>
      <c r="J996" s="17">
        <v>0.152</v>
      </c>
      <c r="K996" s="9" t="s">
        <v>1343</v>
      </c>
      <c r="L996" s="9" t="s">
        <v>802</v>
      </c>
      <c r="M996" s="9">
        <v>2022</v>
      </c>
      <c r="N996" s="9" t="s">
        <v>709</v>
      </c>
      <c r="O996" s="10" t="s">
        <v>710</v>
      </c>
      <c r="P996" s="9" t="s">
        <v>711</v>
      </c>
      <c r="Q996" s="9" t="s">
        <v>264</v>
      </c>
      <c r="R996" s="9" t="s">
        <v>1344</v>
      </c>
      <c r="S996" s="9" t="s">
        <v>2333</v>
      </c>
    </row>
    <row r="997" spans="2:19" x14ac:dyDescent="0.35">
      <c r="B997" s="18" t="s">
        <v>800</v>
      </c>
      <c r="C997" s="9" t="s">
        <v>801</v>
      </c>
      <c r="D997" s="9" t="s">
        <v>799</v>
      </c>
      <c r="E997" s="9" t="s">
        <v>39</v>
      </c>
      <c r="F997" s="17">
        <v>0.15310000000000001</v>
      </c>
      <c r="G997" s="17"/>
      <c r="H997" s="17"/>
      <c r="I997" s="17"/>
      <c r="J997" s="17">
        <v>0.15310000000000001</v>
      </c>
      <c r="K997" s="9" t="s">
        <v>1343</v>
      </c>
      <c r="L997" s="9" t="s">
        <v>802</v>
      </c>
      <c r="M997" s="9">
        <v>2023</v>
      </c>
      <c r="N997" s="9" t="s">
        <v>709</v>
      </c>
      <c r="O997" s="10" t="s">
        <v>710</v>
      </c>
      <c r="P997" s="9" t="s">
        <v>711</v>
      </c>
      <c r="Q997" s="9" t="s">
        <v>264</v>
      </c>
      <c r="R997" s="9" t="s">
        <v>1344</v>
      </c>
      <c r="S997" s="9" t="s">
        <v>2334</v>
      </c>
    </row>
    <row r="998" spans="2:19" x14ac:dyDescent="0.35">
      <c r="B998" s="18" t="s">
        <v>800</v>
      </c>
      <c r="C998" s="9" t="s">
        <v>803</v>
      </c>
      <c r="D998" s="9" t="s">
        <v>799</v>
      </c>
      <c r="E998" s="9" t="s">
        <v>39</v>
      </c>
      <c r="F998" s="17">
        <v>9.7100000000000006E-2</v>
      </c>
      <c r="G998" s="17"/>
      <c r="H998" s="17"/>
      <c r="I998" s="17"/>
      <c r="J998" s="17">
        <v>9.7100000000000006E-2</v>
      </c>
      <c r="K998" s="9" t="s">
        <v>1343</v>
      </c>
      <c r="L998" s="9" t="s">
        <v>804</v>
      </c>
      <c r="M998" s="9">
        <v>2022</v>
      </c>
      <c r="N998" s="9" t="s">
        <v>709</v>
      </c>
      <c r="O998" s="10" t="s">
        <v>710</v>
      </c>
      <c r="P998" s="9" t="s">
        <v>711</v>
      </c>
      <c r="Q998" s="9" t="s">
        <v>264</v>
      </c>
      <c r="R998" s="9" t="s">
        <v>1344</v>
      </c>
      <c r="S998" s="9" t="s">
        <v>2335</v>
      </c>
    </row>
    <row r="999" spans="2:19" x14ac:dyDescent="0.35">
      <c r="B999" s="18" t="s">
        <v>800</v>
      </c>
      <c r="C999" s="9" t="s">
        <v>803</v>
      </c>
      <c r="D999" s="9" t="s">
        <v>799</v>
      </c>
      <c r="E999" s="9" t="s">
        <v>39</v>
      </c>
      <c r="F999" s="17">
        <v>9.8100000000000007E-2</v>
      </c>
      <c r="G999" s="17"/>
      <c r="H999" s="17"/>
      <c r="I999" s="17"/>
      <c r="J999" s="17">
        <v>9.8100000000000007E-2</v>
      </c>
      <c r="K999" s="9" t="s">
        <v>1343</v>
      </c>
      <c r="L999" s="9" t="s">
        <v>804</v>
      </c>
      <c r="M999" s="9">
        <v>2023</v>
      </c>
      <c r="N999" s="9" t="s">
        <v>709</v>
      </c>
      <c r="O999" s="10" t="s">
        <v>710</v>
      </c>
      <c r="P999" s="9" t="s">
        <v>711</v>
      </c>
      <c r="Q999" s="9" t="s">
        <v>264</v>
      </c>
      <c r="R999" s="9" t="s">
        <v>1344</v>
      </c>
      <c r="S999" s="9" t="s">
        <v>2336</v>
      </c>
    </row>
    <row r="1000" spans="2:19" x14ac:dyDescent="0.35">
      <c r="B1000" s="18" t="s">
        <v>258</v>
      </c>
      <c r="C1000" s="9" t="s">
        <v>259</v>
      </c>
      <c r="D1000" s="9" t="s">
        <v>799</v>
      </c>
      <c r="E1000" s="9" t="s">
        <v>39</v>
      </c>
      <c r="F1000" s="17">
        <v>0.5393</v>
      </c>
      <c r="G1000" s="17">
        <v>0.5373</v>
      </c>
      <c r="H1000" s="17">
        <v>2.9999999999999997E-4</v>
      </c>
      <c r="I1000" s="17">
        <v>1.6999999999999999E-3</v>
      </c>
      <c r="J1000" s="17">
        <v>0</v>
      </c>
      <c r="K1000" s="9" t="s">
        <v>1343</v>
      </c>
      <c r="L1000" s="9" t="s">
        <v>260</v>
      </c>
      <c r="M1000" s="9">
        <v>2024</v>
      </c>
      <c r="N1000" s="9" t="s">
        <v>481</v>
      </c>
      <c r="O1000" s="10" t="s">
        <v>482</v>
      </c>
      <c r="P1000" s="9" t="s">
        <v>483</v>
      </c>
      <c r="Q1000" s="9" t="s">
        <v>264</v>
      </c>
      <c r="R1000" s="9" t="s">
        <v>1344</v>
      </c>
      <c r="S1000" s="9" t="s">
        <v>2337</v>
      </c>
    </row>
    <row r="1001" spans="2:19" x14ac:dyDescent="0.35">
      <c r="B1001" s="18" t="s">
        <v>258</v>
      </c>
      <c r="C1001" s="9" t="s">
        <v>259</v>
      </c>
      <c r="D1001" s="9" t="s">
        <v>799</v>
      </c>
      <c r="E1001" s="9" t="s">
        <v>39</v>
      </c>
      <c r="F1001" s="17">
        <v>0.55369999999999997</v>
      </c>
      <c r="G1001" s="17">
        <v>0.55179999999999996</v>
      </c>
      <c r="H1001" s="17">
        <v>2.9999999999999997E-4</v>
      </c>
      <c r="I1001" s="17">
        <v>1.6000000000000001E-3</v>
      </c>
      <c r="J1001" s="17">
        <v>0</v>
      </c>
      <c r="K1001" s="9" t="s">
        <v>1343</v>
      </c>
      <c r="L1001" s="9" t="s">
        <v>260</v>
      </c>
      <c r="M1001" s="9">
        <v>2022</v>
      </c>
      <c r="N1001" s="9" t="s">
        <v>481</v>
      </c>
      <c r="O1001" s="10" t="s">
        <v>482</v>
      </c>
      <c r="P1001" s="9" t="s">
        <v>483</v>
      </c>
      <c r="Q1001" s="9" t="s">
        <v>264</v>
      </c>
      <c r="R1001" s="9" t="s">
        <v>1344</v>
      </c>
      <c r="S1001" s="9" t="s">
        <v>2338</v>
      </c>
    </row>
    <row r="1002" spans="2:19" x14ac:dyDescent="0.35">
      <c r="B1002" s="18" t="s">
        <v>258</v>
      </c>
      <c r="C1002" s="9" t="s">
        <v>259</v>
      </c>
      <c r="D1002" s="9" t="s">
        <v>799</v>
      </c>
      <c r="E1002" s="9" t="s">
        <v>39</v>
      </c>
      <c r="F1002" s="17">
        <v>0.55610000000000004</v>
      </c>
      <c r="G1002" s="17">
        <v>0.55410000000000004</v>
      </c>
      <c r="H1002" s="17">
        <v>2.9999999999999997E-4</v>
      </c>
      <c r="I1002" s="17">
        <v>1.6999999999999999E-3</v>
      </c>
      <c r="J1002" s="17">
        <v>0</v>
      </c>
      <c r="K1002" s="9" t="s">
        <v>1343</v>
      </c>
      <c r="L1002" s="9" t="s">
        <v>260</v>
      </c>
      <c r="M1002" s="9">
        <v>2023</v>
      </c>
      <c r="N1002" s="9" t="s">
        <v>481</v>
      </c>
      <c r="O1002" s="10" t="s">
        <v>482</v>
      </c>
      <c r="P1002" s="9" t="s">
        <v>483</v>
      </c>
      <c r="Q1002" s="9" t="s">
        <v>264</v>
      </c>
      <c r="R1002" s="9" t="s">
        <v>1344</v>
      </c>
      <c r="S1002" s="9" t="s">
        <v>2339</v>
      </c>
    </row>
    <row r="1003" spans="2:19" x14ac:dyDescent="0.35">
      <c r="B1003" s="18" t="s">
        <v>800</v>
      </c>
      <c r="C1003" s="9" t="s">
        <v>801</v>
      </c>
      <c r="D1003" s="9" t="s">
        <v>799</v>
      </c>
      <c r="E1003" s="9" t="s">
        <v>39</v>
      </c>
      <c r="F1003" s="17">
        <v>1.9900000000000001E-2</v>
      </c>
      <c r="G1003" s="17"/>
      <c r="H1003" s="17"/>
      <c r="I1003" s="17"/>
      <c r="J1003" s="17">
        <v>1.9900000000000001E-2</v>
      </c>
      <c r="K1003" s="9" t="s">
        <v>1343</v>
      </c>
      <c r="L1003" s="9" t="s">
        <v>802</v>
      </c>
      <c r="M1003" s="9">
        <v>2023</v>
      </c>
      <c r="N1003" s="9" t="s">
        <v>481</v>
      </c>
      <c r="O1003" s="10" t="s">
        <v>482</v>
      </c>
      <c r="P1003" s="9" t="s">
        <v>483</v>
      </c>
      <c r="Q1003" s="9" t="s">
        <v>264</v>
      </c>
      <c r="R1003" s="9" t="s">
        <v>1344</v>
      </c>
      <c r="S1003" s="9" t="s">
        <v>2340</v>
      </c>
    </row>
    <row r="1004" spans="2:19" x14ac:dyDescent="0.35">
      <c r="B1004" s="18" t="s">
        <v>800</v>
      </c>
      <c r="C1004" s="9" t="s">
        <v>801</v>
      </c>
      <c r="D1004" s="9" t="s">
        <v>799</v>
      </c>
      <c r="E1004" s="9" t="s">
        <v>39</v>
      </c>
      <c r="F1004" s="17">
        <v>2.3599999999999999E-2</v>
      </c>
      <c r="G1004" s="17"/>
      <c r="H1004" s="17"/>
      <c r="I1004" s="17"/>
      <c r="J1004" s="17">
        <v>2.3599999999999999E-2</v>
      </c>
      <c r="K1004" s="9" t="s">
        <v>1343</v>
      </c>
      <c r="L1004" s="9" t="s">
        <v>802</v>
      </c>
      <c r="M1004" s="9">
        <v>2022</v>
      </c>
      <c r="N1004" s="9" t="s">
        <v>481</v>
      </c>
      <c r="O1004" s="10" t="s">
        <v>482</v>
      </c>
      <c r="P1004" s="9" t="s">
        <v>483</v>
      </c>
      <c r="Q1004" s="9" t="s">
        <v>264</v>
      </c>
      <c r="R1004" s="9" t="s">
        <v>1344</v>
      </c>
      <c r="S1004" s="9" t="s">
        <v>2341</v>
      </c>
    </row>
    <row r="1005" spans="2:19" x14ac:dyDescent="0.35">
      <c r="B1005" s="18" t="s">
        <v>800</v>
      </c>
      <c r="C1005" s="9" t="s">
        <v>803</v>
      </c>
      <c r="D1005" s="9" t="s">
        <v>799</v>
      </c>
      <c r="E1005" s="9" t="s">
        <v>39</v>
      </c>
      <c r="F1005" s="17">
        <v>0.1164</v>
      </c>
      <c r="G1005" s="17"/>
      <c r="H1005" s="17"/>
      <c r="I1005" s="17"/>
      <c r="J1005" s="17">
        <v>0.1164</v>
      </c>
      <c r="K1005" s="9" t="s">
        <v>1343</v>
      </c>
      <c r="L1005" s="9" t="s">
        <v>804</v>
      </c>
      <c r="M1005" s="9">
        <v>2022</v>
      </c>
      <c r="N1005" s="9" t="s">
        <v>481</v>
      </c>
      <c r="O1005" s="10" t="s">
        <v>482</v>
      </c>
      <c r="P1005" s="9" t="s">
        <v>483</v>
      </c>
      <c r="Q1005" s="9" t="s">
        <v>264</v>
      </c>
      <c r="R1005" s="9" t="s">
        <v>1344</v>
      </c>
      <c r="S1005" s="9" t="s">
        <v>2342</v>
      </c>
    </row>
    <row r="1006" spans="2:19" x14ac:dyDescent="0.35">
      <c r="B1006" s="18" t="s">
        <v>800</v>
      </c>
      <c r="C1006" s="9" t="s">
        <v>803</v>
      </c>
      <c r="D1006" s="9" t="s">
        <v>799</v>
      </c>
      <c r="E1006" s="9" t="s">
        <v>39</v>
      </c>
      <c r="F1006" s="17">
        <v>0.11650000000000001</v>
      </c>
      <c r="G1006" s="17"/>
      <c r="H1006" s="17"/>
      <c r="I1006" s="17"/>
      <c r="J1006" s="17">
        <v>0.11650000000000001</v>
      </c>
      <c r="K1006" s="9" t="s">
        <v>1343</v>
      </c>
      <c r="L1006" s="9" t="s">
        <v>804</v>
      </c>
      <c r="M1006" s="9">
        <v>2023</v>
      </c>
      <c r="N1006" s="9" t="s">
        <v>481</v>
      </c>
      <c r="O1006" s="10" t="s">
        <v>482</v>
      </c>
      <c r="P1006" s="9" t="s">
        <v>483</v>
      </c>
      <c r="Q1006" s="9" t="s">
        <v>264</v>
      </c>
      <c r="R1006" s="9" t="s">
        <v>1344</v>
      </c>
      <c r="S1006" s="9" t="s">
        <v>2343</v>
      </c>
    </row>
    <row r="1007" spans="2:19" x14ac:dyDescent="0.35">
      <c r="B1007" s="18" t="s">
        <v>800</v>
      </c>
      <c r="C1007" s="9" t="s">
        <v>803</v>
      </c>
      <c r="D1007" s="9" t="s">
        <v>799</v>
      </c>
      <c r="E1007" s="9" t="s">
        <v>39</v>
      </c>
      <c r="F1007" s="17">
        <v>0.1168</v>
      </c>
      <c r="G1007" s="17"/>
      <c r="H1007" s="17"/>
      <c r="I1007" s="17"/>
      <c r="J1007" s="17">
        <v>0.1168</v>
      </c>
      <c r="K1007" s="9" t="s">
        <v>1343</v>
      </c>
      <c r="L1007" s="9" t="s">
        <v>804</v>
      </c>
      <c r="M1007" s="9">
        <v>2024</v>
      </c>
      <c r="N1007" s="9" t="s">
        <v>481</v>
      </c>
      <c r="O1007" s="10" t="s">
        <v>482</v>
      </c>
      <c r="P1007" s="9" t="s">
        <v>483</v>
      </c>
      <c r="Q1007" s="9" t="s">
        <v>264</v>
      </c>
      <c r="R1007" s="9" t="s">
        <v>1344</v>
      </c>
      <c r="S1007" s="9" t="s">
        <v>2344</v>
      </c>
    </row>
    <row r="1008" spans="2:19" x14ac:dyDescent="0.35">
      <c r="B1008" s="18" t="s">
        <v>258</v>
      </c>
      <c r="C1008" s="9" t="s">
        <v>259</v>
      </c>
      <c r="D1008" s="9" t="s">
        <v>799</v>
      </c>
      <c r="E1008" s="9" t="s">
        <v>39</v>
      </c>
      <c r="F1008" s="17">
        <v>4.6699999999999998E-2</v>
      </c>
      <c r="G1008" s="17">
        <v>4.65E-2</v>
      </c>
      <c r="H1008" s="17"/>
      <c r="I1008" s="17">
        <v>2.0000000000000001E-4</v>
      </c>
      <c r="J1008" s="17">
        <v>0</v>
      </c>
      <c r="K1008" s="9" t="s">
        <v>1343</v>
      </c>
      <c r="L1008" s="9" t="s">
        <v>260</v>
      </c>
      <c r="M1008" s="9">
        <v>2023</v>
      </c>
      <c r="N1008" s="9" t="s">
        <v>655</v>
      </c>
      <c r="O1008" s="10" t="s">
        <v>656</v>
      </c>
      <c r="P1008" s="9" t="s">
        <v>657</v>
      </c>
      <c r="Q1008" s="9" t="s">
        <v>264</v>
      </c>
      <c r="R1008" s="9" t="s">
        <v>1344</v>
      </c>
      <c r="S1008" s="9" t="s">
        <v>2345</v>
      </c>
    </row>
    <row r="1009" spans="2:19" x14ac:dyDescent="0.35">
      <c r="B1009" s="18" t="s">
        <v>258</v>
      </c>
      <c r="C1009" s="9" t="s">
        <v>259</v>
      </c>
      <c r="D1009" s="9" t="s">
        <v>799</v>
      </c>
      <c r="E1009" s="9" t="s">
        <v>39</v>
      </c>
      <c r="F1009" s="17">
        <v>6.0600000000000001E-2</v>
      </c>
      <c r="G1009" s="17">
        <v>6.0400000000000002E-2</v>
      </c>
      <c r="H1009" s="17"/>
      <c r="I1009" s="17">
        <v>2.0000000000000001E-4</v>
      </c>
      <c r="J1009" s="17">
        <v>0</v>
      </c>
      <c r="K1009" s="9" t="s">
        <v>1343</v>
      </c>
      <c r="L1009" s="9" t="s">
        <v>260</v>
      </c>
      <c r="M1009" s="9">
        <v>2022</v>
      </c>
      <c r="N1009" s="9" t="s">
        <v>655</v>
      </c>
      <c r="O1009" s="10" t="s">
        <v>656</v>
      </c>
      <c r="P1009" s="9" t="s">
        <v>657</v>
      </c>
      <c r="Q1009" s="9" t="s">
        <v>264</v>
      </c>
      <c r="R1009" s="9" t="s">
        <v>1344</v>
      </c>
      <c r="S1009" s="9" t="s">
        <v>2346</v>
      </c>
    </row>
    <row r="1010" spans="2:19" x14ac:dyDescent="0.35">
      <c r="B1010" s="18" t="s">
        <v>800</v>
      </c>
      <c r="C1010" s="9" t="s">
        <v>801</v>
      </c>
      <c r="D1010" s="9" t="s">
        <v>799</v>
      </c>
      <c r="E1010" s="9" t="s">
        <v>39</v>
      </c>
      <c r="F1010" s="17">
        <v>1.03E-2</v>
      </c>
      <c r="G1010" s="17"/>
      <c r="H1010" s="17"/>
      <c r="I1010" s="17"/>
      <c r="J1010" s="17">
        <v>1.03E-2</v>
      </c>
      <c r="K1010" s="9" t="s">
        <v>1343</v>
      </c>
      <c r="L1010" s="9" t="s">
        <v>802</v>
      </c>
      <c r="M1010" s="9">
        <v>2023</v>
      </c>
      <c r="N1010" s="9" t="s">
        <v>655</v>
      </c>
      <c r="O1010" s="10" t="s">
        <v>656</v>
      </c>
      <c r="P1010" s="9" t="s">
        <v>657</v>
      </c>
      <c r="Q1010" s="9" t="s">
        <v>264</v>
      </c>
      <c r="R1010" s="9" t="s">
        <v>1344</v>
      </c>
      <c r="S1010" s="9" t="s">
        <v>2347</v>
      </c>
    </row>
    <row r="1011" spans="2:19" x14ac:dyDescent="0.35">
      <c r="B1011" s="18" t="s">
        <v>800</v>
      </c>
      <c r="C1011" s="9" t="s">
        <v>801</v>
      </c>
      <c r="D1011" s="9" t="s">
        <v>799</v>
      </c>
      <c r="E1011" s="9" t="s">
        <v>39</v>
      </c>
      <c r="F1011" s="17">
        <v>1.4E-2</v>
      </c>
      <c r="G1011" s="17"/>
      <c r="H1011" s="17"/>
      <c r="I1011" s="17"/>
      <c r="J1011" s="17">
        <v>1.4E-2</v>
      </c>
      <c r="K1011" s="9" t="s">
        <v>1343</v>
      </c>
      <c r="L1011" s="9" t="s">
        <v>802</v>
      </c>
      <c r="M1011" s="9">
        <v>2022</v>
      </c>
      <c r="N1011" s="9" t="s">
        <v>655</v>
      </c>
      <c r="O1011" s="10" t="s">
        <v>656</v>
      </c>
      <c r="P1011" s="9" t="s">
        <v>657</v>
      </c>
      <c r="Q1011" s="9" t="s">
        <v>264</v>
      </c>
      <c r="R1011" s="9" t="s">
        <v>1344</v>
      </c>
      <c r="S1011" s="9" t="s">
        <v>2348</v>
      </c>
    </row>
    <row r="1012" spans="2:19" x14ac:dyDescent="0.35">
      <c r="B1012" s="18" t="s">
        <v>800</v>
      </c>
      <c r="C1012" s="9" t="s">
        <v>803</v>
      </c>
      <c r="D1012" s="9" t="s">
        <v>799</v>
      </c>
      <c r="E1012" s="9" t="s">
        <v>39</v>
      </c>
      <c r="F1012" s="17">
        <v>1.3899999999999999E-2</v>
      </c>
      <c r="G1012" s="17"/>
      <c r="H1012" s="17"/>
      <c r="I1012" s="17"/>
      <c r="J1012" s="17">
        <v>1.3899999999999999E-2</v>
      </c>
      <c r="K1012" s="9" t="s">
        <v>1343</v>
      </c>
      <c r="L1012" s="9" t="s">
        <v>804</v>
      </c>
      <c r="M1012" s="9">
        <v>2023</v>
      </c>
      <c r="N1012" s="9" t="s">
        <v>655</v>
      </c>
      <c r="O1012" s="10" t="s">
        <v>656</v>
      </c>
      <c r="P1012" s="9" t="s">
        <v>657</v>
      </c>
      <c r="Q1012" s="9" t="s">
        <v>264</v>
      </c>
      <c r="R1012" s="9" t="s">
        <v>1344</v>
      </c>
      <c r="S1012" s="9" t="s">
        <v>2349</v>
      </c>
    </row>
    <row r="1013" spans="2:19" x14ac:dyDescent="0.35">
      <c r="B1013" s="18" t="s">
        <v>800</v>
      </c>
      <c r="C1013" s="9" t="s">
        <v>803</v>
      </c>
      <c r="D1013" s="9" t="s">
        <v>799</v>
      </c>
      <c r="E1013" s="9" t="s">
        <v>39</v>
      </c>
      <c r="F1013" s="17">
        <v>1.6799999999999999E-2</v>
      </c>
      <c r="G1013" s="17"/>
      <c r="H1013" s="17"/>
      <c r="I1013" s="17"/>
      <c r="J1013" s="17">
        <v>1.6799999999999999E-2</v>
      </c>
      <c r="K1013" s="9" t="s">
        <v>1343</v>
      </c>
      <c r="L1013" s="9" t="s">
        <v>804</v>
      </c>
      <c r="M1013" s="9">
        <v>2022</v>
      </c>
      <c r="N1013" s="9" t="s">
        <v>655</v>
      </c>
      <c r="O1013" s="10" t="s">
        <v>656</v>
      </c>
      <c r="P1013" s="9" t="s">
        <v>657</v>
      </c>
      <c r="Q1013" s="9" t="s">
        <v>264</v>
      </c>
      <c r="R1013" s="9" t="s">
        <v>1344</v>
      </c>
      <c r="S1013" s="9" t="s">
        <v>2350</v>
      </c>
    </row>
    <row r="1014" spans="2:19" x14ac:dyDescent="0.35">
      <c r="B1014" s="18" t="s">
        <v>258</v>
      </c>
      <c r="C1014" s="9" t="s">
        <v>259</v>
      </c>
      <c r="D1014" s="9" t="s">
        <v>799</v>
      </c>
      <c r="E1014" s="9" t="s">
        <v>39</v>
      </c>
      <c r="F1014" s="17">
        <v>0.2823</v>
      </c>
      <c r="G1014" s="17">
        <v>0.28160000000000002</v>
      </c>
      <c r="H1014" s="17">
        <v>2.9999999999999997E-4</v>
      </c>
      <c r="I1014" s="17">
        <v>4.0000000000000002E-4</v>
      </c>
      <c r="J1014" s="17">
        <v>0</v>
      </c>
      <c r="K1014" s="9" t="s">
        <v>1343</v>
      </c>
      <c r="L1014" s="9" t="s">
        <v>260</v>
      </c>
      <c r="M1014" s="9">
        <v>2024</v>
      </c>
      <c r="N1014" s="9" t="s">
        <v>560</v>
      </c>
      <c r="O1014" s="10" t="s">
        <v>561</v>
      </c>
      <c r="P1014" s="9" t="s">
        <v>562</v>
      </c>
      <c r="Q1014" s="9" t="s">
        <v>264</v>
      </c>
      <c r="R1014" s="9" t="s">
        <v>1344</v>
      </c>
      <c r="S1014" s="9" t="s">
        <v>2351</v>
      </c>
    </row>
    <row r="1015" spans="2:19" x14ac:dyDescent="0.35">
      <c r="B1015" s="18" t="s">
        <v>258</v>
      </c>
      <c r="C1015" s="9" t="s">
        <v>259</v>
      </c>
      <c r="D1015" s="9" t="s">
        <v>799</v>
      </c>
      <c r="E1015" s="9" t="s">
        <v>39</v>
      </c>
      <c r="F1015" s="17">
        <v>0.4128</v>
      </c>
      <c r="G1015" s="17">
        <v>0.41199999999999998</v>
      </c>
      <c r="H1015" s="17">
        <v>4.0000000000000002E-4</v>
      </c>
      <c r="I1015" s="17">
        <v>4.0000000000000002E-4</v>
      </c>
      <c r="J1015" s="17">
        <v>0</v>
      </c>
      <c r="K1015" s="9" t="s">
        <v>1343</v>
      </c>
      <c r="L1015" s="9" t="s">
        <v>260</v>
      </c>
      <c r="M1015" s="9">
        <v>2022</v>
      </c>
      <c r="N1015" s="9" t="s">
        <v>560</v>
      </c>
      <c r="O1015" s="10" t="s">
        <v>561</v>
      </c>
      <c r="P1015" s="9" t="s">
        <v>562</v>
      </c>
      <c r="Q1015" s="9" t="s">
        <v>264</v>
      </c>
      <c r="R1015" s="9" t="s">
        <v>1344</v>
      </c>
      <c r="S1015" s="9" t="s">
        <v>2352</v>
      </c>
    </row>
    <row r="1016" spans="2:19" x14ac:dyDescent="0.35">
      <c r="B1016" s="18" t="s">
        <v>258</v>
      </c>
      <c r="C1016" s="9" t="s">
        <v>259</v>
      </c>
      <c r="D1016" s="9" t="s">
        <v>799</v>
      </c>
      <c r="E1016" s="9" t="s">
        <v>39</v>
      </c>
      <c r="F1016" s="17">
        <v>0.41599999999999998</v>
      </c>
      <c r="G1016" s="17">
        <v>0.4153</v>
      </c>
      <c r="H1016" s="17">
        <v>2.9999999999999997E-4</v>
      </c>
      <c r="I1016" s="17">
        <v>4.0000000000000002E-4</v>
      </c>
      <c r="J1016" s="17">
        <v>0</v>
      </c>
      <c r="K1016" s="9" t="s">
        <v>1343</v>
      </c>
      <c r="L1016" s="9" t="s">
        <v>260</v>
      </c>
      <c r="M1016" s="9">
        <v>2023</v>
      </c>
      <c r="N1016" s="9" t="s">
        <v>560</v>
      </c>
      <c r="O1016" s="10" t="s">
        <v>561</v>
      </c>
      <c r="P1016" s="9" t="s">
        <v>562</v>
      </c>
      <c r="Q1016" s="9" t="s">
        <v>264</v>
      </c>
      <c r="R1016" s="9" t="s">
        <v>1344</v>
      </c>
      <c r="S1016" s="9" t="s">
        <v>2353</v>
      </c>
    </row>
    <row r="1017" spans="2:19" x14ac:dyDescent="0.35">
      <c r="B1017" s="18" t="s">
        <v>800</v>
      </c>
      <c r="C1017" s="9" t="s">
        <v>801</v>
      </c>
      <c r="D1017" s="9" t="s">
        <v>799</v>
      </c>
      <c r="E1017" s="9" t="s">
        <v>39</v>
      </c>
      <c r="F1017" s="17">
        <v>8.14E-2</v>
      </c>
      <c r="G1017" s="17"/>
      <c r="H1017" s="17"/>
      <c r="I1017" s="17"/>
      <c r="J1017" s="17">
        <v>8.14E-2</v>
      </c>
      <c r="K1017" s="9" t="s">
        <v>1343</v>
      </c>
      <c r="L1017" s="9" t="s">
        <v>802</v>
      </c>
      <c r="M1017" s="9">
        <v>2023</v>
      </c>
      <c r="N1017" s="9" t="s">
        <v>560</v>
      </c>
      <c r="O1017" s="10" t="s">
        <v>561</v>
      </c>
      <c r="P1017" s="9" t="s">
        <v>562</v>
      </c>
      <c r="Q1017" s="9" t="s">
        <v>264</v>
      </c>
      <c r="R1017" s="9" t="s">
        <v>1344</v>
      </c>
      <c r="S1017" s="9" t="s">
        <v>2354</v>
      </c>
    </row>
    <row r="1018" spans="2:19" x14ac:dyDescent="0.35">
      <c r="B1018" s="18" t="s">
        <v>800</v>
      </c>
      <c r="C1018" s="9" t="s">
        <v>801</v>
      </c>
      <c r="D1018" s="9" t="s">
        <v>799</v>
      </c>
      <c r="E1018" s="9" t="s">
        <v>39</v>
      </c>
      <c r="F1018" s="17">
        <v>8.5400000000000004E-2</v>
      </c>
      <c r="G1018" s="17"/>
      <c r="H1018" s="17"/>
      <c r="I1018" s="17"/>
      <c r="J1018" s="17">
        <v>8.5400000000000004E-2</v>
      </c>
      <c r="K1018" s="9" t="s">
        <v>1343</v>
      </c>
      <c r="L1018" s="9" t="s">
        <v>802</v>
      </c>
      <c r="M1018" s="9">
        <v>2022</v>
      </c>
      <c r="N1018" s="9" t="s">
        <v>560</v>
      </c>
      <c r="O1018" s="10" t="s">
        <v>561</v>
      </c>
      <c r="P1018" s="9" t="s">
        <v>562</v>
      </c>
      <c r="Q1018" s="9" t="s">
        <v>264</v>
      </c>
      <c r="R1018" s="9" t="s">
        <v>1344</v>
      </c>
      <c r="S1018" s="9" t="s">
        <v>2355</v>
      </c>
    </row>
    <row r="1019" spans="2:19" x14ac:dyDescent="0.35">
      <c r="B1019" s="18" t="s">
        <v>800</v>
      </c>
      <c r="C1019" s="9" t="s">
        <v>803</v>
      </c>
      <c r="D1019" s="9" t="s">
        <v>799</v>
      </c>
      <c r="E1019" s="9" t="s">
        <v>39</v>
      </c>
      <c r="F1019" s="17">
        <v>6.7799999999999999E-2</v>
      </c>
      <c r="G1019" s="17"/>
      <c r="H1019" s="17"/>
      <c r="I1019" s="17"/>
      <c r="J1019" s="17">
        <v>6.7799999999999999E-2</v>
      </c>
      <c r="K1019" s="9" t="s">
        <v>1343</v>
      </c>
      <c r="L1019" s="9" t="s">
        <v>804</v>
      </c>
      <c r="M1019" s="9">
        <v>2023</v>
      </c>
      <c r="N1019" s="9" t="s">
        <v>560</v>
      </c>
      <c r="O1019" s="10" t="s">
        <v>561</v>
      </c>
      <c r="P1019" s="9" t="s">
        <v>562</v>
      </c>
      <c r="Q1019" s="9" t="s">
        <v>264</v>
      </c>
      <c r="R1019" s="9" t="s">
        <v>1344</v>
      </c>
      <c r="S1019" s="9" t="s">
        <v>2356</v>
      </c>
    </row>
    <row r="1020" spans="2:19" x14ac:dyDescent="0.35">
      <c r="B1020" s="18" t="s">
        <v>800</v>
      </c>
      <c r="C1020" s="9" t="s">
        <v>803</v>
      </c>
      <c r="D1020" s="9" t="s">
        <v>799</v>
      </c>
      <c r="E1020" s="9" t="s">
        <v>39</v>
      </c>
      <c r="F1020" s="17">
        <v>6.93E-2</v>
      </c>
      <c r="G1020" s="17"/>
      <c r="H1020" s="17"/>
      <c r="I1020" s="17"/>
      <c r="J1020" s="17">
        <v>6.93E-2</v>
      </c>
      <c r="K1020" s="9" t="s">
        <v>1343</v>
      </c>
      <c r="L1020" s="9" t="s">
        <v>804</v>
      </c>
      <c r="M1020" s="9">
        <v>2022</v>
      </c>
      <c r="N1020" s="9" t="s">
        <v>560</v>
      </c>
      <c r="O1020" s="10" t="s">
        <v>561</v>
      </c>
      <c r="P1020" s="9" t="s">
        <v>562</v>
      </c>
      <c r="Q1020" s="9" t="s">
        <v>264</v>
      </c>
      <c r="R1020" s="9" t="s">
        <v>1344</v>
      </c>
      <c r="S1020" s="9" t="s">
        <v>2357</v>
      </c>
    </row>
    <row r="1021" spans="2:19" x14ac:dyDescent="0.35">
      <c r="B1021" s="18" t="s">
        <v>258</v>
      </c>
      <c r="C1021" s="9" t="s">
        <v>259</v>
      </c>
      <c r="D1021" s="9" t="s">
        <v>799</v>
      </c>
      <c r="E1021" s="9" t="s">
        <v>39</v>
      </c>
      <c r="F1021" s="17">
        <v>0.43809999999999999</v>
      </c>
      <c r="G1021" s="17">
        <v>0.43240000000000001</v>
      </c>
      <c r="H1021" s="17">
        <v>2.3E-3</v>
      </c>
      <c r="I1021" s="17">
        <v>3.3999999999999998E-3</v>
      </c>
      <c r="J1021" s="17">
        <v>0</v>
      </c>
      <c r="K1021" s="9" t="s">
        <v>1343</v>
      </c>
      <c r="L1021" s="9" t="s">
        <v>260</v>
      </c>
      <c r="M1021" s="9">
        <v>2023</v>
      </c>
      <c r="N1021" s="9" t="s">
        <v>583</v>
      </c>
      <c r="O1021" s="10" t="s">
        <v>584</v>
      </c>
      <c r="P1021" s="9" t="s">
        <v>585</v>
      </c>
      <c r="Q1021" s="9" t="s">
        <v>264</v>
      </c>
      <c r="R1021" s="9" t="s">
        <v>1344</v>
      </c>
      <c r="S1021" s="9" t="s">
        <v>2358</v>
      </c>
    </row>
    <row r="1022" spans="2:19" x14ac:dyDescent="0.35">
      <c r="B1022" s="18" t="s">
        <v>258</v>
      </c>
      <c r="C1022" s="9" t="s">
        <v>259</v>
      </c>
      <c r="D1022" s="9" t="s">
        <v>799</v>
      </c>
      <c r="E1022" s="9" t="s">
        <v>39</v>
      </c>
      <c r="F1022" s="17">
        <v>0.45079999999999998</v>
      </c>
      <c r="G1022" s="17">
        <v>0.4451</v>
      </c>
      <c r="H1022" s="17">
        <v>2.3E-3</v>
      </c>
      <c r="I1022" s="17">
        <v>3.3999999999999998E-3</v>
      </c>
      <c r="J1022" s="17">
        <v>0</v>
      </c>
      <c r="K1022" s="9" t="s">
        <v>1343</v>
      </c>
      <c r="L1022" s="9" t="s">
        <v>260</v>
      </c>
      <c r="M1022" s="9">
        <v>2024</v>
      </c>
      <c r="N1022" s="9" t="s">
        <v>583</v>
      </c>
      <c r="O1022" s="10" t="s">
        <v>584</v>
      </c>
      <c r="P1022" s="9" t="s">
        <v>585</v>
      </c>
      <c r="Q1022" s="9" t="s">
        <v>264</v>
      </c>
      <c r="R1022" s="9" t="s">
        <v>1344</v>
      </c>
      <c r="S1022" s="9" t="s">
        <v>2359</v>
      </c>
    </row>
    <row r="1023" spans="2:19" x14ac:dyDescent="0.35">
      <c r="B1023" s="18" t="s">
        <v>258</v>
      </c>
      <c r="C1023" s="9" t="s">
        <v>259</v>
      </c>
      <c r="D1023" s="9" t="s">
        <v>799</v>
      </c>
      <c r="E1023" s="9" t="s">
        <v>39</v>
      </c>
      <c r="F1023" s="17">
        <v>0.49759999999999999</v>
      </c>
      <c r="G1023" s="17">
        <v>0.49230000000000002</v>
      </c>
      <c r="H1023" s="17">
        <v>2E-3</v>
      </c>
      <c r="I1023" s="17">
        <v>3.3E-3</v>
      </c>
      <c r="J1023" s="17">
        <v>0</v>
      </c>
      <c r="K1023" s="9" t="s">
        <v>1343</v>
      </c>
      <c r="L1023" s="9" t="s">
        <v>260</v>
      </c>
      <c r="M1023" s="9">
        <v>2022</v>
      </c>
      <c r="N1023" s="9" t="s">
        <v>583</v>
      </c>
      <c r="O1023" s="10" t="s">
        <v>584</v>
      </c>
      <c r="P1023" s="9" t="s">
        <v>585</v>
      </c>
      <c r="Q1023" s="9" t="s">
        <v>264</v>
      </c>
      <c r="R1023" s="9" t="s">
        <v>1344</v>
      </c>
      <c r="S1023" s="9" t="s">
        <v>2360</v>
      </c>
    </row>
    <row r="1024" spans="2:19" x14ac:dyDescent="0.35">
      <c r="B1024" s="18" t="s">
        <v>800</v>
      </c>
      <c r="C1024" s="9" t="s">
        <v>801</v>
      </c>
      <c r="D1024" s="9" t="s">
        <v>799</v>
      </c>
      <c r="E1024" s="9" t="s">
        <v>39</v>
      </c>
      <c r="F1024" s="17">
        <v>3.3500000000000002E-2</v>
      </c>
      <c r="G1024" s="17"/>
      <c r="H1024" s="17"/>
      <c r="I1024" s="17"/>
      <c r="J1024" s="17">
        <v>3.3500000000000002E-2</v>
      </c>
      <c r="K1024" s="9" t="s">
        <v>1343</v>
      </c>
      <c r="L1024" s="9" t="s">
        <v>802</v>
      </c>
      <c r="M1024" s="9">
        <v>2023</v>
      </c>
      <c r="N1024" s="9" t="s">
        <v>583</v>
      </c>
      <c r="O1024" s="10" t="s">
        <v>584</v>
      </c>
      <c r="P1024" s="9" t="s">
        <v>585</v>
      </c>
      <c r="Q1024" s="9" t="s">
        <v>264</v>
      </c>
      <c r="R1024" s="9" t="s">
        <v>1344</v>
      </c>
      <c r="S1024" s="9" t="s">
        <v>2361</v>
      </c>
    </row>
    <row r="1025" spans="2:19" x14ac:dyDescent="0.35">
      <c r="B1025" s="18" t="s">
        <v>800</v>
      </c>
      <c r="C1025" s="9" t="s">
        <v>801</v>
      </c>
      <c r="D1025" s="9" t="s">
        <v>799</v>
      </c>
      <c r="E1025" s="9" t="s">
        <v>39</v>
      </c>
      <c r="F1025" s="17">
        <v>3.8600000000000002E-2</v>
      </c>
      <c r="G1025" s="17"/>
      <c r="H1025" s="17"/>
      <c r="I1025" s="17"/>
      <c r="J1025" s="17">
        <v>3.8600000000000002E-2</v>
      </c>
      <c r="K1025" s="9" t="s">
        <v>1343</v>
      </c>
      <c r="L1025" s="9" t="s">
        <v>802</v>
      </c>
      <c r="M1025" s="9">
        <v>2022</v>
      </c>
      <c r="N1025" s="9" t="s">
        <v>583</v>
      </c>
      <c r="O1025" s="10" t="s">
        <v>584</v>
      </c>
      <c r="P1025" s="9" t="s">
        <v>585</v>
      </c>
      <c r="Q1025" s="9" t="s">
        <v>264</v>
      </c>
      <c r="R1025" s="9" t="s">
        <v>1344</v>
      </c>
      <c r="S1025" s="9" t="s">
        <v>2362</v>
      </c>
    </row>
    <row r="1026" spans="2:19" x14ac:dyDescent="0.35">
      <c r="B1026" s="18" t="s">
        <v>800</v>
      </c>
      <c r="C1026" s="9" t="s">
        <v>803</v>
      </c>
      <c r="D1026" s="9" t="s">
        <v>799</v>
      </c>
      <c r="E1026" s="9" t="s">
        <v>39</v>
      </c>
      <c r="F1026" s="17">
        <v>0.10150000000000001</v>
      </c>
      <c r="G1026" s="17"/>
      <c r="H1026" s="17"/>
      <c r="I1026" s="17"/>
      <c r="J1026" s="17">
        <v>0.10150000000000001</v>
      </c>
      <c r="K1026" s="9" t="s">
        <v>1343</v>
      </c>
      <c r="L1026" s="9" t="s">
        <v>804</v>
      </c>
      <c r="M1026" s="9">
        <v>2023</v>
      </c>
      <c r="N1026" s="9" t="s">
        <v>583</v>
      </c>
      <c r="O1026" s="10" t="s">
        <v>584</v>
      </c>
      <c r="P1026" s="9" t="s">
        <v>585</v>
      </c>
      <c r="Q1026" s="9" t="s">
        <v>264</v>
      </c>
      <c r="R1026" s="9" t="s">
        <v>1344</v>
      </c>
      <c r="S1026" s="9" t="s">
        <v>2363</v>
      </c>
    </row>
    <row r="1027" spans="2:19" x14ac:dyDescent="0.35">
      <c r="B1027" s="18" t="s">
        <v>800</v>
      </c>
      <c r="C1027" s="9" t="s">
        <v>803</v>
      </c>
      <c r="D1027" s="9" t="s">
        <v>799</v>
      </c>
      <c r="E1027" s="9" t="s">
        <v>39</v>
      </c>
      <c r="F1027" s="17">
        <v>0.1032</v>
      </c>
      <c r="G1027" s="17"/>
      <c r="H1027" s="17"/>
      <c r="I1027" s="17"/>
      <c r="J1027" s="17">
        <v>0.1032</v>
      </c>
      <c r="K1027" s="9" t="s">
        <v>1343</v>
      </c>
      <c r="L1027" s="9" t="s">
        <v>804</v>
      </c>
      <c r="M1027" s="9">
        <v>2024</v>
      </c>
      <c r="N1027" s="9" t="s">
        <v>583</v>
      </c>
      <c r="O1027" s="10" t="s">
        <v>584</v>
      </c>
      <c r="P1027" s="9" t="s">
        <v>585</v>
      </c>
      <c r="Q1027" s="9" t="s">
        <v>264</v>
      </c>
      <c r="R1027" s="9" t="s">
        <v>1344</v>
      </c>
      <c r="S1027" s="9" t="s">
        <v>2364</v>
      </c>
    </row>
    <row r="1028" spans="2:19" x14ac:dyDescent="0.35">
      <c r="B1028" s="18" t="s">
        <v>800</v>
      </c>
      <c r="C1028" s="9" t="s">
        <v>803</v>
      </c>
      <c r="D1028" s="9" t="s">
        <v>799</v>
      </c>
      <c r="E1028" s="9" t="s">
        <v>39</v>
      </c>
      <c r="F1028" s="17">
        <v>0.11</v>
      </c>
      <c r="G1028" s="17"/>
      <c r="H1028" s="17"/>
      <c r="I1028" s="17"/>
      <c r="J1028" s="17">
        <v>0.11</v>
      </c>
      <c r="K1028" s="9" t="s">
        <v>1343</v>
      </c>
      <c r="L1028" s="9" t="s">
        <v>804</v>
      </c>
      <c r="M1028" s="9">
        <v>2022</v>
      </c>
      <c r="N1028" s="9" t="s">
        <v>583</v>
      </c>
      <c r="O1028" s="10" t="s">
        <v>584</v>
      </c>
      <c r="P1028" s="9" t="s">
        <v>585</v>
      </c>
      <c r="Q1028" s="9" t="s">
        <v>264</v>
      </c>
      <c r="R1028" s="9" t="s">
        <v>1344</v>
      </c>
      <c r="S1028" s="9" t="s">
        <v>2365</v>
      </c>
    </row>
    <row r="1029" spans="2:19" x14ac:dyDescent="0.35">
      <c r="B1029" s="18" t="s">
        <v>258</v>
      </c>
      <c r="C1029" s="9" t="s">
        <v>259</v>
      </c>
      <c r="D1029" s="9" t="s">
        <v>799</v>
      </c>
      <c r="E1029" s="9" t="s">
        <v>39</v>
      </c>
      <c r="F1029" s="17">
        <v>0.38969999999999999</v>
      </c>
      <c r="G1029" s="17">
        <v>0.38929999999999998</v>
      </c>
      <c r="H1029" s="17">
        <v>2.0000000000000001E-4</v>
      </c>
      <c r="I1029" s="17">
        <v>2.0000000000000001E-4</v>
      </c>
      <c r="J1029" s="17">
        <v>0</v>
      </c>
      <c r="K1029" s="9" t="s">
        <v>1343</v>
      </c>
      <c r="L1029" s="9" t="s">
        <v>260</v>
      </c>
      <c r="M1029" s="9">
        <v>2023</v>
      </c>
      <c r="N1029" s="9" t="s">
        <v>522</v>
      </c>
      <c r="O1029" s="10" t="s">
        <v>523</v>
      </c>
      <c r="P1029" s="9" t="s">
        <v>524</v>
      </c>
      <c r="Q1029" s="9" t="s">
        <v>264</v>
      </c>
      <c r="R1029" s="9" t="s">
        <v>1344</v>
      </c>
      <c r="S1029" s="9" t="s">
        <v>2366</v>
      </c>
    </row>
    <row r="1030" spans="2:19" x14ac:dyDescent="0.35">
      <c r="B1030" s="18" t="s">
        <v>258</v>
      </c>
      <c r="C1030" s="9" t="s">
        <v>259</v>
      </c>
      <c r="D1030" s="9" t="s">
        <v>799</v>
      </c>
      <c r="E1030" s="9" t="s">
        <v>39</v>
      </c>
      <c r="F1030" s="17">
        <v>0.41820000000000002</v>
      </c>
      <c r="G1030" s="17">
        <v>0.4178</v>
      </c>
      <c r="H1030" s="17">
        <v>2.0000000000000001E-4</v>
      </c>
      <c r="I1030" s="17">
        <v>2.0000000000000001E-4</v>
      </c>
      <c r="J1030" s="17">
        <v>0</v>
      </c>
      <c r="K1030" s="9" t="s">
        <v>1343</v>
      </c>
      <c r="L1030" s="9" t="s">
        <v>260</v>
      </c>
      <c r="M1030" s="9">
        <v>2022</v>
      </c>
      <c r="N1030" s="9" t="s">
        <v>522</v>
      </c>
      <c r="O1030" s="10" t="s">
        <v>523</v>
      </c>
      <c r="P1030" s="9" t="s">
        <v>524</v>
      </c>
      <c r="Q1030" s="9" t="s">
        <v>264</v>
      </c>
      <c r="R1030" s="9" t="s">
        <v>1344</v>
      </c>
      <c r="S1030" s="9" t="s">
        <v>2367</v>
      </c>
    </row>
    <row r="1031" spans="2:19" x14ac:dyDescent="0.35">
      <c r="B1031" s="18" t="s">
        <v>800</v>
      </c>
      <c r="C1031" s="9" t="s">
        <v>801</v>
      </c>
      <c r="D1031" s="9" t="s">
        <v>799</v>
      </c>
      <c r="E1031" s="9" t="s">
        <v>39</v>
      </c>
      <c r="F1031" s="17">
        <v>4.9399999999999999E-2</v>
      </c>
      <c r="G1031" s="17"/>
      <c r="H1031" s="17"/>
      <c r="I1031" s="17"/>
      <c r="J1031" s="17">
        <v>4.9399999999999999E-2</v>
      </c>
      <c r="K1031" s="9" t="s">
        <v>1343</v>
      </c>
      <c r="L1031" s="9" t="s">
        <v>802</v>
      </c>
      <c r="M1031" s="9">
        <v>2023</v>
      </c>
      <c r="N1031" s="9" t="s">
        <v>522</v>
      </c>
      <c r="O1031" s="10" t="s">
        <v>523</v>
      </c>
      <c r="P1031" s="9" t="s">
        <v>524</v>
      </c>
      <c r="Q1031" s="9" t="s">
        <v>264</v>
      </c>
      <c r="R1031" s="9" t="s">
        <v>1344</v>
      </c>
      <c r="S1031" s="9" t="s">
        <v>2368</v>
      </c>
    </row>
    <row r="1032" spans="2:19" x14ac:dyDescent="0.35">
      <c r="B1032" s="18" t="s">
        <v>800</v>
      </c>
      <c r="C1032" s="9" t="s">
        <v>801</v>
      </c>
      <c r="D1032" s="9" t="s">
        <v>799</v>
      </c>
      <c r="E1032" s="9" t="s">
        <v>39</v>
      </c>
      <c r="F1032" s="17">
        <v>5.2999999999999999E-2</v>
      </c>
      <c r="G1032" s="17"/>
      <c r="H1032" s="17"/>
      <c r="I1032" s="17"/>
      <c r="J1032" s="17">
        <v>5.2999999999999999E-2</v>
      </c>
      <c r="K1032" s="9" t="s">
        <v>1343</v>
      </c>
      <c r="L1032" s="9" t="s">
        <v>802</v>
      </c>
      <c r="M1032" s="9">
        <v>2022</v>
      </c>
      <c r="N1032" s="9" t="s">
        <v>522</v>
      </c>
      <c r="O1032" s="10" t="s">
        <v>523</v>
      </c>
      <c r="P1032" s="9" t="s">
        <v>524</v>
      </c>
      <c r="Q1032" s="9" t="s">
        <v>264</v>
      </c>
      <c r="R1032" s="9" t="s">
        <v>1344</v>
      </c>
      <c r="S1032" s="9" t="s">
        <v>2369</v>
      </c>
    </row>
    <row r="1033" spans="2:19" x14ac:dyDescent="0.35">
      <c r="B1033" s="18" t="s">
        <v>800</v>
      </c>
      <c r="C1033" s="9" t="s">
        <v>803</v>
      </c>
      <c r="D1033" s="9" t="s">
        <v>799</v>
      </c>
      <c r="E1033" s="9" t="s">
        <v>39</v>
      </c>
      <c r="F1033" s="17">
        <v>8.5300000000000001E-2</v>
      </c>
      <c r="G1033" s="17"/>
      <c r="H1033" s="17"/>
      <c r="I1033" s="17"/>
      <c r="J1033" s="17">
        <v>8.5300000000000001E-2</v>
      </c>
      <c r="K1033" s="9" t="s">
        <v>1343</v>
      </c>
      <c r="L1033" s="9" t="s">
        <v>804</v>
      </c>
      <c r="M1033" s="9">
        <v>2023</v>
      </c>
      <c r="N1033" s="9" t="s">
        <v>522</v>
      </c>
      <c r="O1033" s="10" t="s">
        <v>523</v>
      </c>
      <c r="P1033" s="9" t="s">
        <v>524</v>
      </c>
      <c r="Q1033" s="9" t="s">
        <v>264</v>
      </c>
      <c r="R1033" s="9" t="s">
        <v>1344</v>
      </c>
      <c r="S1033" s="9" t="s">
        <v>2370</v>
      </c>
    </row>
    <row r="1034" spans="2:19" x14ac:dyDescent="0.35">
      <c r="B1034" s="18" t="s">
        <v>800</v>
      </c>
      <c r="C1034" s="9" t="s">
        <v>803</v>
      </c>
      <c r="D1034" s="9" t="s">
        <v>799</v>
      </c>
      <c r="E1034" s="9" t="s">
        <v>39</v>
      </c>
      <c r="F1034" s="17">
        <v>9.0499999999999997E-2</v>
      </c>
      <c r="G1034" s="17"/>
      <c r="H1034" s="17"/>
      <c r="I1034" s="17"/>
      <c r="J1034" s="17">
        <v>9.0499999999999997E-2</v>
      </c>
      <c r="K1034" s="9" t="s">
        <v>1343</v>
      </c>
      <c r="L1034" s="9" t="s">
        <v>804</v>
      </c>
      <c r="M1034" s="9">
        <v>2022</v>
      </c>
      <c r="N1034" s="9" t="s">
        <v>522</v>
      </c>
      <c r="O1034" s="10" t="s">
        <v>523</v>
      </c>
      <c r="P1034" s="9" t="s">
        <v>524</v>
      </c>
      <c r="Q1034" s="9" t="s">
        <v>264</v>
      </c>
      <c r="R1034" s="9" t="s">
        <v>1344</v>
      </c>
      <c r="S1034" s="9" t="s">
        <v>2371</v>
      </c>
    </row>
    <row r="1035" spans="2:19" x14ac:dyDescent="0.35">
      <c r="B1035" s="18" t="s">
        <v>258</v>
      </c>
      <c r="C1035" s="9" t="s">
        <v>259</v>
      </c>
      <c r="D1035" s="9" t="s">
        <v>799</v>
      </c>
      <c r="E1035" s="9" t="s">
        <v>39</v>
      </c>
      <c r="F1035" s="17">
        <v>0.56289999999999996</v>
      </c>
      <c r="G1035" s="17">
        <v>0.56230000000000002</v>
      </c>
      <c r="H1035" s="17">
        <v>2.9999999999999997E-4</v>
      </c>
      <c r="I1035" s="17">
        <v>2.9999999999999997E-4</v>
      </c>
      <c r="J1035" s="17">
        <v>0</v>
      </c>
      <c r="K1035" s="9" t="s">
        <v>1343</v>
      </c>
      <c r="L1035" s="9" t="s">
        <v>260</v>
      </c>
      <c r="M1035" s="9">
        <v>2023</v>
      </c>
      <c r="N1035" s="9" t="s">
        <v>736</v>
      </c>
      <c r="O1035" s="10" t="s">
        <v>737</v>
      </c>
      <c r="P1035" s="9" t="s">
        <v>738</v>
      </c>
      <c r="Q1035" s="9" t="s">
        <v>264</v>
      </c>
      <c r="R1035" s="9" t="s">
        <v>1344</v>
      </c>
      <c r="S1035" s="9" t="s">
        <v>2372</v>
      </c>
    </row>
    <row r="1036" spans="2:19" x14ac:dyDescent="0.35">
      <c r="B1036" s="18" t="s">
        <v>258</v>
      </c>
      <c r="C1036" s="9" t="s">
        <v>259</v>
      </c>
      <c r="D1036" s="9" t="s">
        <v>799</v>
      </c>
      <c r="E1036" s="9" t="s">
        <v>39</v>
      </c>
      <c r="F1036" s="17">
        <v>0.56389999999999996</v>
      </c>
      <c r="G1036" s="17">
        <v>0.56330000000000002</v>
      </c>
      <c r="H1036" s="17">
        <v>2.9999999999999997E-4</v>
      </c>
      <c r="I1036" s="17">
        <v>2.9999999999999997E-4</v>
      </c>
      <c r="J1036" s="17">
        <v>0</v>
      </c>
      <c r="K1036" s="9" t="s">
        <v>1343</v>
      </c>
      <c r="L1036" s="9" t="s">
        <v>260</v>
      </c>
      <c r="M1036" s="9">
        <v>2022</v>
      </c>
      <c r="N1036" s="9" t="s">
        <v>736</v>
      </c>
      <c r="O1036" s="10" t="s">
        <v>737</v>
      </c>
      <c r="P1036" s="9" t="s">
        <v>738</v>
      </c>
      <c r="Q1036" s="9" t="s">
        <v>264</v>
      </c>
      <c r="R1036" s="9" t="s">
        <v>1344</v>
      </c>
      <c r="S1036" s="9" t="s">
        <v>2373</v>
      </c>
    </row>
    <row r="1037" spans="2:19" x14ac:dyDescent="0.35">
      <c r="B1037" s="18" t="s">
        <v>800</v>
      </c>
      <c r="C1037" s="9" t="s">
        <v>801</v>
      </c>
      <c r="D1037" s="9" t="s">
        <v>799</v>
      </c>
      <c r="E1037" s="9" t="s">
        <v>39</v>
      </c>
      <c r="F1037" s="17">
        <v>3.0300000000000001E-2</v>
      </c>
      <c r="G1037" s="17"/>
      <c r="H1037" s="17"/>
      <c r="I1037" s="17"/>
      <c r="J1037" s="17">
        <v>3.0300000000000001E-2</v>
      </c>
      <c r="K1037" s="9" t="s">
        <v>1343</v>
      </c>
      <c r="L1037" s="9" t="s">
        <v>802</v>
      </c>
      <c r="M1037" s="9">
        <v>2023</v>
      </c>
      <c r="N1037" s="9" t="s">
        <v>736</v>
      </c>
      <c r="O1037" s="10" t="s">
        <v>737</v>
      </c>
      <c r="P1037" s="9" t="s">
        <v>738</v>
      </c>
      <c r="Q1037" s="9" t="s">
        <v>264</v>
      </c>
      <c r="R1037" s="9" t="s">
        <v>1344</v>
      </c>
      <c r="S1037" s="9" t="s">
        <v>2374</v>
      </c>
    </row>
    <row r="1038" spans="2:19" x14ac:dyDescent="0.35">
      <c r="B1038" s="18" t="s">
        <v>800</v>
      </c>
      <c r="C1038" s="9" t="s">
        <v>801</v>
      </c>
      <c r="D1038" s="9" t="s">
        <v>799</v>
      </c>
      <c r="E1038" s="9" t="s">
        <v>39</v>
      </c>
      <c r="F1038" s="17">
        <v>3.7699999999999997E-2</v>
      </c>
      <c r="G1038" s="17"/>
      <c r="H1038" s="17"/>
      <c r="I1038" s="17"/>
      <c r="J1038" s="17">
        <v>3.7699999999999997E-2</v>
      </c>
      <c r="K1038" s="9" t="s">
        <v>1343</v>
      </c>
      <c r="L1038" s="9" t="s">
        <v>802</v>
      </c>
      <c r="M1038" s="9">
        <v>2022</v>
      </c>
      <c r="N1038" s="9" t="s">
        <v>736</v>
      </c>
      <c r="O1038" s="10" t="s">
        <v>737</v>
      </c>
      <c r="P1038" s="9" t="s">
        <v>738</v>
      </c>
      <c r="Q1038" s="9" t="s">
        <v>264</v>
      </c>
      <c r="R1038" s="9" t="s">
        <v>1344</v>
      </c>
      <c r="S1038" s="9" t="s">
        <v>2375</v>
      </c>
    </row>
    <row r="1039" spans="2:19" x14ac:dyDescent="0.35">
      <c r="B1039" s="18" t="s">
        <v>800</v>
      </c>
      <c r="C1039" s="9" t="s">
        <v>803</v>
      </c>
      <c r="D1039" s="9" t="s">
        <v>799</v>
      </c>
      <c r="E1039" s="9" t="s">
        <v>39</v>
      </c>
      <c r="F1039" s="17">
        <v>0.13689999999999999</v>
      </c>
      <c r="G1039" s="17"/>
      <c r="H1039" s="17"/>
      <c r="I1039" s="17"/>
      <c r="J1039" s="17">
        <v>0.13689999999999999</v>
      </c>
      <c r="K1039" s="9" t="s">
        <v>1343</v>
      </c>
      <c r="L1039" s="9" t="s">
        <v>804</v>
      </c>
      <c r="M1039" s="9">
        <v>2022</v>
      </c>
      <c r="N1039" s="9" t="s">
        <v>736</v>
      </c>
      <c r="O1039" s="10" t="s">
        <v>737</v>
      </c>
      <c r="P1039" s="9" t="s">
        <v>738</v>
      </c>
      <c r="Q1039" s="9" t="s">
        <v>264</v>
      </c>
      <c r="R1039" s="9" t="s">
        <v>1344</v>
      </c>
      <c r="S1039" s="9" t="s">
        <v>2376</v>
      </c>
    </row>
    <row r="1040" spans="2:19" x14ac:dyDescent="0.35">
      <c r="B1040" s="18" t="s">
        <v>800</v>
      </c>
      <c r="C1040" s="9" t="s">
        <v>803</v>
      </c>
      <c r="D1040" s="9" t="s">
        <v>799</v>
      </c>
      <c r="E1040" s="9" t="s">
        <v>39</v>
      </c>
      <c r="F1040" s="17">
        <v>0.1384</v>
      </c>
      <c r="G1040" s="17"/>
      <c r="H1040" s="17"/>
      <c r="I1040" s="17"/>
      <c r="J1040" s="17">
        <v>0.1384</v>
      </c>
      <c r="K1040" s="9" t="s">
        <v>1343</v>
      </c>
      <c r="L1040" s="9" t="s">
        <v>804</v>
      </c>
      <c r="M1040" s="9">
        <v>2023</v>
      </c>
      <c r="N1040" s="9" t="s">
        <v>736</v>
      </c>
      <c r="O1040" s="10" t="s">
        <v>737</v>
      </c>
      <c r="P1040" s="9" t="s">
        <v>738</v>
      </c>
      <c r="Q1040" s="9" t="s">
        <v>264</v>
      </c>
      <c r="R1040" s="9" t="s">
        <v>1344</v>
      </c>
      <c r="S1040" s="9" t="s">
        <v>2377</v>
      </c>
    </row>
    <row r="1041" spans="2:19" x14ac:dyDescent="0.35">
      <c r="B1041" s="18" t="s">
        <v>258</v>
      </c>
      <c r="C1041" s="9" t="s">
        <v>259</v>
      </c>
      <c r="D1041" s="9" t="s">
        <v>799</v>
      </c>
      <c r="E1041" s="9" t="s">
        <v>39</v>
      </c>
      <c r="F1041" s="17">
        <v>0.40179999999999999</v>
      </c>
      <c r="G1041" s="17">
        <v>0.40139999999999998</v>
      </c>
      <c r="H1041" s="17">
        <v>2.0000000000000001E-4</v>
      </c>
      <c r="I1041" s="17">
        <v>2.0000000000000001E-4</v>
      </c>
      <c r="J1041" s="17">
        <v>0</v>
      </c>
      <c r="K1041" s="9" t="s">
        <v>1343</v>
      </c>
      <c r="L1041" s="9" t="s">
        <v>260</v>
      </c>
      <c r="M1041" s="9">
        <v>2023</v>
      </c>
      <c r="N1041" s="9" t="s">
        <v>700</v>
      </c>
      <c r="O1041" s="10" t="s">
        <v>701</v>
      </c>
      <c r="P1041" s="9" t="s">
        <v>702</v>
      </c>
      <c r="Q1041" s="9" t="s">
        <v>264</v>
      </c>
      <c r="R1041" s="9" t="s">
        <v>1344</v>
      </c>
      <c r="S1041" s="9" t="s">
        <v>2378</v>
      </c>
    </row>
    <row r="1042" spans="2:19" x14ac:dyDescent="0.35">
      <c r="B1042" s="18" t="s">
        <v>258</v>
      </c>
      <c r="C1042" s="9" t="s">
        <v>259</v>
      </c>
      <c r="D1042" s="9" t="s">
        <v>799</v>
      </c>
      <c r="E1042" s="9" t="s">
        <v>39</v>
      </c>
      <c r="F1042" s="17">
        <v>0.4083</v>
      </c>
      <c r="G1042" s="17">
        <v>0.40789999999999998</v>
      </c>
      <c r="H1042" s="17">
        <v>2.0000000000000001E-4</v>
      </c>
      <c r="I1042" s="17">
        <v>2.0000000000000001E-4</v>
      </c>
      <c r="J1042" s="17">
        <v>0</v>
      </c>
      <c r="K1042" s="9" t="s">
        <v>1343</v>
      </c>
      <c r="L1042" s="9" t="s">
        <v>260</v>
      </c>
      <c r="M1042" s="9">
        <v>2022</v>
      </c>
      <c r="N1042" s="9" t="s">
        <v>700</v>
      </c>
      <c r="O1042" s="10" t="s">
        <v>701</v>
      </c>
      <c r="P1042" s="9" t="s">
        <v>702</v>
      </c>
      <c r="Q1042" s="9" t="s">
        <v>264</v>
      </c>
      <c r="R1042" s="9" t="s">
        <v>1344</v>
      </c>
      <c r="S1042" s="9" t="s">
        <v>2379</v>
      </c>
    </row>
    <row r="1043" spans="2:19" x14ac:dyDescent="0.35">
      <c r="B1043" s="18" t="s">
        <v>800</v>
      </c>
      <c r="C1043" s="9" t="s">
        <v>801</v>
      </c>
      <c r="D1043" s="9" t="s">
        <v>799</v>
      </c>
      <c r="E1043" s="9" t="s">
        <v>39</v>
      </c>
      <c r="F1043" s="17">
        <v>7.8200000000000006E-2</v>
      </c>
      <c r="G1043" s="17"/>
      <c r="H1043" s="17"/>
      <c r="I1043" s="17"/>
      <c r="J1043" s="17">
        <v>7.8200000000000006E-2</v>
      </c>
      <c r="K1043" s="9" t="s">
        <v>1343</v>
      </c>
      <c r="L1043" s="9" t="s">
        <v>802</v>
      </c>
      <c r="M1043" s="9">
        <v>2023</v>
      </c>
      <c r="N1043" s="9" t="s">
        <v>700</v>
      </c>
      <c r="O1043" s="10" t="s">
        <v>701</v>
      </c>
      <c r="P1043" s="9" t="s">
        <v>702</v>
      </c>
      <c r="Q1043" s="9" t="s">
        <v>264</v>
      </c>
      <c r="R1043" s="9" t="s">
        <v>1344</v>
      </c>
      <c r="S1043" s="9" t="s">
        <v>2380</v>
      </c>
    </row>
    <row r="1044" spans="2:19" x14ac:dyDescent="0.35">
      <c r="B1044" s="18" t="s">
        <v>800</v>
      </c>
      <c r="C1044" s="9" t="s">
        <v>801</v>
      </c>
      <c r="D1044" s="9" t="s">
        <v>799</v>
      </c>
      <c r="E1044" s="9" t="s">
        <v>39</v>
      </c>
      <c r="F1044" s="17">
        <v>9.3600000000000003E-2</v>
      </c>
      <c r="G1044" s="17"/>
      <c r="H1044" s="17"/>
      <c r="I1044" s="17"/>
      <c r="J1044" s="17">
        <v>9.3600000000000003E-2</v>
      </c>
      <c r="K1044" s="9" t="s">
        <v>1343</v>
      </c>
      <c r="L1044" s="9" t="s">
        <v>802</v>
      </c>
      <c r="M1044" s="9">
        <v>2022</v>
      </c>
      <c r="N1044" s="9" t="s">
        <v>700</v>
      </c>
      <c r="O1044" s="10" t="s">
        <v>701</v>
      </c>
      <c r="P1044" s="9" t="s">
        <v>702</v>
      </c>
      <c r="Q1044" s="9" t="s">
        <v>264</v>
      </c>
      <c r="R1044" s="9" t="s">
        <v>1344</v>
      </c>
      <c r="S1044" s="9" t="s">
        <v>2381</v>
      </c>
    </row>
    <row r="1045" spans="2:19" x14ac:dyDescent="0.35">
      <c r="B1045" s="18" t="s">
        <v>800</v>
      </c>
      <c r="C1045" s="9" t="s">
        <v>803</v>
      </c>
      <c r="D1045" s="9" t="s">
        <v>799</v>
      </c>
      <c r="E1045" s="9" t="s">
        <v>39</v>
      </c>
      <c r="F1045" s="17">
        <v>6.7199999999999996E-2</v>
      </c>
      <c r="G1045" s="17"/>
      <c r="H1045" s="17"/>
      <c r="I1045" s="17"/>
      <c r="J1045" s="17">
        <v>6.7199999999999996E-2</v>
      </c>
      <c r="K1045" s="9" t="s">
        <v>1343</v>
      </c>
      <c r="L1045" s="9" t="s">
        <v>804</v>
      </c>
      <c r="M1045" s="9">
        <v>2023</v>
      </c>
      <c r="N1045" s="9" t="s">
        <v>700</v>
      </c>
      <c r="O1045" s="10" t="s">
        <v>701</v>
      </c>
      <c r="P1045" s="9" t="s">
        <v>702</v>
      </c>
      <c r="Q1045" s="9" t="s">
        <v>264</v>
      </c>
      <c r="R1045" s="9" t="s">
        <v>1344</v>
      </c>
      <c r="S1045" s="9" t="s">
        <v>2382</v>
      </c>
    </row>
    <row r="1046" spans="2:19" x14ac:dyDescent="0.35">
      <c r="B1046" s="18" t="s">
        <v>800</v>
      </c>
      <c r="C1046" s="9" t="s">
        <v>803</v>
      </c>
      <c r="D1046" s="9" t="s">
        <v>799</v>
      </c>
      <c r="E1046" s="9" t="s">
        <v>39</v>
      </c>
      <c r="F1046" s="17">
        <v>6.7900000000000002E-2</v>
      </c>
      <c r="G1046" s="17"/>
      <c r="H1046" s="17"/>
      <c r="I1046" s="17"/>
      <c r="J1046" s="17">
        <v>6.7900000000000002E-2</v>
      </c>
      <c r="K1046" s="9" t="s">
        <v>1343</v>
      </c>
      <c r="L1046" s="9" t="s">
        <v>804</v>
      </c>
      <c r="M1046" s="9">
        <v>2022</v>
      </c>
      <c r="N1046" s="9" t="s">
        <v>700</v>
      </c>
      <c r="O1046" s="10" t="s">
        <v>701</v>
      </c>
      <c r="P1046" s="9" t="s">
        <v>702</v>
      </c>
      <c r="Q1046" s="9" t="s">
        <v>264</v>
      </c>
      <c r="R1046" s="9" t="s">
        <v>1344</v>
      </c>
      <c r="S1046" s="9" t="s">
        <v>2383</v>
      </c>
    </row>
    <row r="1047" spans="2:19" x14ac:dyDescent="0.35">
      <c r="B1047" s="18" t="s">
        <v>258</v>
      </c>
      <c r="C1047" s="9" t="s">
        <v>259</v>
      </c>
      <c r="D1047" s="9" t="s">
        <v>799</v>
      </c>
      <c r="E1047" s="9" t="s">
        <v>39</v>
      </c>
      <c r="F1047" s="17">
        <v>0.39739999999999998</v>
      </c>
      <c r="G1047" s="17">
        <v>0.39550000000000002</v>
      </c>
      <c r="H1047" s="17">
        <v>2.9999999999999997E-4</v>
      </c>
      <c r="I1047" s="17">
        <v>1.6000000000000001E-3</v>
      </c>
      <c r="J1047" s="17">
        <v>0</v>
      </c>
      <c r="K1047" s="9" t="s">
        <v>1343</v>
      </c>
      <c r="L1047" s="9" t="s">
        <v>260</v>
      </c>
      <c r="M1047" s="9">
        <v>2024</v>
      </c>
      <c r="N1047" s="9" t="s">
        <v>396</v>
      </c>
      <c r="O1047" s="10" t="s">
        <v>397</v>
      </c>
      <c r="P1047" s="9" t="s">
        <v>398</v>
      </c>
      <c r="Q1047" s="9" t="s">
        <v>264</v>
      </c>
      <c r="R1047" s="9" t="s">
        <v>1344</v>
      </c>
      <c r="S1047" s="9" t="s">
        <v>2384</v>
      </c>
    </row>
    <row r="1048" spans="2:19" x14ac:dyDescent="0.35">
      <c r="B1048" s="18" t="s">
        <v>258</v>
      </c>
      <c r="C1048" s="9" t="s">
        <v>259</v>
      </c>
      <c r="D1048" s="9" t="s">
        <v>799</v>
      </c>
      <c r="E1048" s="9" t="s">
        <v>39</v>
      </c>
      <c r="F1048" s="17">
        <v>0.41610000000000003</v>
      </c>
      <c r="G1048" s="17">
        <v>0.41420000000000001</v>
      </c>
      <c r="H1048" s="17">
        <v>2.9999999999999997E-4</v>
      </c>
      <c r="I1048" s="17">
        <v>1.6000000000000001E-3</v>
      </c>
      <c r="J1048" s="17">
        <v>0</v>
      </c>
      <c r="K1048" s="9" t="s">
        <v>1343</v>
      </c>
      <c r="L1048" s="9" t="s">
        <v>260</v>
      </c>
      <c r="M1048" s="9">
        <v>2023</v>
      </c>
      <c r="N1048" s="9" t="s">
        <v>396</v>
      </c>
      <c r="O1048" s="10" t="s">
        <v>397</v>
      </c>
      <c r="P1048" s="9" t="s">
        <v>398</v>
      </c>
      <c r="Q1048" s="9" t="s">
        <v>264</v>
      </c>
      <c r="R1048" s="9" t="s">
        <v>1344</v>
      </c>
      <c r="S1048" s="9" t="s">
        <v>2385</v>
      </c>
    </row>
    <row r="1049" spans="2:19" x14ac:dyDescent="0.35">
      <c r="B1049" s="18" t="s">
        <v>258</v>
      </c>
      <c r="C1049" s="9" t="s">
        <v>259</v>
      </c>
      <c r="D1049" s="9" t="s">
        <v>799</v>
      </c>
      <c r="E1049" s="9" t="s">
        <v>39</v>
      </c>
      <c r="F1049" s="17">
        <v>0.42270000000000002</v>
      </c>
      <c r="G1049" s="17">
        <v>0.4209</v>
      </c>
      <c r="H1049" s="17">
        <v>2.9999999999999997E-4</v>
      </c>
      <c r="I1049" s="17">
        <v>1.5E-3</v>
      </c>
      <c r="J1049" s="17">
        <v>0</v>
      </c>
      <c r="K1049" s="9" t="s">
        <v>1343</v>
      </c>
      <c r="L1049" s="9" t="s">
        <v>260</v>
      </c>
      <c r="M1049" s="9">
        <v>2022</v>
      </c>
      <c r="N1049" s="9" t="s">
        <v>396</v>
      </c>
      <c r="O1049" s="10" t="s">
        <v>397</v>
      </c>
      <c r="P1049" s="9" t="s">
        <v>398</v>
      </c>
      <c r="Q1049" s="9" t="s">
        <v>264</v>
      </c>
      <c r="R1049" s="9" t="s">
        <v>1344</v>
      </c>
      <c r="S1049" s="9" t="s">
        <v>2386</v>
      </c>
    </row>
    <row r="1050" spans="2:19" x14ac:dyDescent="0.35">
      <c r="B1050" s="18" t="s">
        <v>800</v>
      </c>
      <c r="C1050" s="9" t="s">
        <v>801</v>
      </c>
      <c r="D1050" s="9" t="s">
        <v>799</v>
      </c>
      <c r="E1050" s="9" t="s">
        <v>39</v>
      </c>
      <c r="F1050" s="17">
        <v>4.53E-2</v>
      </c>
      <c r="G1050" s="17"/>
      <c r="H1050" s="17"/>
      <c r="I1050" s="17"/>
      <c r="J1050" s="17">
        <v>4.53E-2</v>
      </c>
      <c r="K1050" s="9" t="s">
        <v>1343</v>
      </c>
      <c r="L1050" s="9" t="s">
        <v>802</v>
      </c>
      <c r="M1050" s="9">
        <v>2022</v>
      </c>
      <c r="N1050" s="9" t="s">
        <v>396</v>
      </c>
      <c r="O1050" s="10" t="s">
        <v>397</v>
      </c>
      <c r="P1050" s="9" t="s">
        <v>398</v>
      </c>
      <c r="Q1050" s="9" t="s">
        <v>264</v>
      </c>
      <c r="R1050" s="9" t="s">
        <v>1344</v>
      </c>
      <c r="S1050" s="9" t="s">
        <v>2387</v>
      </c>
    </row>
    <row r="1051" spans="2:19" x14ac:dyDescent="0.35">
      <c r="B1051" s="18" t="s">
        <v>800</v>
      </c>
      <c r="C1051" s="9" t="s">
        <v>801</v>
      </c>
      <c r="D1051" s="9" t="s">
        <v>799</v>
      </c>
      <c r="E1051" s="9" t="s">
        <v>39</v>
      </c>
      <c r="F1051" s="17">
        <v>4.5499999999999999E-2</v>
      </c>
      <c r="G1051" s="17"/>
      <c r="H1051" s="17"/>
      <c r="I1051" s="17"/>
      <c r="J1051" s="17">
        <v>4.5499999999999999E-2</v>
      </c>
      <c r="K1051" s="9" t="s">
        <v>1343</v>
      </c>
      <c r="L1051" s="9" t="s">
        <v>802</v>
      </c>
      <c r="M1051" s="9">
        <v>2023</v>
      </c>
      <c r="N1051" s="9" t="s">
        <v>396</v>
      </c>
      <c r="O1051" s="10" t="s">
        <v>397</v>
      </c>
      <c r="P1051" s="9" t="s">
        <v>398</v>
      </c>
      <c r="Q1051" s="9" t="s">
        <v>264</v>
      </c>
      <c r="R1051" s="9" t="s">
        <v>1344</v>
      </c>
      <c r="S1051" s="9" t="s">
        <v>2388</v>
      </c>
    </row>
    <row r="1052" spans="2:19" x14ac:dyDescent="0.35">
      <c r="B1052" s="18" t="s">
        <v>800</v>
      </c>
      <c r="C1052" s="9" t="s">
        <v>803</v>
      </c>
      <c r="D1052" s="9" t="s">
        <v>799</v>
      </c>
      <c r="E1052" s="9" t="s">
        <v>39</v>
      </c>
      <c r="F1052" s="17">
        <v>7.3499999999999996E-2</v>
      </c>
      <c r="G1052" s="17"/>
      <c r="H1052" s="17"/>
      <c r="I1052" s="17"/>
      <c r="J1052" s="17">
        <v>7.3499999999999996E-2</v>
      </c>
      <c r="K1052" s="9" t="s">
        <v>1343</v>
      </c>
      <c r="L1052" s="9" t="s">
        <v>804</v>
      </c>
      <c r="M1052" s="9">
        <v>2024</v>
      </c>
      <c r="N1052" s="9" t="s">
        <v>396</v>
      </c>
      <c r="O1052" s="10" t="s">
        <v>397</v>
      </c>
      <c r="P1052" s="9" t="s">
        <v>398</v>
      </c>
      <c r="Q1052" s="9" t="s">
        <v>264</v>
      </c>
      <c r="R1052" s="9" t="s">
        <v>1344</v>
      </c>
      <c r="S1052" s="9" t="s">
        <v>2389</v>
      </c>
    </row>
    <row r="1053" spans="2:19" x14ac:dyDescent="0.35">
      <c r="B1053" s="18" t="s">
        <v>800</v>
      </c>
      <c r="C1053" s="9" t="s">
        <v>803</v>
      </c>
      <c r="D1053" s="9" t="s">
        <v>799</v>
      </c>
      <c r="E1053" s="9" t="s">
        <v>39</v>
      </c>
      <c r="F1053" s="17">
        <v>7.51E-2</v>
      </c>
      <c r="G1053" s="17"/>
      <c r="H1053" s="17"/>
      <c r="I1053" s="17"/>
      <c r="J1053" s="17">
        <v>7.51E-2</v>
      </c>
      <c r="K1053" s="9" t="s">
        <v>1343</v>
      </c>
      <c r="L1053" s="9" t="s">
        <v>804</v>
      </c>
      <c r="M1053" s="9">
        <v>2022</v>
      </c>
      <c r="N1053" s="9" t="s">
        <v>396</v>
      </c>
      <c r="O1053" s="10" t="s">
        <v>397</v>
      </c>
      <c r="P1053" s="9" t="s">
        <v>398</v>
      </c>
      <c r="Q1053" s="9" t="s">
        <v>264</v>
      </c>
      <c r="R1053" s="9" t="s">
        <v>1344</v>
      </c>
      <c r="S1053" s="9" t="s">
        <v>2390</v>
      </c>
    </row>
    <row r="1054" spans="2:19" x14ac:dyDescent="0.35">
      <c r="B1054" s="18" t="s">
        <v>800</v>
      </c>
      <c r="C1054" s="9" t="s">
        <v>803</v>
      </c>
      <c r="D1054" s="9" t="s">
        <v>799</v>
      </c>
      <c r="E1054" s="9" t="s">
        <v>39</v>
      </c>
      <c r="F1054" s="17">
        <v>7.7600000000000002E-2</v>
      </c>
      <c r="G1054" s="17"/>
      <c r="H1054" s="17"/>
      <c r="I1054" s="17"/>
      <c r="J1054" s="17">
        <v>7.7600000000000002E-2</v>
      </c>
      <c r="K1054" s="9" t="s">
        <v>1343</v>
      </c>
      <c r="L1054" s="9" t="s">
        <v>804</v>
      </c>
      <c r="M1054" s="9">
        <v>2023</v>
      </c>
      <c r="N1054" s="9" t="s">
        <v>396</v>
      </c>
      <c r="O1054" s="10" t="s">
        <v>397</v>
      </c>
      <c r="P1054" s="9" t="s">
        <v>398</v>
      </c>
      <c r="Q1054" s="9" t="s">
        <v>264</v>
      </c>
      <c r="R1054" s="9" t="s">
        <v>1344</v>
      </c>
      <c r="S1054" s="9" t="s">
        <v>2391</v>
      </c>
    </row>
    <row r="1055" spans="2:19" x14ac:dyDescent="0.35">
      <c r="B1055" s="18" t="s">
        <v>258</v>
      </c>
      <c r="C1055" s="9" t="s">
        <v>259</v>
      </c>
      <c r="D1055" s="9" t="s">
        <v>799</v>
      </c>
      <c r="E1055" s="9" t="s">
        <v>39</v>
      </c>
      <c r="F1055" s="17">
        <v>0.6542</v>
      </c>
      <c r="G1055" s="17">
        <v>0.65359999999999996</v>
      </c>
      <c r="H1055" s="17">
        <v>2.9999999999999997E-4</v>
      </c>
      <c r="I1055" s="17">
        <v>2.9999999999999997E-4</v>
      </c>
      <c r="J1055" s="17">
        <v>0</v>
      </c>
      <c r="K1055" s="9" t="s">
        <v>1343</v>
      </c>
      <c r="L1055" s="9" t="s">
        <v>260</v>
      </c>
      <c r="M1055" s="9">
        <v>2022</v>
      </c>
      <c r="N1055" s="9" t="s">
        <v>751</v>
      </c>
      <c r="O1055" s="10" t="s">
        <v>752</v>
      </c>
      <c r="P1055" s="9" t="s">
        <v>753</v>
      </c>
      <c r="Q1055" s="9" t="s">
        <v>264</v>
      </c>
      <c r="R1055" s="9" t="s">
        <v>1344</v>
      </c>
      <c r="S1055" s="9" t="s">
        <v>2392</v>
      </c>
    </row>
    <row r="1056" spans="2:19" x14ac:dyDescent="0.35">
      <c r="B1056" s="18" t="s">
        <v>258</v>
      </c>
      <c r="C1056" s="9" t="s">
        <v>259</v>
      </c>
      <c r="D1056" s="9" t="s">
        <v>799</v>
      </c>
      <c r="E1056" s="9" t="s">
        <v>39</v>
      </c>
      <c r="F1056" s="17">
        <v>0.67700000000000005</v>
      </c>
      <c r="G1056" s="17">
        <v>0.6764</v>
      </c>
      <c r="H1056" s="17">
        <v>2.9999999999999997E-4</v>
      </c>
      <c r="I1056" s="17">
        <v>2.9999999999999997E-4</v>
      </c>
      <c r="J1056" s="17">
        <v>0</v>
      </c>
      <c r="K1056" s="9" t="s">
        <v>1343</v>
      </c>
      <c r="L1056" s="9" t="s">
        <v>260</v>
      </c>
      <c r="M1056" s="9">
        <v>2023</v>
      </c>
      <c r="N1056" s="9" t="s">
        <v>751</v>
      </c>
      <c r="O1056" s="10" t="s">
        <v>752</v>
      </c>
      <c r="P1056" s="9" t="s">
        <v>753</v>
      </c>
      <c r="Q1056" s="9" t="s">
        <v>264</v>
      </c>
      <c r="R1056" s="9" t="s">
        <v>1344</v>
      </c>
      <c r="S1056" s="9" t="s">
        <v>2393</v>
      </c>
    </row>
    <row r="1057" spans="2:19" x14ac:dyDescent="0.35">
      <c r="B1057" s="18" t="s">
        <v>800</v>
      </c>
      <c r="C1057" s="9" t="s">
        <v>801</v>
      </c>
      <c r="D1057" s="9" t="s">
        <v>799</v>
      </c>
      <c r="E1057" s="9" t="s">
        <v>39</v>
      </c>
      <c r="F1057" s="17">
        <v>8.6099999999999996E-2</v>
      </c>
      <c r="G1057" s="17"/>
      <c r="H1057" s="17"/>
      <c r="I1057" s="17"/>
      <c r="J1057" s="17">
        <v>8.6099999999999996E-2</v>
      </c>
      <c r="K1057" s="9" t="s">
        <v>1343</v>
      </c>
      <c r="L1057" s="9" t="s">
        <v>802</v>
      </c>
      <c r="M1057" s="9">
        <v>2022</v>
      </c>
      <c r="N1057" s="9" t="s">
        <v>751</v>
      </c>
      <c r="O1057" s="10" t="s">
        <v>752</v>
      </c>
      <c r="P1057" s="9" t="s">
        <v>753</v>
      </c>
      <c r="Q1057" s="9" t="s">
        <v>264</v>
      </c>
      <c r="R1057" s="9" t="s">
        <v>1344</v>
      </c>
      <c r="S1057" s="9" t="s">
        <v>2394</v>
      </c>
    </row>
    <row r="1058" spans="2:19" x14ac:dyDescent="0.35">
      <c r="B1058" s="18" t="s">
        <v>800</v>
      </c>
      <c r="C1058" s="9" t="s">
        <v>801</v>
      </c>
      <c r="D1058" s="9" t="s">
        <v>799</v>
      </c>
      <c r="E1058" s="9" t="s">
        <v>39</v>
      </c>
      <c r="F1058" s="17">
        <v>8.9099999999999999E-2</v>
      </c>
      <c r="G1058" s="17"/>
      <c r="H1058" s="17"/>
      <c r="I1058" s="17"/>
      <c r="J1058" s="17">
        <v>8.9099999999999999E-2</v>
      </c>
      <c r="K1058" s="9" t="s">
        <v>1343</v>
      </c>
      <c r="L1058" s="9" t="s">
        <v>802</v>
      </c>
      <c r="M1058" s="9">
        <v>2023</v>
      </c>
      <c r="N1058" s="9" t="s">
        <v>751</v>
      </c>
      <c r="O1058" s="10" t="s">
        <v>752</v>
      </c>
      <c r="P1058" s="9" t="s">
        <v>753</v>
      </c>
      <c r="Q1058" s="9" t="s">
        <v>264</v>
      </c>
      <c r="R1058" s="9" t="s">
        <v>1344</v>
      </c>
      <c r="S1058" s="9" t="s">
        <v>2395</v>
      </c>
    </row>
    <row r="1059" spans="2:19" x14ac:dyDescent="0.35">
      <c r="B1059" s="18" t="s">
        <v>800</v>
      </c>
      <c r="C1059" s="9" t="s">
        <v>803</v>
      </c>
      <c r="D1059" s="9" t="s">
        <v>799</v>
      </c>
      <c r="E1059" s="9" t="s">
        <v>39</v>
      </c>
      <c r="F1059" s="17">
        <v>0.1711</v>
      </c>
      <c r="G1059" s="17"/>
      <c r="H1059" s="17"/>
      <c r="I1059" s="17"/>
      <c r="J1059" s="17">
        <v>0.1711</v>
      </c>
      <c r="K1059" s="9" t="s">
        <v>1343</v>
      </c>
      <c r="L1059" s="9" t="s">
        <v>804</v>
      </c>
      <c r="M1059" s="9">
        <v>2022</v>
      </c>
      <c r="N1059" s="9" t="s">
        <v>751</v>
      </c>
      <c r="O1059" s="10" t="s">
        <v>752</v>
      </c>
      <c r="P1059" s="9" t="s">
        <v>753</v>
      </c>
      <c r="Q1059" s="9" t="s">
        <v>264</v>
      </c>
      <c r="R1059" s="9" t="s">
        <v>1344</v>
      </c>
      <c r="S1059" s="9" t="s">
        <v>2396</v>
      </c>
    </row>
    <row r="1060" spans="2:19" x14ac:dyDescent="0.35">
      <c r="B1060" s="18" t="s">
        <v>800</v>
      </c>
      <c r="C1060" s="9" t="s">
        <v>803</v>
      </c>
      <c r="D1060" s="9" t="s">
        <v>799</v>
      </c>
      <c r="E1060" s="9" t="s">
        <v>39</v>
      </c>
      <c r="F1060" s="17">
        <v>0.17710000000000001</v>
      </c>
      <c r="G1060" s="17"/>
      <c r="H1060" s="17"/>
      <c r="I1060" s="17"/>
      <c r="J1060" s="17">
        <v>0.17710000000000001</v>
      </c>
      <c r="K1060" s="9" t="s">
        <v>1343</v>
      </c>
      <c r="L1060" s="9" t="s">
        <v>804</v>
      </c>
      <c r="M1060" s="9">
        <v>2023</v>
      </c>
      <c r="N1060" s="9" t="s">
        <v>751</v>
      </c>
      <c r="O1060" s="10" t="s">
        <v>752</v>
      </c>
      <c r="P1060" s="9" t="s">
        <v>753</v>
      </c>
      <c r="Q1060" s="9" t="s">
        <v>264</v>
      </c>
      <c r="R1060" s="9" t="s">
        <v>1344</v>
      </c>
      <c r="S1060" s="9" t="s">
        <v>2397</v>
      </c>
    </row>
    <row r="1061" spans="2:19" x14ac:dyDescent="0.35">
      <c r="B1061" s="18" t="s">
        <v>258</v>
      </c>
      <c r="C1061" s="9" t="s">
        <v>259</v>
      </c>
      <c r="D1061" s="9" t="s">
        <v>799</v>
      </c>
      <c r="E1061" s="9" t="s">
        <v>39</v>
      </c>
      <c r="F1061" s="17">
        <v>2.1299999999999999E-2</v>
      </c>
      <c r="G1061" s="17">
        <v>2.1299999999999999E-2</v>
      </c>
      <c r="H1061" s="17"/>
      <c r="I1061" s="17"/>
      <c r="J1061" s="17">
        <v>0</v>
      </c>
      <c r="K1061" s="9" t="s">
        <v>1343</v>
      </c>
      <c r="L1061" s="9" t="s">
        <v>260</v>
      </c>
      <c r="M1061" s="9">
        <v>2022</v>
      </c>
      <c r="N1061" s="9" t="s">
        <v>499</v>
      </c>
      <c r="O1061" s="10" t="s">
        <v>500</v>
      </c>
      <c r="P1061" s="9" t="s">
        <v>501</v>
      </c>
      <c r="Q1061" s="9" t="s">
        <v>264</v>
      </c>
      <c r="R1061" s="9" t="s">
        <v>1344</v>
      </c>
      <c r="S1061" s="9" t="s">
        <v>2398</v>
      </c>
    </row>
    <row r="1062" spans="2:19" x14ac:dyDescent="0.35">
      <c r="B1062" s="18" t="s">
        <v>258</v>
      </c>
      <c r="C1062" s="9" t="s">
        <v>259</v>
      </c>
      <c r="D1062" s="9" t="s">
        <v>799</v>
      </c>
      <c r="E1062" s="9" t="s">
        <v>39</v>
      </c>
      <c r="F1062" s="17">
        <v>2.5499999999999998E-2</v>
      </c>
      <c r="G1062" s="17">
        <v>2.5399999999999999E-2</v>
      </c>
      <c r="H1062" s="17"/>
      <c r="I1062" s="17">
        <v>1E-4</v>
      </c>
      <c r="J1062" s="17">
        <v>0</v>
      </c>
      <c r="K1062" s="9" t="s">
        <v>1343</v>
      </c>
      <c r="L1062" s="9" t="s">
        <v>260</v>
      </c>
      <c r="M1062" s="9">
        <v>2023</v>
      </c>
      <c r="N1062" s="9" t="s">
        <v>499</v>
      </c>
      <c r="O1062" s="10" t="s">
        <v>500</v>
      </c>
      <c r="P1062" s="9" t="s">
        <v>501</v>
      </c>
      <c r="Q1062" s="9" t="s">
        <v>264</v>
      </c>
      <c r="R1062" s="9" t="s">
        <v>1344</v>
      </c>
      <c r="S1062" s="9" t="s">
        <v>2399</v>
      </c>
    </row>
    <row r="1063" spans="2:19" x14ac:dyDescent="0.35">
      <c r="B1063" s="18" t="s">
        <v>800</v>
      </c>
      <c r="C1063" s="9" t="s">
        <v>801</v>
      </c>
      <c r="D1063" s="9" t="s">
        <v>799</v>
      </c>
      <c r="E1063" s="9" t="s">
        <v>39</v>
      </c>
      <c r="F1063" s="17">
        <v>6.8999999999999999E-3</v>
      </c>
      <c r="G1063" s="17"/>
      <c r="H1063" s="17"/>
      <c r="I1063" s="17"/>
      <c r="J1063" s="17">
        <v>6.8999999999999999E-3</v>
      </c>
      <c r="K1063" s="9" t="s">
        <v>1343</v>
      </c>
      <c r="L1063" s="9" t="s">
        <v>802</v>
      </c>
      <c r="M1063" s="9">
        <v>2022</v>
      </c>
      <c r="N1063" s="9" t="s">
        <v>499</v>
      </c>
      <c r="O1063" s="10" t="s">
        <v>500</v>
      </c>
      <c r="P1063" s="9" t="s">
        <v>501</v>
      </c>
      <c r="Q1063" s="9" t="s">
        <v>264</v>
      </c>
      <c r="R1063" s="9" t="s">
        <v>1344</v>
      </c>
      <c r="S1063" s="9" t="s">
        <v>2400</v>
      </c>
    </row>
    <row r="1064" spans="2:19" x14ac:dyDescent="0.35">
      <c r="B1064" s="18" t="s">
        <v>800</v>
      </c>
      <c r="C1064" s="9" t="s">
        <v>801</v>
      </c>
      <c r="D1064" s="9" t="s">
        <v>799</v>
      </c>
      <c r="E1064" s="9" t="s">
        <v>39</v>
      </c>
      <c r="F1064" s="17">
        <v>7.4000000000000003E-3</v>
      </c>
      <c r="G1064" s="17"/>
      <c r="H1064" s="17"/>
      <c r="I1064" s="17"/>
      <c r="J1064" s="17">
        <v>7.4000000000000003E-3</v>
      </c>
      <c r="K1064" s="9" t="s">
        <v>1343</v>
      </c>
      <c r="L1064" s="9" t="s">
        <v>802</v>
      </c>
      <c r="M1064" s="9">
        <v>2023</v>
      </c>
      <c r="N1064" s="9" t="s">
        <v>499</v>
      </c>
      <c r="O1064" s="10" t="s">
        <v>500</v>
      </c>
      <c r="P1064" s="9" t="s">
        <v>501</v>
      </c>
      <c r="Q1064" s="9" t="s">
        <v>264</v>
      </c>
      <c r="R1064" s="9" t="s">
        <v>1344</v>
      </c>
      <c r="S1064" s="9" t="s">
        <v>2401</v>
      </c>
    </row>
    <row r="1065" spans="2:19" x14ac:dyDescent="0.35">
      <c r="B1065" s="18" t="s">
        <v>800</v>
      </c>
      <c r="C1065" s="9" t="s">
        <v>803</v>
      </c>
      <c r="D1065" s="9" t="s">
        <v>799</v>
      </c>
      <c r="E1065" s="9" t="s">
        <v>39</v>
      </c>
      <c r="F1065" s="17">
        <v>1.2500000000000001E-2</v>
      </c>
      <c r="G1065" s="17"/>
      <c r="H1065" s="17"/>
      <c r="I1065" s="17"/>
      <c r="J1065" s="17">
        <v>1.2500000000000001E-2</v>
      </c>
      <c r="K1065" s="9" t="s">
        <v>1343</v>
      </c>
      <c r="L1065" s="9" t="s">
        <v>804</v>
      </c>
      <c r="M1065" s="9">
        <v>2023</v>
      </c>
      <c r="N1065" s="9" t="s">
        <v>499</v>
      </c>
      <c r="O1065" s="10" t="s">
        <v>500</v>
      </c>
      <c r="P1065" s="9" t="s">
        <v>501</v>
      </c>
      <c r="Q1065" s="9" t="s">
        <v>264</v>
      </c>
      <c r="R1065" s="9" t="s">
        <v>1344</v>
      </c>
      <c r="S1065" s="9" t="s">
        <v>2402</v>
      </c>
    </row>
    <row r="1066" spans="2:19" x14ac:dyDescent="0.35">
      <c r="B1066" s="18" t="s">
        <v>800</v>
      </c>
      <c r="C1066" s="9" t="s">
        <v>803</v>
      </c>
      <c r="D1066" s="9" t="s">
        <v>799</v>
      </c>
      <c r="E1066" s="9" t="s">
        <v>39</v>
      </c>
      <c r="F1066" s="17">
        <v>1.34E-2</v>
      </c>
      <c r="G1066" s="17"/>
      <c r="H1066" s="17"/>
      <c r="I1066" s="17"/>
      <c r="J1066" s="17">
        <v>1.34E-2</v>
      </c>
      <c r="K1066" s="9" t="s">
        <v>1343</v>
      </c>
      <c r="L1066" s="9" t="s">
        <v>804</v>
      </c>
      <c r="M1066" s="9">
        <v>2022</v>
      </c>
      <c r="N1066" s="9" t="s">
        <v>499</v>
      </c>
      <c r="O1066" s="10" t="s">
        <v>500</v>
      </c>
      <c r="P1066" s="9" t="s">
        <v>501</v>
      </c>
      <c r="Q1066" s="9" t="s">
        <v>264</v>
      </c>
      <c r="R1066" s="9" t="s">
        <v>1344</v>
      </c>
      <c r="S1066" s="9" t="s">
        <v>2403</v>
      </c>
    </row>
    <row r="1067" spans="2:19" x14ac:dyDescent="0.35">
      <c r="B1067" s="18" t="s">
        <v>258</v>
      </c>
      <c r="C1067" s="9" t="s">
        <v>259</v>
      </c>
      <c r="D1067" s="9" t="s">
        <v>799</v>
      </c>
      <c r="E1067" s="9" t="s">
        <v>39</v>
      </c>
      <c r="F1067" s="17">
        <v>0.26219999999999999</v>
      </c>
      <c r="G1067" s="17">
        <v>0.2611</v>
      </c>
      <c r="H1067" s="17">
        <v>1E-4</v>
      </c>
      <c r="I1067" s="17">
        <v>1E-3</v>
      </c>
      <c r="J1067" s="17">
        <v>0</v>
      </c>
      <c r="K1067" s="9" t="s">
        <v>1343</v>
      </c>
      <c r="L1067" s="9" t="s">
        <v>260</v>
      </c>
      <c r="M1067" s="9">
        <v>2024</v>
      </c>
      <c r="N1067" s="9" t="s">
        <v>292</v>
      </c>
      <c r="O1067" s="10" t="s">
        <v>293</v>
      </c>
      <c r="P1067" s="9" t="s">
        <v>294</v>
      </c>
      <c r="Q1067" s="9" t="s">
        <v>264</v>
      </c>
      <c r="R1067" s="9" t="s">
        <v>1344</v>
      </c>
      <c r="S1067" s="9" t="s">
        <v>2404</v>
      </c>
    </row>
    <row r="1068" spans="2:19" x14ac:dyDescent="0.35">
      <c r="B1068" s="18" t="s">
        <v>258</v>
      </c>
      <c r="C1068" s="9" t="s">
        <v>259</v>
      </c>
      <c r="D1068" s="9" t="s">
        <v>799</v>
      </c>
      <c r="E1068" s="9" t="s">
        <v>39</v>
      </c>
      <c r="F1068" s="17">
        <v>0.27079999999999999</v>
      </c>
      <c r="G1068" s="17">
        <v>0.2697</v>
      </c>
      <c r="H1068" s="17">
        <v>1E-4</v>
      </c>
      <c r="I1068" s="17">
        <v>1E-3</v>
      </c>
      <c r="J1068" s="17">
        <v>0</v>
      </c>
      <c r="K1068" s="9" t="s">
        <v>1343</v>
      </c>
      <c r="L1068" s="9" t="s">
        <v>260</v>
      </c>
      <c r="M1068" s="9">
        <v>2022</v>
      </c>
      <c r="N1068" s="9" t="s">
        <v>292</v>
      </c>
      <c r="O1068" s="10" t="s">
        <v>293</v>
      </c>
      <c r="P1068" s="9" t="s">
        <v>294</v>
      </c>
      <c r="Q1068" s="9" t="s">
        <v>264</v>
      </c>
      <c r="R1068" s="9" t="s">
        <v>1344</v>
      </c>
      <c r="S1068" s="9" t="s">
        <v>2405</v>
      </c>
    </row>
    <row r="1069" spans="2:19" x14ac:dyDescent="0.35">
      <c r="B1069" s="18" t="s">
        <v>258</v>
      </c>
      <c r="C1069" s="9" t="s">
        <v>259</v>
      </c>
      <c r="D1069" s="9" t="s">
        <v>799</v>
      </c>
      <c r="E1069" s="9" t="s">
        <v>39</v>
      </c>
      <c r="F1069" s="17">
        <v>0.29010000000000002</v>
      </c>
      <c r="G1069" s="17">
        <v>0.28899999999999998</v>
      </c>
      <c r="H1069" s="17">
        <v>1E-4</v>
      </c>
      <c r="I1069" s="17">
        <v>1E-3</v>
      </c>
      <c r="J1069" s="17">
        <v>0</v>
      </c>
      <c r="K1069" s="9" t="s">
        <v>1343</v>
      </c>
      <c r="L1069" s="9" t="s">
        <v>260</v>
      </c>
      <c r="M1069" s="9">
        <v>2023</v>
      </c>
      <c r="N1069" s="9" t="s">
        <v>292</v>
      </c>
      <c r="O1069" s="10" t="s">
        <v>293</v>
      </c>
      <c r="P1069" s="9" t="s">
        <v>294</v>
      </c>
      <c r="Q1069" s="9" t="s">
        <v>264</v>
      </c>
      <c r="R1069" s="9" t="s">
        <v>1344</v>
      </c>
      <c r="S1069" s="9" t="s">
        <v>2406</v>
      </c>
    </row>
    <row r="1070" spans="2:19" x14ac:dyDescent="0.35">
      <c r="B1070" s="18" t="s">
        <v>800</v>
      </c>
      <c r="C1070" s="9" t="s">
        <v>801</v>
      </c>
      <c r="D1070" s="9" t="s">
        <v>799</v>
      </c>
      <c r="E1070" s="9" t="s">
        <v>39</v>
      </c>
      <c r="F1070" s="17">
        <v>3.49E-2</v>
      </c>
      <c r="G1070" s="17"/>
      <c r="H1070" s="17"/>
      <c r="I1070" s="17"/>
      <c r="J1070" s="17">
        <v>3.49E-2</v>
      </c>
      <c r="K1070" s="9" t="s">
        <v>1343</v>
      </c>
      <c r="L1070" s="9" t="s">
        <v>802</v>
      </c>
      <c r="M1070" s="9">
        <v>2022</v>
      </c>
      <c r="N1070" s="9" t="s">
        <v>292</v>
      </c>
      <c r="O1070" s="10" t="s">
        <v>293</v>
      </c>
      <c r="P1070" s="9" t="s">
        <v>294</v>
      </c>
      <c r="Q1070" s="9" t="s">
        <v>264</v>
      </c>
      <c r="R1070" s="9" t="s">
        <v>1344</v>
      </c>
      <c r="S1070" s="9" t="s">
        <v>2407</v>
      </c>
    </row>
    <row r="1071" spans="2:19" x14ac:dyDescent="0.35">
      <c r="B1071" s="18" t="s">
        <v>800</v>
      </c>
      <c r="C1071" s="9" t="s">
        <v>801</v>
      </c>
      <c r="D1071" s="9" t="s">
        <v>799</v>
      </c>
      <c r="E1071" s="9" t="s">
        <v>39</v>
      </c>
      <c r="F1071" s="17">
        <v>3.8300000000000001E-2</v>
      </c>
      <c r="G1071" s="17"/>
      <c r="H1071" s="17"/>
      <c r="I1071" s="17"/>
      <c r="J1071" s="17">
        <v>3.8300000000000001E-2</v>
      </c>
      <c r="K1071" s="9" t="s">
        <v>1343</v>
      </c>
      <c r="L1071" s="9" t="s">
        <v>802</v>
      </c>
      <c r="M1071" s="9">
        <v>2023</v>
      </c>
      <c r="N1071" s="9" t="s">
        <v>292</v>
      </c>
      <c r="O1071" s="10" t="s">
        <v>293</v>
      </c>
      <c r="P1071" s="9" t="s">
        <v>294</v>
      </c>
      <c r="Q1071" s="9" t="s">
        <v>264</v>
      </c>
      <c r="R1071" s="9" t="s">
        <v>1344</v>
      </c>
      <c r="S1071" s="9" t="s">
        <v>2408</v>
      </c>
    </row>
    <row r="1072" spans="2:19" x14ac:dyDescent="0.35">
      <c r="B1072" s="18" t="s">
        <v>800</v>
      </c>
      <c r="C1072" s="9" t="s">
        <v>803</v>
      </c>
      <c r="D1072" s="9" t="s">
        <v>799</v>
      </c>
      <c r="E1072" s="9" t="s">
        <v>39</v>
      </c>
      <c r="F1072" s="17">
        <v>5.1900000000000002E-2</v>
      </c>
      <c r="G1072" s="17"/>
      <c r="H1072" s="17"/>
      <c r="I1072" s="17"/>
      <c r="J1072" s="17">
        <v>5.1900000000000002E-2</v>
      </c>
      <c r="K1072" s="9" t="s">
        <v>1343</v>
      </c>
      <c r="L1072" s="9" t="s">
        <v>804</v>
      </c>
      <c r="M1072" s="9">
        <v>2022</v>
      </c>
      <c r="N1072" s="9" t="s">
        <v>292</v>
      </c>
      <c r="O1072" s="10" t="s">
        <v>293</v>
      </c>
      <c r="P1072" s="9" t="s">
        <v>294</v>
      </c>
      <c r="Q1072" s="9" t="s">
        <v>264</v>
      </c>
      <c r="R1072" s="9" t="s">
        <v>1344</v>
      </c>
      <c r="S1072" s="9" t="s">
        <v>2409</v>
      </c>
    </row>
    <row r="1073" spans="2:19" x14ac:dyDescent="0.35">
      <c r="B1073" s="18" t="s">
        <v>800</v>
      </c>
      <c r="C1073" s="9" t="s">
        <v>803</v>
      </c>
      <c r="D1073" s="9" t="s">
        <v>799</v>
      </c>
      <c r="E1073" s="9" t="s">
        <v>39</v>
      </c>
      <c r="F1073" s="17">
        <v>5.2499999999999998E-2</v>
      </c>
      <c r="G1073" s="17"/>
      <c r="H1073" s="17"/>
      <c r="I1073" s="17"/>
      <c r="J1073" s="17">
        <v>5.2499999999999998E-2</v>
      </c>
      <c r="K1073" s="9" t="s">
        <v>1343</v>
      </c>
      <c r="L1073" s="9" t="s">
        <v>804</v>
      </c>
      <c r="M1073" s="9">
        <v>2024</v>
      </c>
      <c r="N1073" s="9" t="s">
        <v>292</v>
      </c>
      <c r="O1073" s="10" t="s">
        <v>293</v>
      </c>
      <c r="P1073" s="9" t="s">
        <v>294</v>
      </c>
      <c r="Q1073" s="9" t="s">
        <v>264</v>
      </c>
      <c r="R1073" s="9" t="s">
        <v>1344</v>
      </c>
      <c r="S1073" s="9" t="s">
        <v>2410</v>
      </c>
    </row>
    <row r="1074" spans="2:19" x14ac:dyDescent="0.35">
      <c r="B1074" s="18" t="s">
        <v>800</v>
      </c>
      <c r="C1074" s="9" t="s">
        <v>803</v>
      </c>
      <c r="D1074" s="9" t="s">
        <v>799</v>
      </c>
      <c r="E1074" s="9" t="s">
        <v>39</v>
      </c>
      <c r="F1074" s="17">
        <v>5.67E-2</v>
      </c>
      <c r="G1074" s="17"/>
      <c r="H1074" s="17"/>
      <c r="I1074" s="17"/>
      <c r="J1074" s="17">
        <v>5.67E-2</v>
      </c>
      <c r="K1074" s="9" t="s">
        <v>1343</v>
      </c>
      <c r="L1074" s="9" t="s">
        <v>804</v>
      </c>
      <c r="M1074" s="9">
        <v>2023</v>
      </c>
      <c r="N1074" s="9" t="s">
        <v>292</v>
      </c>
      <c r="O1074" s="10" t="s">
        <v>293</v>
      </c>
      <c r="P1074" s="9" t="s">
        <v>294</v>
      </c>
      <c r="Q1074" s="9" t="s">
        <v>264</v>
      </c>
      <c r="R1074" s="9" t="s">
        <v>1344</v>
      </c>
      <c r="S1074" s="9" t="s">
        <v>2411</v>
      </c>
    </row>
    <row r="1075" spans="2:19" x14ac:dyDescent="0.35">
      <c r="B1075" s="18" t="s">
        <v>258</v>
      </c>
      <c r="C1075" s="9" t="s">
        <v>259</v>
      </c>
      <c r="D1075" s="9" t="s">
        <v>799</v>
      </c>
      <c r="E1075" s="9" t="s">
        <v>39</v>
      </c>
      <c r="F1075" s="17">
        <v>0.35859999999999997</v>
      </c>
      <c r="G1075" s="17">
        <v>0.35820000000000002</v>
      </c>
      <c r="H1075" s="17">
        <v>2.0000000000000001E-4</v>
      </c>
      <c r="I1075" s="17">
        <v>2.0000000000000001E-4</v>
      </c>
      <c r="J1075" s="17">
        <v>0</v>
      </c>
      <c r="K1075" s="9" t="s">
        <v>1343</v>
      </c>
      <c r="L1075" s="9" t="s">
        <v>260</v>
      </c>
      <c r="M1075" s="9">
        <v>2023</v>
      </c>
      <c r="N1075" s="9" t="s">
        <v>649</v>
      </c>
      <c r="O1075" s="10" t="s">
        <v>650</v>
      </c>
      <c r="P1075" s="9" t="s">
        <v>651</v>
      </c>
      <c r="Q1075" s="9" t="s">
        <v>264</v>
      </c>
      <c r="R1075" s="9" t="s">
        <v>1344</v>
      </c>
      <c r="S1075" s="9" t="s">
        <v>2412</v>
      </c>
    </row>
    <row r="1076" spans="2:19" x14ac:dyDescent="0.35">
      <c r="B1076" s="18" t="s">
        <v>258</v>
      </c>
      <c r="C1076" s="9" t="s">
        <v>259</v>
      </c>
      <c r="D1076" s="9" t="s">
        <v>799</v>
      </c>
      <c r="E1076" s="9" t="s">
        <v>39</v>
      </c>
      <c r="F1076" s="17">
        <v>0.42159999999999997</v>
      </c>
      <c r="G1076" s="17">
        <v>0.42120000000000002</v>
      </c>
      <c r="H1076" s="17">
        <v>2.0000000000000001E-4</v>
      </c>
      <c r="I1076" s="17">
        <v>2.0000000000000001E-4</v>
      </c>
      <c r="J1076" s="17">
        <v>0</v>
      </c>
      <c r="K1076" s="9" t="s">
        <v>1343</v>
      </c>
      <c r="L1076" s="9" t="s">
        <v>260</v>
      </c>
      <c r="M1076" s="9">
        <v>2022</v>
      </c>
      <c r="N1076" s="9" t="s">
        <v>649</v>
      </c>
      <c r="O1076" s="10" t="s">
        <v>650</v>
      </c>
      <c r="P1076" s="9" t="s">
        <v>651</v>
      </c>
      <c r="Q1076" s="9" t="s">
        <v>264</v>
      </c>
      <c r="R1076" s="9" t="s">
        <v>1344</v>
      </c>
      <c r="S1076" s="9" t="s">
        <v>2413</v>
      </c>
    </row>
    <row r="1077" spans="2:19" x14ac:dyDescent="0.35">
      <c r="B1077" s="18" t="s">
        <v>800</v>
      </c>
      <c r="C1077" s="9" t="s">
        <v>801</v>
      </c>
      <c r="D1077" s="9" t="s">
        <v>799</v>
      </c>
      <c r="E1077" s="9" t="s">
        <v>39</v>
      </c>
      <c r="F1077" s="17">
        <v>1.84E-2</v>
      </c>
      <c r="G1077" s="17"/>
      <c r="H1077" s="17"/>
      <c r="I1077" s="17"/>
      <c r="J1077" s="17">
        <v>1.84E-2</v>
      </c>
      <c r="K1077" s="9" t="s">
        <v>1343</v>
      </c>
      <c r="L1077" s="9" t="s">
        <v>802</v>
      </c>
      <c r="M1077" s="9">
        <v>2023</v>
      </c>
      <c r="N1077" s="9" t="s">
        <v>649</v>
      </c>
      <c r="O1077" s="10" t="s">
        <v>650</v>
      </c>
      <c r="P1077" s="9" t="s">
        <v>651</v>
      </c>
      <c r="Q1077" s="9" t="s">
        <v>264</v>
      </c>
      <c r="R1077" s="9" t="s">
        <v>1344</v>
      </c>
      <c r="S1077" s="9" t="s">
        <v>2414</v>
      </c>
    </row>
    <row r="1078" spans="2:19" x14ac:dyDescent="0.35">
      <c r="B1078" s="18" t="s">
        <v>800</v>
      </c>
      <c r="C1078" s="9" t="s">
        <v>801</v>
      </c>
      <c r="D1078" s="9" t="s">
        <v>799</v>
      </c>
      <c r="E1078" s="9" t="s">
        <v>39</v>
      </c>
      <c r="F1078" s="17">
        <v>2.3699999999999999E-2</v>
      </c>
      <c r="G1078" s="17"/>
      <c r="H1078" s="17"/>
      <c r="I1078" s="17"/>
      <c r="J1078" s="17">
        <v>2.3699999999999999E-2</v>
      </c>
      <c r="K1078" s="9" t="s">
        <v>1343</v>
      </c>
      <c r="L1078" s="9" t="s">
        <v>802</v>
      </c>
      <c r="M1078" s="9">
        <v>2022</v>
      </c>
      <c r="N1078" s="9" t="s">
        <v>649</v>
      </c>
      <c r="O1078" s="10" t="s">
        <v>650</v>
      </c>
      <c r="P1078" s="9" t="s">
        <v>651</v>
      </c>
      <c r="Q1078" s="9" t="s">
        <v>264</v>
      </c>
      <c r="R1078" s="9" t="s">
        <v>1344</v>
      </c>
      <c r="S1078" s="9" t="s">
        <v>2415</v>
      </c>
    </row>
    <row r="1079" spans="2:19" x14ac:dyDescent="0.35">
      <c r="B1079" s="18" t="s">
        <v>800</v>
      </c>
      <c r="C1079" s="9" t="s">
        <v>803</v>
      </c>
      <c r="D1079" s="9" t="s">
        <v>799</v>
      </c>
      <c r="E1079" s="9" t="s">
        <v>39</v>
      </c>
      <c r="F1079" s="17">
        <v>5.3800000000000001E-2</v>
      </c>
      <c r="G1079" s="17"/>
      <c r="H1079" s="17"/>
      <c r="I1079" s="17"/>
      <c r="J1079" s="17">
        <v>5.3800000000000001E-2</v>
      </c>
      <c r="K1079" s="9" t="s">
        <v>1343</v>
      </c>
      <c r="L1079" s="9" t="s">
        <v>804</v>
      </c>
      <c r="M1079" s="9">
        <v>2023</v>
      </c>
      <c r="N1079" s="9" t="s">
        <v>649</v>
      </c>
      <c r="O1079" s="10" t="s">
        <v>650</v>
      </c>
      <c r="P1079" s="9" t="s">
        <v>651</v>
      </c>
      <c r="Q1079" s="9" t="s">
        <v>264</v>
      </c>
      <c r="R1079" s="9" t="s">
        <v>1344</v>
      </c>
      <c r="S1079" s="9" t="s">
        <v>2416</v>
      </c>
    </row>
    <row r="1080" spans="2:19" x14ac:dyDescent="0.35">
      <c r="B1080" s="18" t="s">
        <v>800</v>
      </c>
      <c r="C1080" s="9" t="s">
        <v>803</v>
      </c>
      <c r="D1080" s="9" t="s">
        <v>799</v>
      </c>
      <c r="E1080" s="9" t="s">
        <v>39</v>
      </c>
      <c r="F1080" s="17">
        <v>6.0699999999999997E-2</v>
      </c>
      <c r="G1080" s="17"/>
      <c r="H1080" s="17"/>
      <c r="I1080" s="17"/>
      <c r="J1080" s="17">
        <v>6.0699999999999997E-2</v>
      </c>
      <c r="K1080" s="9" t="s">
        <v>1343</v>
      </c>
      <c r="L1080" s="9" t="s">
        <v>804</v>
      </c>
      <c r="M1080" s="9">
        <v>2022</v>
      </c>
      <c r="N1080" s="9" t="s">
        <v>649</v>
      </c>
      <c r="O1080" s="10" t="s">
        <v>650</v>
      </c>
      <c r="P1080" s="9" t="s">
        <v>651</v>
      </c>
      <c r="Q1080" s="9" t="s">
        <v>264</v>
      </c>
      <c r="R1080" s="9" t="s">
        <v>1344</v>
      </c>
      <c r="S1080" s="9" t="s">
        <v>2417</v>
      </c>
    </row>
    <row r="1081" spans="2:19" x14ac:dyDescent="0.35">
      <c r="B1081" s="18" t="s">
        <v>258</v>
      </c>
      <c r="C1081" s="9" t="s">
        <v>259</v>
      </c>
      <c r="D1081" s="9" t="s">
        <v>799</v>
      </c>
      <c r="E1081" s="9" t="s">
        <v>39</v>
      </c>
      <c r="F1081" s="17">
        <v>0.15260000000000001</v>
      </c>
      <c r="G1081" s="17">
        <v>0.1507</v>
      </c>
      <c r="H1081" s="17">
        <v>8.0000000000000004E-4</v>
      </c>
      <c r="I1081" s="17">
        <v>1.1000000000000001E-3</v>
      </c>
      <c r="J1081" s="17">
        <v>0</v>
      </c>
      <c r="K1081" s="9" t="s">
        <v>1343</v>
      </c>
      <c r="L1081" s="9" t="s">
        <v>260</v>
      </c>
      <c r="M1081" s="9">
        <v>2024</v>
      </c>
      <c r="N1081" s="9" t="s">
        <v>375</v>
      </c>
      <c r="O1081" s="10" t="s">
        <v>376</v>
      </c>
      <c r="P1081" s="9" t="s">
        <v>377</v>
      </c>
      <c r="Q1081" s="9" t="s">
        <v>264</v>
      </c>
      <c r="R1081" s="9" t="s">
        <v>1344</v>
      </c>
      <c r="S1081" s="9" t="s">
        <v>2418</v>
      </c>
    </row>
    <row r="1082" spans="2:19" x14ac:dyDescent="0.35">
      <c r="B1082" s="18" t="s">
        <v>258</v>
      </c>
      <c r="C1082" s="9" t="s">
        <v>259</v>
      </c>
      <c r="D1082" s="9" t="s">
        <v>799</v>
      </c>
      <c r="E1082" s="9" t="s">
        <v>39</v>
      </c>
      <c r="F1082" s="17">
        <v>0.1769</v>
      </c>
      <c r="G1082" s="17">
        <v>0.17499999999999999</v>
      </c>
      <c r="H1082" s="17">
        <v>8.0000000000000004E-4</v>
      </c>
      <c r="I1082" s="17">
        <v>1.1000000000000001E-3</v>
      </c>
      <c r="J1082" s="17">
        <v>0</v>
      </c>
      <c r="K1082" s="9" t="s">
        <v>1343</v>
      </c>
      <c r="L1082" s="9" t="s">
        <v>260</v>
      </c>
      <c r="M1082" s="9">
        <v>2023</v>
      </c>
      <c r="N1082" s="9" t="s">
        <v>375</v>
      </c>
      <c r="O1082" s="10" t="s">
        <v>376</v>
      </c>
      <c r="P1082" s="9" t="s">
        <v>377</v>
      </c>
      <c r="Q1082" s="9" t="s">
        <v>264</v>
      </c>
      <c r="R1082" s="9" t="s">
        <v>1344</v>
      </c>
      <c r="S1082" s="9" t="s">
        <v>2419</v>
      </c>
    </row>
    <row r="1083" spans="2:19" x14ac:dyDescent="0.35">
      <c r="B1083" s="18" t="s">
        <v>258</v>
      </c>
      <c r="C1083" s="9" t="s">
        <v>259</v>
      </c>
      <c r="D1083" s="9" t="s">
        <v>799</v>
      </c>
      <c r="E1083" s="9" t="s">
        <v>39</v>
      </c>
      <c r="F1083" s="17">
        <v>0.1951</v>
      </c>
      <c r="G1083" s="17">
        <v>0.19320000000000001</v>
      </c>
      <c r="H1083" s="17">
        <v>8.0000000000000004E-4</v>
      </c>
      <c r="I1083" s="17">
        <v>1.1000000000000001E-3</v>
      </c>
      <c r="J1083" s="17">
        <v>0</v>
      </c>
      <c r="K1083" s="9" t="s">
        <v>1343</v>
      </c>
      <c r="L1083" s="9" t="s">
        <v>260</v>
      </c>
      <c r="M1083" s="9">
        <v>2022</v>
      </c>
      <c r="N1083" s="9" t="s">
        <v>375</v>
      </c>
      <c r="O1083" s="10" t="s">
        <v>376</v>
      </c>
      <c r="P1083" s="9" t="s">
        <v>377</v>
      </c>
      <c r="Q1083" s="9" t="s">
        <v>264</v>
      </c>
      <c r="R1083" s="9" t="s">
        <v>1344</v>
      </c>
      <c r="S1083" s="9" t="s">
        <v>2420</v>
      </c>
    </row>
    <row r="1084" spans="2:19" x14ac:dyDescent="0.35">
      <c r="B1084" s="18" t="s">
        <v>800</v>
      </c>
      <c r="C1084" s="9" t="s">
        <v>801</v>
      </c>
      <c r="D1084" s="9" t="s">
        <v>799</v>
      </c>
      <c r="E1084" s="9" t="s">
        <v>39</v>
      </c>
      <c r="F1084" s="17">
        <v>0.02</v>
      </c>
      <c r="G1084" s="17"/>
      <c r="H1084" s="17"/>
      <c r="I1084" s="17"/>
      <c r="J1084" s="17">
        <v>0.02</v>
      </c>
      <c r="K1084" s="9" t="s">
        <v>1343</v>
      </c>
      <c r="L1084" s="9" t="s">
        <v>802</v>
      </c>
      <c r="M1084" s="9">
        <v>2022</v>
      </c>
      <c r="N1084" s="9" t="s">
        <v>375</v>
      </c>
      <c r="O1084" s="10" t="s">
        <v>376</v>
      </c>
      <c r="P1084" s="9" t="s">
        <v>377</v>
      </c>
      <c r="Q1084" s="9" t="s">
        <v>264</v>
      </c>
      <c r="R1084" s="9" t="s">
        <v>1344</v>
      </c>
      <c r="S1084" s="9" t="s">
        <v>2421</v>
      </c>
    </row>
    <row r="1085" spans="2:19" x14ac:dyDescent="0.35">
      <c r="B1085" s="18" t="s">
        <v>800</v>
      </c>
      <c r="C1085" s="9" t="s">
        <v>801</v>
      </c>
      <c r="D1085" s="9" t="s">
        <v>799</v>
      </c>
      <c r="E1085" s="9" t="s">
        <v>39</v>
      </c>
      <c r="F1085" s="17">
        <v>0.02</v>
      </c>
      <c r="G1085" s="17"/>
      <c r="H1085" s="17"/>
      <c r="I1085" s="17"/>
      <c r="J1085" s="17">
        <v>0.02</v>
      </c>
      <c r="K1085" s="9" t="s">
        <v>1343</v>
      </c>
      <c r="L1085" s="9" t="s">
        <v>802</v>
      </c>
      <c r="M1085" s="9">
        <v>2023</v>
      </c>
      <c r="N1085" s="9" t="s">
        <v>375</v>
      </c>
      <c r="O1085" s="10" t="s">
        <v>376</v>
      </c>
      <c r="P1085" s="9" t="s">
        <v>377</v>
      </c>
      <c r="Q1085" s="9" t="s">
        <v>264</v>
      </c>
      <c r="R1085" s="9" t="s">
        <v>1344</v>
      </c>
      <c r="S1085" s="9" t="s">
        <v>2422</v>
      </c>
    </row>
    <row r="1086" spans="2:19" x14ac:dyDescent="0.35">
      <c r="B1086" s="18" t="s">
        <v>800</v>
      </c>
      <c r="C1086" s="9" t="s">
        <v>803</v>
      </c>
      <c r="D1086" s="9" t="s">
        <v>799</v>
      </c>
      <c r="E1086" s="9" t="s">
        <v>39</v>
      </c>
      <c r="F1086" s="17">
        <v>3.85E-2</v>
      </c>
      <c r="G1086" s="17"/>
      <c r="H1086" s="17"/>
      <c r="I1086" s="17"/>
      <c r="J1086" s="17">
        <v>3.85E-2</v>
      </c>
      <c r="K1086" s="9" t="s">
        <v>1343</v>
      </c>
      <c r="L1086" s="9" t="s">
        <v>804</v>
      </c>
      <c r="M1086" s="9">
        <v>2024</v>
      </c>
      <c r="N1086" s="9" t="s">
        <v>375</v>
      </c>
      <c r="O1086" s="10" t="s">
        <v>376</v>
      </c>
      <c r="P1086" s="9" t="s">
        <v>377</v>
      </c>
      <c r="Q1086" s="9" t="s">
        <v>264</v>
      </c>
      <c r="R1086" s="9" t="s">
        <v>1344</v>
      </c>
      <c r="S1086" s="9" t="s">
        <v>2423</v>
      </c>
    </row>
    <row r="1087" spans="2:19" x14ac:dyDescent="0.35">
      <c r="B1087" s="18" t="s">
        <v>800</v>
      </c>
      <c r="C1087" s="9" t="s">
        <v>803</v>
      </c>
      <c r="D1087" s="9" t="s">
        <v>799</v>
      </c>
      <c r="E1087" s="9" t="s">
        <v>39</v>
      </c>
      <c r="F1087" s="17">
        <v>4.36E-2</v>
      </c>
      <c r="G1087" s="17"/>
      <c r="H1087" s="17"/>
      <c r="I1087" s="17"/>
      <c r="J1087" s="17">
        <v>4.36E-2</v>
      </c>
      <c r="K1087" s="9" t="s">
        <v>1343</v>
      </c>
      <c r="L1087" s="9" t="s">
        <v>804</v>
      </c>
      <c r="M1087" s="9">
        <v>2023</v>
      </c>
      <c r="N1087" s="9" t="s">
        <v>375</v>
      </c>
      <c r="O1087" s="10" t="s">
        <v>376</v>
      </c>
      <c r="P1087" s="9" t="s">
        <v>377</v>
      </c>
      <c r="Q1087" s="9" t="s">
        <v>264</v>
      </c>
      <c r="R1087" s="9" t="s">
        <v>1344</v>
      </c>
      <c r="S1087" s="9" t="s">
        <v>2424</v>
      </c>
    </row>
    <row r="1088" spans="2:19" x14ac:dyDescent="0.35">
      <c r="B1088" s="18" t="s">
        <v>800</v>
      </c>
      <c r="C1088" s="9" t="s">
        <v>803</v>
      </c>
      <c r="D1088" s="9" t="s">
        <v>799</v>
      </c>
      <c r="E1088" s="9" t="s">
        <v>39</v>
      </c>
      <c r="F1088" s="17">
        <v>4.5600000000000002E-2</v>
      </c>
      <c r="G1088" s="17"/>
      <c r="H1088" s="17"/>
      <c r="I1088" s="17"/>
      <c r="J1088" s="17">
        <v>4.5600000000000002E-2</v>
      </c>
      <c r="K1088" s="9" t="s">
        <v>1343</v>
      </c>
      <c r="L1088" s="9" t="s">
        <v>804</v>
      </c>
      <c r="M1088" s="9">
        <v>2022</v>
      </c>
      <c r="N1088" s="9" t="s">
        <v>375</v>
      </c>
      <c r="O1088" s="10" t="s">
        <v>376</v>
      </c>
      <c r="P1088" s="9" t="s">
        <v>377</v>
      </c>
      <c r="Q1088" s="9" t="s">
        <v>264</v>
      </c>
      <c r="R1088" s="9" t="s">
        <v>1344</v>
      </c>
      <c r="S1088" s="9" t="s">
        <v>2425</v>
      </c>
    </row>
    <row r="1089" spans="2:19" x14ac:dyDescent="0.35">
      <c r="B1089" s="18" t="s">
        <v>258</v>
      </c>
      <c r="C1089" s="9" t="s">
        <v>259</v>
      </c>
      <c r="D1089" s="9" t="s">
        <v>799</v>
      </c>
      <c r="E1089" s="9" t="s">
        <v>39</v>
      </c>
      <c r="F1089" s="17">
        <v>0.32279999999999998</v>
      </c>
      <c r="G1089" s="17">
        <v>0.32179999999999997</v>
      </c>
      <c r="H1089" s="17">
        <v>2.0000000000000001E-4</v>
      </c>
      <c r="I1089" s="17">
        <v>8.0000000000000004E-4</v>
      </c>
      <c r="J1089" s="17">
        <v>0</v>
      </c>
      <c r="K1089" s="9" t="s">
        <v>1343</v>
      </c>
      <c r="L1089" s="9" t="s">
        <v>260</v>
      </c>
      <c r="M1089" s="9">
        <v>2024</v>
      </c>
      <c r="N1089" s="9" t="s">
        <v>418</v>
      </c>
      <c r="O1089" s="10" t="s">
        <v>419</v>
      </c>
      <c r="P1089" s="9" t="s">
        <v>420</v>
      </c>
      <c r="Q1089" s="9" t="s">
        <v>264</v>
      </c>
      <c r="R1089" s="9" t="s">
        <v>1344</v>
      </c>
      <c r="S1089" s="9" t="s">
        <v>2426</v>
      </c>
    </row>
    <row r="1090" spans="2:19" x14ac:dyDescent="0.35">
      <c r="B1090" s="18" t="s">
        <v>258</v>
      </c>
      <c r="C1090" s="9" t="s">
        <v>259</v>
      </c>
      <c r="D1090" s="9" t="s">
        <v>799</v>
      </c>
      <c r="E1090" s="9" t="s">
        <v>39</v>
      </c>
      <c r="F1090" s="17">
        <v>0.33179999999999998</v>
      </c>
      <c r="G1090" s="17">
        <v>0.33079999999999998</v>
      </c>
      <c r="H1090" s="17">
        <v>2.0000000000000001E-4</v>
      </c>
      <c r="I1090" s="17">
        <v>8.0000000000000004E-4</v>
      </c>
      <c r="J1090" s="17">
        <v>0</v>
      </c>
      <c r="K1090" s="9" t="s">
        <v>1343</v>
      </c>
      <c r="L1090" s="9" t="s">
        <v>260</v>
      </c>
      <c r="M1090" s="9">
        <v>2023</v>
      </c>
      <c r="N1090" s="9" t="s">
        <v>418</v>
      </c>
      <c r="O1090" s="10" t="s">
        <v>419</v>
      </c>
      <c r="P1090" s="9" t="s">
        <v>420</v>
      </c>
      <c r="Q1090" s="9" t="s">
        <v>264</v>
      </c>
      <c r="R1090" s="9" t="s">
        <v>1344</v>
      </c>
      <c r="S1090" s="9" t="s">
        <v>2427</v>
      </c>
    </row>
    <row r="1091" spans="2:19" x14ac:dyDescent="0.35">
      <c r="B1091" s="18" t="s">
        <v>258</v>
      </c>
      <c r="C1091" s="9" t="s">
        <v>259</v>
      </c>
      <c r="D1091" s="9" t="s">
        <v>799</v>
      </c>
      <c r="E1091" s="9" t="s">
        <v>39</v>
      </c>
      <c r="F1091" s="17">
        <v>0.35549999999999998</v>
      </c>
      <c r="G1091" s="17">
        <v>0.3543</v>
      </c>
      <c r="H1091" s="17">
        <v>2.0000000000000001E-4</v>
      </c>
      <c r="I1091" s="17">
        <v>1E-3</v>
      </c>
      <c r="J1091" s="17">
        <v>0</v>
      </c>
      <c r="K1091" s="9" t="s">
        <v>1343</v>
      </c>
      <c r="L1091" s="9" t="s">
        <v>260</v>
      </c>
      <c r="M1091" s="9">
        <v>2022</v>
      </c>
      <c r="N1091" s="9" t="s">
        <v>418</v>
      </c>
      <c r="O1091" s="10" t="s">
        <v>419</v>
      </c>
      <c r="P1091" s="9" t="s">
        <v>420</v>
      </c>
      <c r="Q1091" s="9" t="s">
        <v>264</v>
      </c>
      <c r="R1091" s="9" t="s">
        <v>1344</v>
      </c>
      <c r="S1091" s="9" t="s">
        <v>2428</v>
      </c>
    </row>
    <row r="1092" spans="2:19" x14ac:dyDescent="0.35">
      <c r="B1092" s="18" t="s">
        <v>800</v>
      </c>
      <c r="C1092" s="9" t="s">
        <v>801</v>
      </c>
      <c r="D1092" s="9" t="s">
        <v>799</v>
      </c>
      <c r="E1092" s="9" t="s">
        <v>39</v>
      </c>
      <c r="F1092" s="17">
        <v>0.02</v>
      </c>
      <c r="G1092" s="17"/>
      <c r="H1092" s="17"/>
      <c r="I1092" s="17"/>
      <c r="J1092" s="17">
        <v>0.02</v>
      </c>
      <c r="K1092" s="9" t="s">
        <v>1343</v>
      </c>
      <c r="L1092" s="9" t="s">
        <v>802</v>
      </c>
      <c r="M1092" s="9">
        <v>2022</v>
      </c>
      <c r="N1092" s="9" t="s">
        <v>418</v>
      </c>
      <c r="O1092" s="10" t="s">
        <v>419</v>
      </c>
      <c r="P1092" s="9" t="s">
        <v>420</v>
      </c>
      <c r="Q1092" s="9" t="s">
        <v>264</v>
      </c>
      <c r="R1092" s="9" t="s">
        <v>1344</v>
      </c>
      <c r="S1092" s="9" t="s">
        <v>2429</v>
      </c>
    </row>
    <row r="1093" spans="2:19" x14ac:dyDescent="0.35">
      <c r="B1093" s="18" t="s">
        <v>800</v>
      </c>
      <c r="C1093" s="9" t="s">
        <v>801</v>
      </c>
      <c r="D1093" s="9" t="s">
        <v>799</v>
      </c>
      <c r="E1093" s="9" t="s">
        <v>39</v>
      </c>
      <c r="F1093" s="17">
        <v>2.2599999999999999E-2</v>
      </c>
      <c r="G1093" s="17"/>
      <c r="H1093" s="17"/>
      <c r="I1093" s="17"/>
      <c r="J1093" s="17">
        <v>2.2599999999999999E-2</v>
      </c>
      <c r="K1093" s="9" t="s">
        <v>1343</v>
      </c>
      <c r="L1093" s="9" t="s">
        <v>802</v>
      </c>
      <c r="M1093" s="9">
        <v>2023</v>
      </c>
      <c r="N1093" s="9" t="s">
        <v>418</v>
      </c>
      <c r="O1093" s="10" t="s">
        <v>419</v>
      </c>
      <c r="P1093" s="9" t="s">
        <v>420</v>
      </c>
      <c r="Q1093" s="9" t="s">
        <v>264</v>
      </c>
      <c r="R1093" s="9" t="s">
        <v>1344</v>
      </c>
      <c r="S1093" s="9" t="s">
        <v>2430</v>
      </c>
    </row>
    <row r="1094" spans="2:19" x14ac:dyDescent="0.35">
      <c r="B1094" s="18" t="s">
        <v>800</v>
      </c>
      <c r="C1094" s="9" t="s">
        <v>803</v>
      </c>
      <c r="D1094" s="9" t="s">
        <v>799</v>
      </c>
      <c r="E1094" s="9" t="s">
        <v>39</v>
      </c>
      <c r="F1094" s="17">
        <v>6.3700000000000007E-2</v>
      </c>
      <c r="G1094" s="17"/>
      <c r="H1094" s="17"/>
      <c r="I1094" s="17"/>
      <c r="J1094" s="17">
        <v>6.3700000000000007E-2</v>
      </c>
      <c r="K1094" s="9" t="s">
        <v>1343</v>
      </c>
      <c r="L1094" s="9" t="s">
        <v>804</v>
      </c>
      <c r="M1094" s="9">
        <v>2024</v>
      </c>
      <c r="N1094" s="9" t="s">
        <v>418</v>
      </c>
      <c r="O1094" s="10" t="s">
        <v>419</v>
      </c>
      <c r="P1094" s="9" t="s">
        <v>420</v>
      </c>
      <c r="Q1094" s="9" t="s">
        <v>264</v>
      </c>
      <c r="R1094" s="9" t="s">
        <v>1344</v>
      </c>
      <c r="S1094" s="9" t="s">
        <v>2431</v>
      </c>
    </row>
    <row r="1095" spans="2:19" x14ac:dyDescent="0.35">
      <c r="B1095" s="18" t="s">
        <v>800</v>
      </c>
      <c r="C1095" s="9" t="s">
        <v>803</v>
      </c>
      <c r="D1095" s="9" t="s">
        <v>799</v>
      </c>
      <c r="E1095" s="9" t="s">
        <v>39</v>
      </c>
      <c r="F1095" s="17">
        <v>6.5600000000000006E-2</v>
      </c>
      <c r="G1095" s="17"/>
      <c r="H1095" s="17"/>
      <c r="I1095" s="17"/>
      <c r="J1095" s="17">
        <v>6.5600000000000006E-2</v>
      </c>
      <c r="K1095" s="9" t="s">
        <v>1343</v>
      </c>
      <c r="L1095" s="9" t="s">
        <v>804</v>
      </c>
      <c r="M1095" s="9">
        <v>2023</v>
      </c>
      <c r="N1095" s="9" t="s">
        <v>418</v>
      </c>
      <c r="O1095" s="10" t="s">
        <v>419</v>
      </c>
      <c r="P1095" s="9" t="s">
        <v>420</v>
      </c>
      <c r="Q1095" s="9" t="s">
        <v>264</v>
      </c>
      <c r="R1095" s="9" t="s">
        <v>1344</v>
      </c>
      <c r="S1095" s="9" t="s">
        <v>2432</v>
      </c>
    </row>
    <row r="1096" spans="2:19" x14ac:dyDescent="0.35">
      <c r="B1096" s="18" t="s">
        <v>800</v>
      </c>
      <c r="C1096" s="9" t="s">
        <v>803</v>
      </c>
      <c r="D1096" s="9" t="s">
        <v>799</v>
      </c>
      <c r="E1096" s="9" t="s">
        <v>39</v>
      </c>
      <c r="F1096" s="17">
        <v>7.0000000000000007E-2</v>
      </c>
      <c r="G1096" s="17"/>
      <c r="H1096" s="17"/>
      <c r="I1096" s="17"/>
      <c r="J1096" s="17">
        <v>7.0000000000000007E-2</v>
      </c>
      <c r="K1096" s="9" t="s">
        <v>1343</v>
      </c>
      <c r="L1096" s="9" t="s">
        <v>804</v>
      </c>
      <c r="M1096" s="9">
        <v>2022</v>
      </c>
      <c r="N1096" s="9" t="s">
        <v>418</v>
      </c>
      <c r="O1096" s="10" t="s">
        <v>419</v>
      </c>
      <c r="P1096" s="9" t="s">
        <v>420</v>
      </c>
      <c r="Q1096" s="9" t="s">
        <v>264</v>
      </c>
      <c r="R1096" s="9" t="s">
        <v>1344</v>
      </c>
      <c r="S1096" s="9" t="s">
        <v>2433</v>
      </c>
    </row>
    <row r="1097" spans="2:19" x14ac:dyDescent="0.35">
      <c r="B1097" s="18" t="s">
        <v>258</v>
      </c>
      <c r="C1097" s="9" t="s">
        <v>259</v>
      </c>
      <c r="D1097" s="9" t="s">
        <v>799</v>
      </c>
      <c r="E1097" s="9" t="s">
        <v>39</v>
      </c>
      <c r="F1097" s="17">
        <v>6.6E-3</v>
      </c>
      <c r="G1097" s="17">
        <v>5.4999999999999997E-3</v>
      </c>
      <c r="H1097" s="17">
        <v>5.0000000000000001E-4</v>
      </c>
      <c r="I1097" s="17">
        <v>5.9999999999999995E-4</v>
      </c>
      <c r="J1097" s="17">
        <v>0</v>
      </c>
      <c r="K1097" s="9" t="s">
        <v>1343</v>
      </c>
      <c r="L1097" s="9" t="s">
        <v>260</v>
      </c>
      <c r="M1097" s="9">
        <v>2024</v>
      </c>
      <c r="N1097" s="9" t="s">
        <v>283</v>
      </c>
      <c r="O1097" s="10" t="s">
        <v>284</v>
      </c>
      <c r="P1097" s="9" t="s">
        <v>285</v>
      </c>
      <c r="Q1097" s="9" t="s">
        <v>264</v>
      </c>
      <c r="R1097" s="9" t="s">
        <v>1344</v>
      </c>
      <c r="S1097" s="9" t="s">
        <v>2434</v>
      </c>
    </row>
    <row r="1098" spans="2:19" x14ac:dyDescent="0.35">
      <c r="B1098" s="18" t="s">
        <v>258</v>
      </c>
      <c r="C1098" s="9" t="s">
        <v>259</v>
      </c>
      <c r="D1098" s="9" t="s">
        <v>799</v>
      </c>
      <c r="E1098" s="9" t="s">
        <v>39</v>
      </c>
      <c r="F1098" s="17">
        <v>4.8099999999999997E-2</v>
      </c>
      <c r="G1098" s="17">
        <v>4.7E-2</v>
      </c>
      <c r="H1098" s="17">
        <v>5.0000000000000001E-4</v>
      </c>
      <c r="I1098" s="17">
        <v>5.9999999999999995E-4</v>
      </c>
      <c r="J1098" s="17">
        <v>0</v>
      </c>
      <c r="K1098" s="9" t="s">
        <v>1343</v>
      </c>
      <c r="L1098" s="9" t="s">
        <v>260</v>
      </c>
      <c r="M1098" s="9">
        <v>2023</v>
      </c>
      <c r="N1098" s="9" t="s">
        <v>283</v>
      </c>
      <c r="O1098" s="10" t="s">
        <v>284</v>
      </c>
      <c r="P1098" s="9" t="s">
        <v>285</v>
      </c>
      <c r="Q1098" s="9" t="s">
        <v>264</v>
      </c>
      <c r="R1098" s="9" t="s">
        <v>1344</v>
      </c>
      <c r="S1098" s="9" t="s">
        <v>2435</v>
      </c>
    </row>
    <row r="1099" spans="2:19" x14ac:dyDescent="0.35">
      <c r="B1099" s="18" t="s">
        <v>258</v>
      </c>
      <c r="C1099" s="9" t="s">
        <v>259</v>
      </c>
      <c r="D1099" s="9" t="s">
        <v>799</v>
      </c>
      <c r="E1099" s="9" t="s">
        <v>39</v>
      </c>
      <c r="F1099" s="17">
        <v>5.4600000000000003E-2</v>
      </c>
      <c r="G1099" s="17">
        <v>5.3699999999999998E-2</v>
      </c>
      <c r="H1099" s="17">
        <v>4.0000000000000002E-4</v>
      </c>
      <c r="I1099" s="17">
        <v>5.0000000000000001E-4</v>
      </c>
      <c r="J1099" s="17">
        <v>0</v>
      </c>
      <c r="K1099" s="9" t="s">
        <v>1343</v>
      </c>
      <c r="L1099" s="9" t="s">
        <v>260</v>
      </c>
      <c r="M1099" s="9">
        <v>2022</v>
      </c>
      <c r="N1099" s="9" t="s">
        <v>283</v>
      </c>
      <c r="O1099" s="10" t="s">
        <v>284</v>
      </c>
      <c r="P1099" s="9" t="s">
        <v>285</v>
      </c>
      <c r="Q1099" s="9" t="s">
        <v>264</v>
      </c>
      <c r="R1099" s="9" t="s">
        <v>1344</v>
      </c>
      <c r="S1099" s="9" t="s">
        <v>2436</v>
      </c>
    </row>
    <row r="1100" spans="2:19" x14ac:dyDescent="0.35">
      <c r="B1100" s="18" t="s">
        <v>800</v>
      </c>
      <c r="C1100" s="9" t="s">
        <v>801</v>
      </c>
      <c r="D1100" s="9" t="s">
        <v>799</v>
      </c>
      <c r="E1100" s="9" t="s">
        <v>39</v>
      </c>
      <c r="F1100" s="17">
        <v>7.4000000000000003E-3</v>
      </c>
      <c r="G1100" s="17"/>
      <c r="H1100" s="17"/>
      <c r="I1100" s="17"/>
      <c r="J1100" s="17">
        <v>7.4000000000000003E-3</v>
      </c>
      <c r="K1100" s="9" t="s">
        <v>1343</v>
      </c>
      <c r="L1100" s="9" t="s">
        <v>802</v>
      </c>
      <c r="M1100" s="9">
        <v>2023</v>
      </c>
      <c r="N1100" s="9" t="s">
        <v>283</v>
      </c>
      <c r="O1100" s="10" t="s">
        <v>284</v>
      </c>
      <c r="P1100" s="9" t="s">
        <v>285</v>
      </c>
      <c r="Q1100" s="9" t="s">
        <v>264</v>
      </c>
      <c r="R1100" s="9" t="s">
        <v>1344</v>
      </c>
      <c r="S1100" s="9" t="s">
        <v>2437</v>
      </c>
    </row>
    <row r="1101" spans="2:19" x14ac:dyDescent="0.35">
      <c r="B1101" s="18" t="s">
        <v>800</v>
      </c>
      <c r="C1101" s="9" t="s">
        <v>801</v>
      </c>
      <c r="D1101" s="9" t="s">
        <v>799</v>
      </c>
      <c r="E1101" s="9" t="s">
        <v>39</v>
      </c>
      <c r="F1101" s="17">
        <v>7.7999999999999996E-3</v>
      </c>
      <c r="G1101" s="17"/>
      <c r="H1101" s="17"/>
      <c r="I1101" s="17"/>
      <c r="J1101" s="17">
        <v>7.7999999999999996E-3</v>
      </c>
      <c r="K1101" s="9" t="s">
        <v>1343</v>
      </c>
      <c r="L1101" s="9" t="s">
        <v>802</v>
      </c>
      <c r="M1101" s="9">
        <v>2022</v>
      </c>
      <c r="N1101" s="9" t="s">
        <v>283</v>
      </c>
      <c r="O1101" s="10" t="s">
        <v>284</v>
      </c>
      <c r="P1101" s="9" t="s">
        <v>285</v>
      </c>
      <c r="Q1101" s="9" t="s">
        <v>264</v>
      </c>
      <c r="R1101" s="9" t="s">
        <v>1344</v>
      </c>
      <c r="S1101" s="9" t="s">
        <v>2438</v>
      </c>
    </row>
    <row r="1102" spans="2:19" x14ac:dyDescent="0.35">
      <c r="B1102" s="18" t="s">
        <v>800</v>
      </c>
      <c r="C1102" s="9" t="s">
        <v>803</v>
      </c>
      <c r="D1102" s="9" t="s">
        <v>799</v>
      </c>
      <c r="E1102" s="9" t="s">
        <v>39</v>
      </c>
      <c r="F1102" s="17">
        <v>2.9399999999999999E-2</v>
      </c>
      <c r="G1102" s="17"/>
      <c r="H1102" s="17"/>
      <c r="I1102" s="17"/>
      <c r="J1102" s="17">
        <v>2.9399999999999999E-2</v>
      </c>
      <c r="K1102" s="9" t="s">
        <v>1343</v>
      </c>
      <c r="L1102" s="9" t="s">
        <v>804</v>
      </c>
      <c r="M1102" s="9">
        <v>2024</v>
      </c>
      <c r="N1102" s="9" t="s">
        <v>283</v>
      </c>
      <c r="O1102" s="10" t="s">
        <v>284</v>
      </c>
      <c r="P1102" s="9" t="s">
        <v>285</v>
      </c>
      <c r="Q1102" s="9" t="s">
        <v>264</v>
      </c>
      <c r="R1102" s="9" t="s">
        <v>1344</v>
      </c>
      <c r="S1102" s="9" t="s">
        <v>2439</v>
      </c>
    </row>
    <row r="1103" spans="2:19" x14ac:dyDescent="0.35">
      <c r="B1103" s="18" t="s">
        <v>800</v>
      </c>
      <c r="C1103" s="9" t="s">
        <v>803</v>
      </c>
      <c r="D1103" s="9" t="s">
        <v>799</v>
      </c>
      <c r="E1103" s="9" t="s">
        <v>39</v>
      </c>
      <c r="F1103" s="17">
        <v>3.1E-2</v>
      </c>
      <c r="G1103" s="17"/>
      <c r="H1103" s="17"/>
      <c r="I1103" s="17"/>
      <c r="J1103" s="17">
        <v>3.1E-2</v>
      </c>
      <c r="K1103" s="9" t="s">
        <v>1343</v>
      </c>
      <c r="L1103" s="9" t="s">
        <v>804</v>
      </c>
      <c r="M1103" s="9">
        <v>2022</v>
      </c>
      <c r="N1103" s="9" t="s">
        <v>283</v>
      </c>
      <c r="O1103" s="10" t="s">
        <v>284</v>
      </c>
      <c r="P1103" s="9" t="s">
        <v>285</v>
      </c>
      <c r="Q1103" s="9" t="s">
        <v>264</v>
      </c>
      <c r="R1103" s="9" t="s">
        <v>1344</v>
      </c>
      <c r="S1103" s="9" t="s">
        <v>2440</v>
      </c>
    </row>
    <row r="1104" spans="2:19" x14ac:dyDescent="0.35">
      <c r="B1104" s="18" t="s">
        <v>800</v>
      </c>
      <c r="C1104" s="9" t="s">
        <v>803</v>
      </c>
      <c r="D1104" s="9" t="s">
        <v>799</v>
      </c>
      <c r="E1104" s="9" t="s">
        <v>39</v>
      </c>
      <c r="F1104" s="17">
        <v>3.32E-2</v>
      </c>
      <c r="G1104" s="17"/>
      <c r="H1104" s="17"/>
      <c r="I1104" s="17"/>
      <c r="J1104" s="17">
        <v>3.32E-2</v>
      </c>
      <c r="K1104" s="9" t="s">
        <v>1343</v>
      </c>
      <c r="L1104" s="9" t="s">
        <v>804</v>
      </c>
      <c r="M1104" s="9">
        <v>2023</v>
      </c>
      <c r="N1104" s="9" t="s">
        <v>283</v>
      </c>
      <c r="O1104" s="10" t="s">
        <v>284</v>
      </c>
      <c r="P1104" s="9" t="s">
        <v>285</v>
      </c>
      <c r="Q1104" s="9" t="s">
        <v>264</v>
      </c>
      <c r="R1104" s="9" t="s">
        <v>1344</v>
      </c>
      <c r="S1104" s="9" t="s">
        <v>2441</v>
      </c>
    </row>
    <row r="1105" spans="2:19" x14ac:dyDescent="0.35">
      <c r="B1105" s="18" t="s">
        <v>258</v>
      </c>
      <c r="C1105" s="9" t="s">
        <v>259</v>
      </c>
      <c r="D1105" s="9" t="s">
        <v>799</v>
      </c>
      <c r="E1105" s="9" t="s">
        <v>39</v>
      </c>
      <c r="F1105" s="17">
        <v>0.52129999999999999</v>
      </c>
      <c r="G1105" s="17">
        <v>0.52049999999999996</v>
      </c>
      <c r="H1105" s="17">
        <v>2.0000000000000001E-4</v>
      </c>
      <c r="I1105" s="17">
        <v>5.9999999999999995E-4</v>
      </c>
      <c r="J1105" s="17">
        <v>0</v>
      </c>
      <c r="K1105" s="9" t="s">
        <v>1343</v>
      </c>
      <c r="L1105" s="9" t="s">
        <v>260</v>
      </c>
      <c r="M1105" s="9">
        <v>2022</v>
      </c>
      <c r="N1105" s="9" t="s">
        <v>670</v>
      </c>
      <c r="O1105" s="10" t="s">
        <v>671</v>
      </c>
      <c r="P1105" s="9" t="s">
        <v>672</v>
      </c>
      <c r="Q1105" s="9" t="s">
        <v>264</v>
      </c>
      <c r="R1105" s="9" t="s">
        <v>1344</v>
      </c>
      <c r="S1105" s="9" t="s">
        <v>2442</v>
      </c>
    </row>
    <row r="1106" spans="2:19" x14ac:dyDescent="0.35">
      <c r="B1106" s="18" t="s">
        <v>258</v>
      </c>
      <c r="C1106" s="9" t="s">
        <v>259</v>
      </c>
      <c r="D1106" s="9" t="s">
        <v>799</v>
      </c>
      <c r="E1106" s="9" t="s">
        <v>39</v>
      </c>
      <c r="F1106" s="17">
        <v>0.54649999999999999</v>
      </c>
      <c r="G1106" s="17">
        <v>0.54549999999999998</v>
      </c>
      <c r="H1106" s="17">
        <v>2.9999999999999997E-4</v>
      </c>
      <c r="I1106" s="17">
        <v>6.9999999999999999E-4</v>
      </c>
      <c r="J1106" s="17">
        <v>0</v>
      </c>
      <c r="K1106" s="9" t="s">
        <v>1343</v>
      </c>
      <c r="L1106" s="9" t="s">
        <v>260</v>
      </c>
      <c r="M1106" s="9">
        <v>2023</v>
      </c>
      <c r="N1106" s="9" t="s">
        <v>670</v>
      </c>
      <c r="O1106" s="10" t="s">
        <v>671</v>
      </c>
      <c r="P1106" s="9" t="s">
        <v>672</v>
      </c>
      <c r="Q1106" s="9" t="s">
        <v>264</v>
      </c>
      <c r="R1106" s="9" t="s">
        <v>1344</v>
      </c>
      <c r="S1106" s="9" t="s">
        <v>2443</v>
      </c>
    </row>
    <row r="1107" spans="2:19" x14ac:dyDescent="0.35">
      <c r="B1107" s="18" t="s">
        <v>800</v>
      </c>
      <c r="C1107" s="9" t="s">
        <v>801</v>
      </c>
      <c r="D1107" s="9" t="s">
        <v>799</v>
      </c>
      <c r="E1107" s="9" t="s">
        <v>39</v>
      </c>
      <c r="F1107" s="17">
        <v>2.8199999999999999E-2</v>
      </c>
      <c r="G1107" s="17"/>
      <c r="H1107" s="17"/>
      <c r="I1107" s="17"/>
      <c r="J1107" s="17">
        <v>2.8199999999999999E-2</v>
      </c>
      <c r="K1107" s="9" t="s">
        <v>1343</v>
      </c>
      <c r="L1107" s="9" t="s">
        <v>802</v>
      </c>
      <c r="M1107" s="9">
        <v>2022</v>
      </c>
      <c r="N1107" s="9" t="s">
        <v>670</v>
      </c>
      <c r="O1107" s="10" t="s">
        <v>671</v>
      </c>
      <c r="P1107" s="9" t="s">
        <v>672</v>
      </c>
      <c r="Q1107" s="9" t="s">
        <v>264</v>
      </c>
      <c r="R1107" s="9" t="s">
        <v>1344</v>
      </c>
      <c r="S1107" s="9" t="s">
        <v>2444</v>
      </c>
    </row>
    <row r="1108" spans="2:19" x14ac:dyDescent="0.35">
      <c r="B1108" s="18" t="s">
        <v>800</v>
      </c>
      <c r="C1108" s="9" t="s">
        <v>801</v>
      </c>
      <c r="D1108" s="9" t="s">
        <v>799</v>
      </c>
      <c r="E1108" s="9" t="s">
        <v>39</v>
      </c>
      <c r="F1108" s="17">
        <v>3.1899999999999998E-2</v>
      </c>
      <c r="G1108" s="17"/>
      <c r="H1108" s="17"/>
      <c r="I1108" s="17"/>
      <c r="J1108" s="17">
        <v>3.1899999999999998E-2</v>
      </c>
      <c r="K1108" s="9" t="s">
        <v>1343</v>
      </c>
      <c r="L1108" s="9" t="s">
        <v>802</v>
      </c>
      <c r="M1108" s="9">
        <v>2023</v>
      </c>
      <c r="N1108" s="9" t="s">
        <v>670</v>
      </c>
      <c r="O1108" s="10" t="s">
        <v>671</v>
      </c>
      <c r="P1108" s="9" t="s">
        <v>672</v>
      </c>
      <c r="Q1108" s="9" t="s">
        <v>264</v>
      </c>
      <c r="R1108" s="9" t="s">
        <v>1344</v>
      </c>
      <c r="S1108" s="9" t="s">
        <v>2445</v>
      </c>
    </row>
    <row r="1109" spans="2:19" x14ac:dyDescent="0.35">
      <c r="B1109" s="18" t="s">
        <v>800</v>
      </c>
      <c r="C1109" s="9" t="s">
        <v>803</v>
      </c>
      <c r="D1109" s="9" t="s">
        <v>799</v>
      </c>
      <c r="E1109" s="9" t="s">
        <v>39</v>
      </c>
      <c r="F1109" s="17">
        <v>0.12429999999999999</v>
      </c>
      <c r="G1109" s="17"/>
      <c r="H1109" s="17"/>
      <c r="I1109" s="17"/>
      <c r="J1109" s="17">
        <v>0.12429999999999999</v>
      </c>
      <c r="K1109" s="9" t="s">
        <v>1343</v>
      </c>
      <c r="L1109" s="9" t="s">
        <v>804</v>
      </c>
      <c r="M1109" s="9">
        <v>2023</v>
      </c>
      <c r="N1109" s="9" t="s">
        <v>670</v>
      </c>
      <c r="O1109" s="10" t="s">
        <v>671</v>
      </c>
      <c r="P1109" s="9" t="s">
        <v>672</v>
      </c>
      <c r="Q1109" s="9" t="s">
        <v>264</v>
      </c>
      <c r="R1109" s="9" t="s">
        <v>1344</v>
      </c>
      <c r="S1109" s="9" t="s">
        <v>2446</v>
      </c>
    </row>
    <row r="1110" spans="2:19" x14ac:dyDescent="0.35">
      <c r="B1110" s="18" t="s">
        <v>800</v>
      </c>
      <c r="C1110" s="9" t="s">
        <v>803</v>
      </c>
      <c r="D1110" s="9" t="s">
        <v>799</v>
      </c>
      <c r="E1110" s="9" t="s">
        <v>39</v>
      </c>
      <c r="F1110" s="17">
        <v>0.1246</v>
      </c>
      <c r="G1110" s="17"/>
      <c r="H1110" s="17"/>
      <c r="I1110" s="17"/>
      <c r="J1110" s="17">
        <v>0.1246</v>
      </c>
      <c r="K1110" s="9" t="s">
        <v>1343</v>
      </c>
      <c r="L1110" s="9" t="s">
        <v>804</v>
      </c>
      <c r="M1110" s="9">
        <v>2022</v>
      </c>
      <c r="N1110" s="9" t="s">
        <v>670</v>
      </c>
      <c r="O1110" s="10" t="s">
        <v>671</v>
      </c>
      <c r="P1110" s="9" t="s">
        <v>672</v>
      </c>
      <c r="Q1110" s="9" t="s">
        <v>264</v>
      </c>
      <c r="R1110" s="9" t="s">
        <v>1344</v>
      </c>
      <c r="S1110" s="9" t="s">
        <v>2447</v>
      </c>
    </row>
    <row r="1111" spans="2:19" x14ac:dyDescent="0.35">
      <c r="B1111" s="18" t="s">
        <v>258</v>
      </c>
      <c r="C1111" s="9" t="s">
        <v>259</v>
      </c>
      <c r="D1111" s="9" t="s">
        <v>799</v>
      </c>
      <c r="E1111" s="9" t="s">
        <v>39</v>
      </c>
      <c r="F1111" s="17">
        <v>7.6700000000000004E-2</v>
      </c>
      <c r="G1111" s="17">
        <v>7.6499999999999999E-2</v>
      </c>
      <c r="H1111" s="17">
        <v>1E-4</v>
      </c>
      <c r="I1111" s="17">
        <v>1E-4</v>
      </c>
      <c r="J1111" s="17">
        <v>0</v>
      </c>
      <c r="K1111" s="9" t="s">
        <v>1343</v>
      </c>
      <c r="L1111" s="9" t="s">
        <v>260</v>
      </c>
      <c r="M1111" s="9">
        <v>2022</v>
      </c>
      <c r="N1111" s="9" t="s">
        <v>742</v>
      </c>
      <c r="O1111" s="10" t="s">
        <v>743</v>
      </c>
      <c r="P1111" s="9" t="s">
        <v>744</v>
      </c>
      <c r="Q1111" s="9" t="s">
        <v>264</v>
      </c>
      <c r="R1111" s="9" t="s">
        <v>1344</v>
      </c>
      <c r="S1111" s="9" t="s">
        <v>2448</v>
      </c>
    </row>
    <row r="1112" spans="2:19" x14ac:dyDescent="0.35">
      <c r="B1112" s="18" t="s">
        <v>258</v>
      </c>
      <c r="C1112" s="9" t="s">
        <v>259</v>
      </c>
      <c r="D1112" s="9" t="s">
        <v>799</v>
      </c>
      <c r="E1112" s="9" t="s">
        <v>39</v>
      </c>
      <c r="F1112" s="17">
        <v>7.7299999999999994E-2</v>
      </c>
      <c r="G1112" s="17">
        <v>7.7100000000000002E-2</v>
      </c>
      <c r="H1112" s="17">
        <v>1E-4</v>
      </c>
      <c r="I1112" s="17">
        <v>1E-4</v>
      </c>
      <c r="J1112" s="17">
        <v>0</v>
      </c>
      <c r="K1112" s="9" t="s">
        <v>1343</v>
      </c>
      <c r="L1112" s="9" t="s">
        <v>260</v>
      </c>
      <c r="M1112" s="9">
        <v>2023</v>
      </c>
      <c r="N1112" s="9" t="s">
        <v>742</v>
      </c>
      <c r="O1112" s="10" t="s">
        <v>743</v>
      </c>
      <c r="P1112" s="9" t="s">
        <v>744</v>
      </c>
      <c r="Q1112" s="9" t="s">
        <v>264</v>
      </c>
      <c r="R1112" s="9" t="s">
        <v>1344</v>
      </c>
      <c r="S1112" s="9" t="s">
        <v>2449</v>
      </c>
    </row>
    <row r="1113" spans="2:19" x14ac:dyDescent="0.35">
      <c r="B1113" s="18" t="s">
        <v>800</v>
      </c>
      <c r="C1113" s="9" t="s">
        <v>801</v>
      </c>
      <c r="D1113" s="9" t="s">
        <v>799</v>
      </c>
      <c r="E1113" s="9" t="s">
        <v>39</v>
      </c>
      <c r="F1113" s="17">
        <v>2.12E-2</v>
      </c>
      <c r="G1113" s="17"/>
      <c r="H1113" s="17"/>
      <c r="I1113" s="17"/>
      <c r="J1113" s="17">
        <v>2.12E-2</v>
      </c>
      <c r="K1113" s="9" t="s">
        <v>1343</v>
      </c>
      <c r="L1113" s="9" t="s">
        <v>802</v>
      </c>
      <c r="M1113" s="9">
        <v>2022</v>
      </c>
      <c r="N1113" s="9" t="s">
        <v>742</v>
      </c>
      <c r="O1113" s="10" t="s">
        <v>743</v>
      </c>
      <c r="P1113" s="9" t="s">
        <v>744</v>
      </c>
      <c r="Q1113" s="9" t="s">
        <v>264</v>
      </c>
      <c r="R1113" s="9" t="s">
        <v>1344</v>
      </c>
      <c r="S1113" s="9" t="s">
        <v>2450</v>
      </c>
    </row>
    <row r="1114" spans="2:19" x14ac:dyDescent="0.35">
      <c r="B1114" s="18" t="s">
        <v>800</v>
      </c>
      <c r="C1114" s="9" t="s">
        <v>801</v>
      </c>
      <c r="D1114" s="9" t="s">
        <v>799</v>
      </c>
      <c r="E1114" s="9" t="s">
        <v>39</v>
      </c>
      <c r="F1114" s="17">
        <v>2.2200000000000001E-2</v>
      </c>
      <c r="G1114" s="17"/>
      <c r="H1114" s="17"/>
      <c r="I1114" s="17"/>
      <c r="J1114" s="17">
        <v>2.2200000000000001E-2</v>
      </c>
      <c r="K1114" s="9" t="s">
        <v>1343</v>
      </c>
      <c r="L1114" s="9" t="s">
        <v>802</v>
      </c>
      <c r="M1114" s="9">
        <v>2023</v>
      </c>
      <c r="N1114" s="9" t="s">
        <v>742</v>
      </c>
      <c r="O1114" s="10" t="s">
        <v>743</v>
      </c>
      <c r="P1114" s="9" t="s">
        <v>744</v>
      </c>
      <c r="Q1114" s="9" t="s">
        <v>264</v>
      </c>
      <c r="R1114" s="9" t="s">
        <v>1344</v>
      </c>
      <c r="S1114" s="9" t="s">
        <v>2451</v>
      </c>
    </row>
    <row r="1115" spans="2:19" x14ac:dyDescent="0.35">
      <c r="B1115" s="18" t="s">
        <v>800</v>
      </c>
      <c r="C1115" s="9" t="s">
        <v>803</v>
      </c>
      <c r="D1115" s="9" t="s">
        <v>799</v>
      </c>
      <c r="E1115" s="9" t="s">
        <v>39</v>
      </c>
      <c r="F1115" s="17">
        <v>2.47E-2</v>
      </c>
      <c r="G1115" s="17"/>
      <c r="H1115" s="17"/>
      <c r="I1115" s="17"/>
      <c r="J1115" s="17">
        <v>2.47E-2</v>
      </c>
      <c r="K1115" s="9" t="s">
        <v>1343</v>
      </c>
      <c r="L1115" s="9" t="s">
        <v>804</v>
      </c>
      <c r="M1115" s="9">
        <v>2022</v>
      </c>
      <c r="N1115" s="9" t="s">
        <v>742</v>
      </c>
      <c r="O1115" s="10" t="s">
        <v>743</v>
      </c>
      <c r="P1115" s="9" t="s">
        <v>744</v>
      </c>
      <c r="Q1115" s="9" t="s">
        <v>264</v>
      </c>
      <c r="R1115" s="9" t="s">
        <v>1344</v>
      </c>
      <c r="S1115" s="9" t="s">
        <v>2452</v>
      </c>
    </row>
    <row r="1116" spans="2:19" x14ac:dyDescent="0.35">
      <c r="B1116" s="18" t="s">
        <v>800</v>
      </c>
      <c r="C1116" s="9" t="s">
        <v>803</v>
      </c>
      <c r="D1116" s="9" t="s">
        <v>799</v>
      </c>
      <c r="E1116" s="9" t="s">
        <v>39</v>
      </c>
      <c r="F1116" s="17">
        <v>2.5000000000000001E-2</v>
      </c>
      <c r="G1116" s="17"/>
      <c r="H1116" s="17"/>
      <c r="I1116" s="17"/>
      <c r="J1116" s="17">
        <v>2.5000000000000001E-2</v>
      </c>
      <c r="K1116" s="9" t="s">
        <v>1343</v>
      </c>
      <c r="L1116" s="9" t="s">
        <v>804</v>
      </c>
      <c r="M1116" s="9">
        <v>2023</v>
      </c>
      <c r="N1116" s="9" t="s">
        <v>742</v>
      </c>
      <c r="O1116" s="10" t="s">
        <v>743</v>
      </c>
      <c r="P1116" s="9" t="s">
        <v>744</v>
      </c>
      <c r="Q1116" s="9" t="s">
        <v>264</v>
      </c>
      <c r="R1116" s="9" t="s">
        <v>1344</v>
      </c>
      <c r="S1116" s="9" t="s">
        <v>2453</v>
      </c>
    </row>
    <row r="1117" spans="2:19" x14ac:dyDescent="0.35">
      <c r="B1117" s="18" t="s">
        <v>258</v>
      </c>
      <c r="C1117" s="9" t="s">
        <v>259</v>
      </c>
      <c r="D1117" s="9" t="s">
        <v>799</v>
      </c>
      <c r="E1117" s="9" t="s">
        <v>39</v>
      </c>
      <c r="F1117" s="17">
        <v>0.51049999999999995</v>
      </c>
      <c r="G1117" s="17">
        <v>0.5081</v>
      </c>
      <c r="H1117" s="17">
        <v>2.9999999999999997E-4</v>
      </c>
      <c r="I1117" s="17">
        <v>2.0999999999999999E-3</v>
      </c>
      <c r="J1117" s="17">
        <v>0</v>
      </c>
      <c r="K1117" s="9" t="s">
        <v>1343</v>
      </c>
      <c r="L1117" s="9" t="s">
        <v>260</v>
      </c>
      <c r="M1117" s="9">
        <v>2022</v>
      </c>
      <c r="N1117" s="9" t="s">
        <v>604</v>
      </c>
      <c r="O1117" s="10" t="s">
        <v>605</v>
      </c>
      <c r="P1117" s="9" t="s">
        <v>606</v>
      </c>
      <c r="Q1117" s="9" t="s">
        <v>264</v>
      </c>
      <c r="R1117" s="9" t="s">
        <v>1344</v>
      </c>
      <c r="S1117" s="9" t="s">
        <v>2454</v>
      </c>
    </row>
    <row r="1118" spans="2:19" x14ac:dyDescent="0.35">
      <c r="B1118" s="18" t="s">
        <v>258</v>
      </c>
      <c r="C1118" s="9" t="s">
        <v>259</v>
      </c>
      <c r="D1118" s="9" t="s">
        <v>799</v>
      </c>
      <c r="E1118" s="9" t="s">
        <v>39</v>
      </c>
      <c r="F1118" s="17">
        <v>0.56100000000000005</v>
      </c>
      <c r="G1118" s="17">
        <v>0.55840000000000001</v>
      </c>
      <c r="H1118" s="17">
        <v>2.9999999999999997E-4</v>
      </c>
      <c r="I1118" s="17">
        <v>2.3E-3</v>
      </c>
      <c r="J1118" s="17">
        <v>0</v>
      </c>
      <c r="K1118" s="9" t="s">
        <v>1343</v>
      </c>
      <c r="L1118" s="9" t="s">
        <v>260</v>
      </c>
      <c r="M1118" s="9">
        <v>2023</v>
      </c>
      <c r="N1118" s="9" t="s">
        <v>604</v>
      </c>
      <c r="O1118" s="10" t="s">
        <v>605</v>
      </c>
      <c r="P1118" s="9" t="s">
        <v>606</v>
      </c>
      <c r="Q1118" s="9" t="s">
        <v>264</v>
      </c>
      <c r="R1118" s="9" t="s">
        <v>1344</v>
      </c>
      <c r="S1118" s="9" t="s">
        <v>2455</v>
      </c>
    </row>
    <row r="1119" spans="2:19" x14ac:dyDescent="0.35">
      <c r="B1119" s="18" t="s">
        <v>258</v>
      </c>
      <c r="C1119" s="9" t="s">
        <v>259</v>
      </c>
      <c r="D1119" s="9" t="s">
        <v>799</v>
      </c>
      <c r="E1119" s="9" t="s">
        <v>39</v>
      </c>
      <c r="F1119" s="17">
        <v>0.58930000000000005</v>
      </c>
      <c r="G1119" s="17">
        <v>0.5867</v>
      </c>
      <c r="H1119" s="17">
        <v>2.9999999999999997E-4</v>
      </c>
      <c r="I1119" s="17">
        <v>2.3E-3</v>
      </c>
      <c r="J1119" s="17">
        <v>0</v>
      </c>
      <c r="K1119" s="9" t="s">
        <v>1343</v>
      </c>
      <c r="L1119" s="9" t="s">
        <v>260</v>
      </c>
      <c r="M1119" s="9">
        <v>2024</v>
      </c>
      <c r="N1119" s="9" t="s">
        <v>604</v>
      </c>
      <c r="O1119" s="10" t="s">
        <v>605</v>
      </c>
      <c r="P1119" s="9" t="s">
        <v>606</v>
      </c>
      <c r="Q1119" s="9" t="s">
        <v>264</v>
      </c>
      <c r="R1119" s="9" t="s">
        <v>1344</v>
      </c>
      <c r="S1119" s="9" t="s">
        <v>2456</v>
      </c>
    </row>
    <row r="1120" spans="2:19" x14ac:dyDescent="0.35">
      <c r="B1120" s="18" t="s">
        <v>800</v>
      </c>
      <c r="C1120" s="9" t="s">
        <v>801</v>
      </c>
      <c r="D1120" s="9" t="s">
        <v>799</v>
      </c>
      <c r="E1120" s="9" t="s">
        <v>39</v>
      </c>
      <c r="F1120" s="17">
        <v>3.73E-2</v>
      </c>
      <c r="G1120" s="17"/>
      <c r="H1120" s="17"/>
      <c r="I1120" s="17"/>
      <c r="J1120" s="17">
        <v>3.73E-2</v>
      </c>
      <c r="K1120" s="9" t="s">
        <v>1343</v>
      </c>
      <c r="L1120" s="9" t="s">
        <v>802</v>
      </c>
      <c r="M1120" s="9">
        <v>2022</v>
      </c>
      <c r="N1120" s="9" t="s">
        <v>604</v>
      </c>
      <c r="O1120" s="10" t="s">
        <v>605</v>
      </c>
      <c r="P1120" s="9" t="s">
        <v>606</v>
      </c>
      <c r="Q1120" s="9" t="s">
        <v>264</v>
      </c>
      <c r="R1120" s="9" t="s">
        <v>1344</v>
      </c>
      <c r="S1120" s="9" t="s">
        <v>2457</v>
      </c>
    </row>
    <row r="1121" spans="2:19" x14ac:dyDescent="0.35">
      <c r="B1121" s="18" t="s">
        <v>800</v>
      </c>
      <c r="C1121" s="9" t="s">
        <v>801</v>
      </c>
      <c r="D1121" s="9" t="s">
        <v>799</v>
      </c>
      <c r="E1121" s="9" t="s">
        <v>39</v>
      </c>
      <c r="F1121" s="17">
        <v>4.3200000000000002E-2</v>
      </c>
      <c r="G1121" s="17"/>
      <c r="H1121" s="17"/>
      <c r="I1121" s="17"/>
      <c r="J1121" s="17">
        <v>4.3200000000000002E-2</v>
      </c>
      <c r="K1121" s="9" t="s">
        <v>1343</v>
      </c>
      <c r="L1121" s="9" t="s">
        <v>802</v>
      </c>
      <c r="M1121" s="9">
        <v>2023</v>
      </c>
      <c r="N1121" s="9" t="s">
        <v>604</v>
      </c>
      <c r="O1121" s="10" t="s">
        <v>605</v>
      </c>
      <c r="P1121" s="9" t="s">
        <v>606</v>
      </c>
      <c r="Q1121" s="9" t="s">
        <v>264</v>
      </c>
      <c r="R1121" s="9" t="s">
        <v>1344</v>
      </c>
      <c r="S1121" s="9" t="s">
        <v>2458</v>
      </c>
    </row>
    <row r="1122" spans="2:19" x14ac:dyDescent="0.35">
      <c r="B1122" s="18" t="s">
        <v>800</v>
      </c>
      <c r="C1122" s="9" t="s">
        <v>803</v>
      </c>
      <c r="D1122" s="9" t="s">
        <v>799</v>
      </c>
      <c r="E1122" s="9" t="s">
        <v>39</v>
      </c>
      <c r="F1122" s="17">
        <v>8.3000000000000004E-2</v>
      </c>
      <c r="G1122" s="17"/>
      <c r="H1122" s="17"/>
      <c r="I1122" s="17"/>
      <c r="J1122" s="17">
        <v>8.3000000000000004E-2</v>
      </c>
      <c r="K1122" s="9" t="s">
        <v>1343</v>
      </c>
      <c r="L1122" s="9" t="s">
        <v>804</v>
      </c>
      <c r="M1122" s="9">
        <v>2022</v>
      </c>
      <c r="N1122" s="9" t="s">
        <v>604</v>
      </c>
      <c r="O1122" s="10" t="s">
        <v>605</v>
      </c>
      <c r="P1122" s="9" t="s">
        <v>606</v>
      </c>
      <c r="Q1122" s="9" t="s">
        <v>264</v>
      </c>
      <c r="R1122" s="9" t="s">
        <v>1344</v>
      </c>
      <c r="S1122" s="9" t="s">
        <v>2459</v>
      </c>
    </row>
    <row r="1123" spans="2:19" x14ac:dyDescent="0.35">
      <c r="B1123" s="18" t="s">
        <v>800</v>
      </c>
      <c r="C1123" s="9" t="s">
        <v>803</v>
      </c>
      <c r="D1123" s="9" t="s">
        <v>799</v>
      </c>
      <c r="E1123" s="9" t="s">
        <v>39</v>
      </c>
      <c r="F1123" s="17">
        <v>8.7599999999999997E-2</v>
      </c>
      <c r="G1123" s="17"/>
      <c r="H1123" s="17"/>
      <c r="I1123" s="17"/>
      <c r="J1123" s="17">
        <v>8.7599999999999997E-2</v>
      </c>
      <c r="K1123" s="9" t="s">
        <v>1343</v>
      </c>
      <c r="L1123" s="9" t="s">
        <v>804</v>
      </c>
      <c r="M1123" s="9">
        <v>2023</v>
      </c>
      <c r="N1123" s="9" t="s">
        <v>604</v>
      </c>
      <c r="O1123" s="10" t="s">
        <v>605</v>
      </c>
      <c r="P1123" s="9" t="s">
        <v>606</v>
      </c>
      <c r="Q1123" s="9" t="s">
        <v>264</v>
      </c>
      <c r="R1123" s="9" t="s">
        <v>1344</v>
      </c>
      <c r="S1123" s="9" t="s">
        <v>2460</v>
      </c>
    </row>
    <row r="1124" spans="2:19" x14ac:dyDescent="0.35">
      <c r="B1124" s="18" t="s">
        <v>800</v>
      </c>
      <c r="C1124" s="9" t="s">
        <v>803</v>
      </c>
      <c r="D1124" s="9" t="s">
        <v>799</v>
      </c>
      <c r="E1124" s="9" t="s">
        <v>39</v>
      </c>
      <c r="F1124" s="17">
        <v>8.8099999999999998E-2</v>
      </c>
      <c r="G1124" s="17"/>
      <c r="H1124" s="17"/>
      <c r="I1124" s="17"/>
      <c r="J1124" s="17">
        <v>8.8099999999999998E-2</v>
      </c>
      <c r="K1124" s="9" t="s">
        <v>1343</v>
      </c>
      <c r="L1124" s="9" t="s">
        <v>804</v>
      </c>
      <c r="M1124" s="9">
        <v>2024</v>
      </c>
      <c r="N1124" s="9" t="s">
        <v>604</v>
      </c>
      <c r="O1124" s="10" t="s">
        <v>605</v>
      </c>
      <c r="P1124" s="9" t="s">
        <v>606</v>
      </c>
      <c r="Q1124" s="9" t="s">
        <v>264</v>
      </c>
      <c r="R1124" s="9" t="s">
        <v>1344</v>
      </c>
      <c r="S1124" s="9" t="s">
        <v>2461</v>
      </c>
    </row>
    <row r="1125" spans="2:19" x14ac:dyDescent="0.35">
      <c r="B1125" s="18" t="s">
        <v>258</v>
      </c>
      <c r="C1125" s="9" t="s">
        <v>259</v>
      </c>
      <c r="D1125" s="9" t="s">
        <v>799</v>
      </c>
      <c r="E1125" s="9" t="s">
        <v>39</v>
      </c>
      <c r="F1125" s="17">
        <v>0.45989999999999998</v>
      </c>
      <c r="G1125" s="17">
        <v>0.45789999999999997</v>
      </c>
      <c r="H1125" s="17">
        <v>2.9999999999999997E-4</v>
      </c>
      <c r="I1125" s="17">
        <v>1.6999999999999999E-3</v>
      </c>
      <c r="J1125" s="17">
        <v>0</v>
      </c>
      <c r="K1125" s="9" t="s">
        <v>1343</v>
      </c>
      <c r="L1125" s="9" t="s">
        <v>260</v>
      </c>
      <c r="M1125" s="9">
        <v>2023</v>
      </c>
      <c r="N1125" s="9" t="s">
        <v>486</v>
      </c>
      <c r="O1125" s="10" t="s">
        <v>486</v>
      </c>
      <c r="P1125" s="9" t="s">
        <v>340</v>
      </c>
      <c r="Q1125" s="9" t="s">
        <v>264</v>
      </c>
      <c r="R1125" s="9" t="s">
        <v>1344</v>
      </c>
      <c r="S1125" s="9" t="s">
        <v>2462</v>
      </c>
    </row>
    <row r="1126" spans="2:19" x14ac:dyDescent="0.35">
      <c r="B1126" s="18" t="s">
        <v>258</v>
      </c>
      <c r="C1126" s="9" t="s">
        <v>259</v>
      </c>
      <c r="D1126" s="9" t="s">
        <v>799</v>
      </c>
      <c r="E1126" s="9" t="s">
        <v>39</v>
      </c>
      <c r="F1126" s="17">
        <v>0.46339999999999998</v>
      </c>
      <c r="G1126" s="17">
        <v>0.46139999999999998</v>
      </c>
      <c r="H1126" s="17">
        <v>2.9999999999999997E-4</v>
      </c>
      <c r="I1126" s="17">
        <v>1.6999999999999999E-3</v>
      </c>
      <c r="J1126" s="17">
        <v>0</v>
      </c>
      <c r="K1126" s="9" t="s">
        <v>1343</v>
      </c>
      <c r="L1126" s="9" t="s">
        <v>260</v>
      </c>
      <c r="M1126" s="9">
        <v>2022</v>
      </c>
      <c r="N1126" s="9" t="s">
        <v>486</v>
      </c>
      <c r="O1126" s="10" t="s">
        <v>486</v>
      </c>
      <c r="P1126" s="9" t="s">
        <v>340</v>
      </c>
      <c r="Q1126" s="9" t="s">
        <v>264</v>
      </c>
      <c r="R1126" s="9" t="s">
        <v>1344</v>
      </c>
      <c r="S1126" s="9" t="s">
        <v>2463</v>
      </c>
    </row>
    <row r="1127" spans="2:19" x14ac:dyDescent="0.35">
      <c r="B1127" s="18" t="s">
        <v>800</v>
      </c>
      <c r="C1127" s="9" t="s">
        <v>801</v>
      </c>
      <c r="D1127" s="9" t="s">
        <v>799</v>
      </c>
      <c r="E1127" s="9" t="s">
        <v>39</v>
      </c>
      <c r="F1127" s="17">
        <v>3.85E-2</v>
      </c>
      <c r="G1127" s="17"/>
      <c r="H1127" s="17"/>
      <c r="I1127" s="17"/>
      <c r="J1127" s="17">
        <v>3.85E-2</v>
      </c>
      <c r="K1127" s="9" t="s">
        <v>1343</v>
      </c>
      <c r="L1127" s="9" t="s">
        <v>802</v>
      </c>
      <c r="M1127" s="9">
        <v>2022</v>
      </c>
      <c r="N1127" s="9" t="s">
        <v>486</v>
      </c>
      <c r="O1127" s="10" t="s">
        <v>486</v>
      </c>
      <c r="P1127" s="9" t="s">
        <v>340</v>
      </c>
      <c r="Q1127" s="9" t="s">
        <v>264</v>
      </c>
      <c r="R1127" s="9" t="s">
        <v>1344</v>
      </c>
      <c r="S1127" s="9" t="s">
        <v>2464</v>
      </c>
    </row>
    <row r="1128" spans="2:19" x14ac:dyDescent="0.35">
      <c r="B1128" s="18" t="s">
        <v>800</v>
      </c>
      <c r="C1128" s="9" t="s">
        <v>801</v>
      </c>
      <c r="D1128" s="9" t="s">
        <v>799</v>
      </c>
      <c r="E1128" s="9" t="s">
        <v>39</v>
      </c>
      <c r="F1128" s="17">
        <v>3.9300000000000002E-2</v>
      </c>
      <c r="G1128" s="17"/>
      <c r="H1128" s="17"/>
      <c r="I1128" s="17"/>
      <c r="J1128" s="17">
        <v>3.9300000000000002E-2</v>
      </c>
      <c r="K1128" s="9" t="s">
        <v>1343</v>
      </c>
      <c r="L1128" s="9" t="s">
        <v>802</v>
      </c>
      <c r="M1128" s="9">
        <v>2023</v>
      </c>
      <c r="N1128" s="9" t="s">
        <v>486</v>
      </c>
      <c r="O1128" s="10" t="s">
        <v>486</v>
      </c>
      <c r="P1128" s="9" t="s">
        <v>340</v>
      </c>
      <c r="Q1128" s="9" t="s">
        <v>264</v>
      </c>
      <c r="R1128" s="9" t="s">
        <v>1344</v>
      </c>
      <c r="S1128" s="9" t="s">
        <v>2465</v>
      </c>
    </row>
    <row r="1129" spans="2:19" x14ac:dyDescent="0.35">
      <c r="B1129" s="18" t="s">
        <v>800</v>
      </c>
      <c r="C1129" s="9" t="s">
        <v>803</v>
      </c>
      <c r="D1129" s="9" t="s">
        <v>799</v>
      </c>
      <c r="E1129" s="9" t="s">
        <v>39</v>
      </c>
      <c r="F1129" s="17">
        <v>8.1299999999999997E-2</v>
      </c>
      <c r="G1129" s="17"/>
      <c r="H1129" s="17"/>
      <c r="I1129" s="17"/>
      <c r="J1129" s="17">
        <v>8.1299999999999997E-2</v>
      </c>
      <c r="K1129" s="9" t="s">
        <v>1343</v>
      </c>
      <c r="L1129" s="9" t="s">
        <v>804</v>
      </c>
      <c r="M1129" s="9">
        <v>2024</v>
      </c>
      <c r="N1129" s="9" t="s">
        <v>486</v>
      </c>
      <c r="O1129" s="10" t="s">
        <v>486</v>
      </c>
      <c r="P1129" s="9" t="s">
        <v>340</v>
      </c>
      <c r="Q1129" s="9" t="s">
        <v>264</v>
      </c>
      <c r="R1129" s="9" t="s">
        <v>1344</v>
      </c>
      <c r="S1129" s="9" t="s">
        <v>2466</v>
      </c>
    </row>
    <row r="1130" spans="2:19" x14ac:dyDescent="0.35">
      <c r="B1130" s="18" t="s">
        <v>800</v>
      </c>
      <c r="C1130" s="9" t="s">
        <v>803</v>
      </c>
      <c r="D1130" s="9" t="s">
        <v>799</v>
      </c>
      <c r="E1130" s="9" t="s">
        <v>39</v>
      </c>
      <c r="F1130" s="17">
        <v>8.2000000000000003E-2</v>
      </c>
      <c r="G1130" s="17"/>
      <c r="H1130" s="17"/>
      <c r="I1130" s="17"/>
      <c r="J1130" s="17">
        <v>8.2000000000000003E-2</v>
      </c>
      <c r="K1130" s="9" t="s">
        <v>1343</v>
      </c>
      <c r="L1130" s="9" t="s">
        <v>804</v>
      </c>
      <c r="M1130" s="9">
        <v>2023</v>
      </c>
      <c r="N1130" s="9" t="s">
        <v>486</v>
      </c>
      <c r="O1130" s="10" t="s">
        <v>486</v>
      </c>
      <c r="P1130" s="9" t="s">
        <v>340</v>
      </c>
      <c r="Q1130" s="9" t="s">
        <v>264</v>
      </c>
      <c r="R1130" s="9" t="s">
        <v>1344</v>
      </c>
      <c r="S1130" s="9" t="s">
        <v>2467</v>
      </c>
    </row>
    <row r="1131" spans="2:19" x14ac:dyDescent="0.35">
      <c r="B1131" s="18" t="s">
        <v>800</v>
      </c>
      <c r="C1131" s="9" t="s">
        <v>803</v>
      </c>
      <c r="D1131" s="9" t="s">
        <v>799</v>
      </c>
      <c r="E1131" s="9" t="s">
        <v>39</v>
      </c>
      <c r="F1131" s="17">
        <v>8.3199999999999996E-2</v>
      </c>
      <c r="G1131" s="17"/>
      <c r="H1131" s="17"/>
      <c r="I1131" s="17"/>
      <c r="J1131" s="17">
        <v>8.3199999999999996E-2</v>
      </c>
      <c r="K1131" s="9" t="s">
        <v>1343</v>
      </c>
      <c r="L1131" s="9" t="s">
        <v>804</v>
      </c>
      <c r="M1131" s="9">
        <v>2022</v>
      </c>
      <c r="N1131" s="9" t="s">
        <v>486</v>
      </c>
      <c r="O1131" s="10" t="s">
        <v>486</v>
      </c>
      <c r="P1131" s="9" t="s">
        <v>340</v>
      </c>
      <c r="Q1131" s="9" t="s">
        <v>264</v>
      </c>
      <c r="R1131" s="9" t="s">
        <v>1344</v>
      </c>
      <c r="S1131" s="9" t="s">
        <v>2468</v>
      </c>
    </row>
    <row r="1132" spans="2:19" x14ac:dyDescent="0.35">
      <c r="B1132" s="18" t="s">
        <v>258</v>
      </c>
      <c r="C1132" s="9" t="s">
        <v>259</v>
      </c>
      <c r="D1132" s="9" t="s">
        <v>799</v>
      </c>
      <c r="E1132" s="9" t="s">
        <v>39</v>
      </c>
      <c r="F1132" s="17">
        <v>0.73960000000000004</v>
      </c>
      <c r="G1132" s="17">
        <v>0.73719999999999997</v>
      </c>
      <c r="H1132" s="17">
        <v>8.0000000000000004E-4</v>
      </c>
      <c r="I1132" s="17">
        <v>1.6000000000000001E-3</v>
      </c>
      <c r="J1132" s="17">
        <v>0</v>
      </c>
      <c r="K1132" s="9" t="s">
        <v>1343</v>
      </c>
      <c r="L1132" s="9" t="s">
        <v>260</v>
      </c>
      <c r="M1132" s="9">
        <v>2023</v>
      </c>
      <c r="N1132" s="9" t="s">
        <v>748</v>
      </c>
      <c r="O1132" s="10" t="s">
        <v>749</v>
      </c>
      <c r="P1132" s="9" t="s">
        <v>750</v>
      </c>
      <c r="Q1132" s="9" t="s">
        <v>264</v>
      </c>
      <c r="R1132" s="9" t="s">
        <v>1344</v>
      </c>
      <c r="S1132" s="9" t="s">
        <v>2469</v>
      </c>
    </row>
    <row r="1133" spans="2:19" x14ac:dyDescent="0.35">
      <c r="B1133" s="18" t="s">
        <v>258</v>
      </c>
      <c r="C1133" s="9" t="s">
        <v>259</v>
      </c>
      <c r="D1133" s="9" t="s">
        <v>799</v>
      </c>
      <c r="E1133" s="9" t="s">
        <v>39</v>
      </c>
      <c r="F1133" s="17">
        <v>0.74419999999999997</v>
      </c>
      <c r="G1133" s="17">
        <v>0.74180000000000001</v>
      </c>
      <c r="H1133" s="17">
        <v>8.0000000000000004E-4</v>
      </c>
      <c r="I1133" s="17">
        <v>1.6000000000000001E-3</v>
      </c>
      <c r="J1133" s="17">
        <v>0</v>
      </c>
      <c r="K1133" s="9" t="s">
        <v>1343</v>
      </c>
      <c r="L1133" s="9" t="s">
        <v>260</v>
      </c>
      <c r="M1133" s="9">
        <v>2022</v>
      </c>
      <c r="N1133" s="9" t="s">
        <v>748</v>
      </c>
      <c r="O1133" s="10" t="s">
        <v>749</v>
      </c>
      <c r="P1133" s="9" t="s">
        <v>750</v>
      </c>
      <c r="Q1133" s="9" t="s">
        <v>264</v>
      </c>
      <c r="R1133" s="9" t="s">
        <v>1344</v>
      </c>
      <c r="S1133" s="9" t="s">
        <v>2470</v>
      </c>
    </row>
    <row r="1134" spans="2:19" x14ac:dyDescent="0.35">
      <c r="B1134" s="18" t="s">
        <v>800</v>
      </c>
      <c r="C1134" s="9" t="s">
        <v>801</v>
      </c>
      <c r="D1134" s="9" t="s">
        <v>799</v>
      </c>
      <c r="E1134" s="9" t="s">
        <v>39</v>
      </c>
      <c r="F1134" s="17">
        <v>0.29930000000000001</v>
      </c>
      <c r="G1134" s="17"/>
      <c r="H1134" s="17"/>
      <c r="I1134" s="17"/>
      <c r="J1134" s="17">
        <v>0.29930000000000001</v>
      </c>
      <c r="K1134" s="9" t="s">
        <v>1343</v>
      </c>
      <c r="L1134" s="9" t="s">
        <v>802</v>
      </c>
      <c r="M1134" s="9">
        <v>2023</v>
      </c>
      <c r="N1134" s="9" t="s">
        <v>748</v>
      </c>
      <c r="O1134" s="10" t="s">
        <v>749</v>
      </c>
      <c r="P1134" s="9" t="s">
        <v>750</v>
      </c>
      <c r="Q1134" s="9" t="s">
        <v>264</v>
      </c>
      <c r="R1134" s="9" t="s">
        <v>1344</v>
      </c>
      <c r="S1134" s="9" t="s">
        <v>2471</v>
      </c>
    </row>
    <row r="1135" spans="2:19" x14ac:dyDescent="0.35">
      <c r="B1135" s="18" t="s">
        <v>800</v>
      </c>
      <c r="C1135" s="9" t="s">
        <v>801</v>
      </c>
      <c r="D1135" s="9" t="s">
        <v>799</v>
      </c>
      <c r="E1135" s="9" t="s">
        <v>39</v>
      </c>
      <c r="F1135" s="17">
        <v>0.30399999999999999</v>
      </c>
      <c r="G1135" s="17"/>
      <c r="H1135" s="17"/>
      <c r="I1135" s="17"/>
      <c r="J1135" s="17">
        <v>0.30399999999999999</v>
      </c>
      <c r="K1135" s="9" t="s">
        <v>1343</v>
      </c>
      <c r="L1135" s="9" t="s">
        <v>802</v>
      </c>
      <c r="M1135" s="9">
        <v>2022</v>
      </c>
      <c r="N1135" s="9" t="s">
        <v>748</v>
      </c>
      <c r="O1135" s="10" t="s">
        <v>749</v>
      </c>
      <c r="P1135" s="9" t="s">
        <v>750</v>
      </c>
      <c r="Q1135" s="9" t="s">
        <v>264</v>
      </c>
      <c r="R1135" s="9" t="s">
        <v>1344</v>
      </c>
      <c r="S1135" s="9" t="s">
        <v>2472</v>
      </c>
    </row>
    <row r="1136" spans="2:19" x14ac:dyDescent="0.35">
      <c r="B1136" s="18" t="s">
        <v>800</v>
      </c>
      <c r="C1136" s="9" t="s">
        <v>803</v>
      </c>
      <c r="D1136" s="9" t="s">
        <v>799</v>
      </c>
      <c r="E1136" s="9" t="s">
        <v>39</v>
      </c>
      <c r="F1136" s="17">
        <v>0.17150000000000001</v>
      </c>
      <c r="G1136" s="17"/>
      <c r="H1136" s="17"/>
      <c r="I1136" s="17"/>
      <c r="J1136" s="17">
        <v>0.17150000000000001</v>
      </c>
      <c r="K1136" s="9" t="s">
        <v>1343</v>
      </c>
      <c r="L1136" s="9" t="s">
        <v>804</v>
      </c>
      <c r="M1136" s="9">
        <v>2024</v>
      </c>
      <c r="N1136" s="9" t="s">
        <v>748</v>
      </c>
      <c r="O1136" s="10" t="s">
        <v>749</v>
      </c>
      <c r="P1136" s="9" t="s">
        <v>750</v>
      </c>
      <c r="Q1136" s="9" t="s">
        <v>264</v>
      </c>
      <c r="R1136" s="9" t="s">
        <v>1344</v>
      </c>
      <c r="S1136" s="9" t="s">
        <v>2473</v>
      </c>
    </row>
    <row r="1137" spans="2:19" x14ac:dyDescent="0.35">
      <c r="B1137" s="18" t="s">
        <v>800</v>
      </c>
      <c r="C1137" s="9" t="s">
        <v>803</v>
      </c>
      <c r="D1137" s="9" t="s">
        <v>799</v>
      </c>
      <c r="E1137" s="9" t="s">
        <v>39</v>
      </c>
      <c r="F1137" s="17">
        <v>0.17599999999999999</v>
      </c>
      <c r="G1137" s="17"/>
      <c r="H1137" s="17"/>
      <c r="I1137" s="17"/>
      <c r="J1137" s="17">
        <v>0.17599999999999999</v>
      </c>
      <c r="K1137" s="9" t="s">
        <v>1343</v>
      </c>
      <c r="L1137" s="9" t="s">
        <v>804</v>
      </c>
      <c r="M1137" s="9">
        <v>2023</v>
      </c>
      <c r="N1137" s="9" t="s">
        <v>748</v>
      </c>
      <c r="O1137" s="10" t="s">
        <v>749</v>
      </c>
      <c r="P1137" s="9" t="s">
        <v>750</v>
      </c>
      <c r="Q1137" s="9" t="s">
        <v>264</v>
      </c>
      <c r="R1137" s="9" t="s">
        <v>1344</v>
      </c>
      <c r="S1137" s="9" t="s">
        <v>2474</v>
      </c>
    </row>
    <row r="1138" spans="2:19" x14ac:dyDescent="0.35">
      <c r="B1138" s="18" t="s">
        <v>800</v>
      </c>
      <c r="C1138" s="9" t="s">
        <v>803</v>
      </c>
      <c r="D1138" s="9" t="s">
        <v>799</v>
      </c>
      <c r="E1138" s="9" t="s">
        <v>39</v>
      </c>
      <c r="F1138" s="17">
        <v>0.17860000000000001</v>
      </c>
      <c r="G1138" s="17"/>
      <c r="H1138" s="17"/>
      <c r="I1138" s="17"/>
      <c r="J1138" s="17">
        <v>0.17860000000000001</v>
      </c>
      <c r="K1138" s="9" t="s">
        <v>1343</v>
      </c>
      <c r="L1138" s="9" t="s">
        <v>804</v>
      </c>
      <c r="M1138" s="9">
        <v>2022</v>
      </c>
      <c r="N1138" s="9" t="s">
        <v>748</v>
      </c>
      <c r="O1138" s="10" t="s">
        <v>749</v>
      </c>
      <c r="P1138" s="9" t="s">
        <v>750</v>
      </c>
      <c r="Q1138" s="9" t="s">
        <v>264</v>
      </c>
      <c r="R1138" s="9" t="s">
        <v>1344</v>
      </c>
      <c r="S1138" s="9" t="s">
        <v>2475</v>
      </c>
    </row>
    <row r="1139" spans="2:19" x14ac:dyDescent="0.35">
      <c r="B1139" s="18" t="s">
        <v>258</v>
      </c>
      <c r="C1139" s="9" t="s">
        <v>259</v>
      </c>
      <c r="D1139" s="9" t="s">
        <v>799</v>
      </c>
      <c r="E1139" s="9" t="s">
        <v>39</v>
      </c>
      <c r="F1139" s="17">
        <v>0.159</v>
      </c>
      <c r="G1139" s="17">
        <v>0.15809999999999999</v>
      </c>
      <c r="H1139" s="17">
        <v>1E-4</v>
      </c>
      <c r="I1139" s="17">
        <v>8.0000000000000004E-4</v>
      </c>
      <c r="J1139" s="17">
        <v>0</v>
      </c>
      <c r="K1139" s="9" t="s">
        <v>1343</v>
      </c>
      <c r="L1139" s="9" t="s">
        <v>260</v>
      </c>
      <c r="M1139" s="9">
        <v>2023</v>
      </c>
      <c r="N1139" s="9" t="s">
        <v>607</v>
      </c>
      <c r="O1139" s="10" t="s">
        <v>608</v>
      </c>
      <c r="P1139" s="9" t="s">
        <v>609</v>
      </c>
      <c r="Q1139" s="9" t="s">
        <v>264</v>
      </c>
      <c r="R1139" s="9" t="s">
        <v>1344</v>
      </c>
      <c r="S1139" s="9" t="s">
        <v>2476</v>
      </c>
    </row>
    <row r="1140" spans="2:19" x14ac:dyDescent="0.35">
      <c r="B1140" s="18" t="s">
        <v>258</v>
      </c>
      <c r="C1140" s="9" t="s">
        <v>259</v>
      </c>
      <c r="D1140" s="9" t="s">
        <v>799</v>
      </c>
      <c r="E1140" s="9" t="s">
        <v>39</v>
      </c>
      <c r="F1140" s="17">
        <v>0.16139999999999999</v>
      </c>
      <c r="G1140" s="17">
        <v>0.1605</v>
      </c>
      <c r="H1140" s="17">
        <v>1E-4</v>
      </c>
      <c r="I1140" s="17">
        <v>8.0000000000000004E-4</v>
      </c>
      <c r="J1140" s="17">
        <v>0</v>
      </c>
      <c r="K1140" s="9" t="s">
        <v>1343</v>
      </c>
      <c r="L1140" s="9" t="s">
        <v>260</v>
      </c>
      <c r="M1140" s="9">
        <v>2022</v>
      </c>
      <c r="N1140" s="9" t="s">
        <v>607</v>
      </c>
      <c r="O1140" s="10" t="s">
        <v>608</v>
      </c>
      <c r="P1140" s="9" t="s">
        <v>609</v>
      </c>
      <c r="Q1140" s="9" t="s">
        <v>264</v>
      </c>
      <c r="R1140" s="9" t="s">
        <v>1344</v>
      </c>
      <c r="S1140" s="9" t="s">
        <v>2477</v>
      </c>
    </row>
    <row r="1141" spans="2:19" x14ac:dyDescent="0.35">
      <c r="B1141" s="18" t="s">
        <v>258</v>
      </c>
      <c r="C1141" s="9" t="s">
        <v>259</v>
      </c>
      <c r="D1141" s="9" t="s">
        <v>799</v>
      </c>
      <c r="E1141" s="9" t="s">
        <v>39</v>
      </c>
      <c r="F1141" s="17">
        <v>0.24740000000000001</v>
      </c>
      <c r="G1141" s="17">
        <v>0.2465</v>
      </c>
      <c r="H1141" s="17">
        <v>1E-4</v>
      </c>
      <c r="I1141" s="17">
        <v>8.0000000000000004E-4</v>
      </c>
      <c r="J1141" s="17">
        <v>0</v>
      </c>
      <c r="K1141" s="9" t="s">
        <v>1343</v>
      </c>
      <c r="L1141" s="9" t="s">
        <v>260</v>
      </c>
      <c r="M1141" s="9">
        <v>2024</v>
      </c>
      <c r="N1141" s="9" t="s">
        <v>607</v>
      </c>
      <c r="O1141" s="10" t="s">
        <v>608</v>
      </c>
      <c r="P1141" s="9" t="s">
        <v>609</v>
      </c>
      <c r="Q1141" s="9" t="s">
        <v>264</v>
      </c>
      <c r="R1141" s="9" t="s">
        <v>1344</v>
      </c>
      <c r="S1141" s="9" t="s">
        <v>2478</v>
      </c>
    </row>
    <row r="1142" spans="2:19" x14ac:dyDescent="0.35">
      <c r="B1142" s="18" t="s">
        <v>800</v>
      </c>
      <c r="C1142" s="9" t="s">
        <v>801</v>
      </c>
      <c r="D1142" s="9" t="s">
        <v>799</v>
      </c>
      <c r="E1142" s="9" t="s">
        <v>39</v>
      </c>
      <c r="F1142" s="17">
        <v>9.9000000000000008E-3</v>
      </c>
      <c r="G1142" s="17"/>
      <c r="H1142" s="17"/>
      <c r="I1142" s="17"/>
      <c r="J1142" s="17">
        <v>9.9000000000000008E-3</v>
      </c>
      <c r="K1142" s="9" t="s">
        <v>1343</v>
      </c>
      <c r="L1142" s="9" t="s">
        <v>802</v>
      </c>
      <c r="M1142" s="9">
        <v>2023</v>
      </c>
      <c r="N1142" s="9" t="s">
        <v>607</v>
      </c>
      <c r="O1142" s="10" t="s">
        <v>608</v>
      </c>
      <c r="P1142" s="9" t="s">
        <v>609</v>
      </c>
      <c r="Q1142" s="9" t="s">
        <v>264</v>
      </c>
      <c r="R1142" s="9" t="s">
        <v>1344</v>
      </c>
      <c r="S1142" s="9" t="s">
        <v>2479</v>
      </c>
    </row>
    <row r="1143" spans="2:19" x14ac:dyDescent="0.35">
      <c r="B1143" s="18" t="s">
        <v>800</v>
      </c>
      <c r="C1143" s="9" t="s">
        <v>801</v>
      </c>
      <c r="D1143" s="9" t="s">
        <v>799</v>
      </c>
      <c r="E1143" s="9" t="s">
        <v>39</v>
      </c>
      <c r="F1143" s="17">
        <v>2.1899999999999999E-2</v>
      </c>
      <c r="G1143" s="17"/>
      <c r="H1143" s="17"/>
      <c r="I1143" s="17"/>
      <c r="J1143" s="17">
        <v>2.1899999999999999E-2</v>
      </c>
      <c r="K1143" s="9" t="s">
        <v>1343</v>
      </c>
      <c r="L1143" s="9" t="s">
        <v>802</v>
      </c>
      <c r="M1143" s="9">
        <v>2022</v>
      </c>
      <c r="N1143" s="9" t="s">
        <v>607</v>
      </c>
      <c r="O1143" s="10" t="s">
        <v>608</v>
      </c>
      <c r="P1143" s="9" t="s">
        <v>609</v>
      </c>
      <c r="Q1143" s="9" t="s">
        <v>264</v>
      </c>
      <c r="R1143" s="9" t="s">
        <v>1344</v>
      </c>
      <c r="S1143" s="9" t="s">
        <v>2480</v>
      </c>
    </row>
    <row r="1144" spans="2:19" x14ac:dyDescent="0.35">
      <c r="B1144" s="18" t="s">
        <v>800</v>
      </c>
      <c r="C1144" s="9" t="s">
        <v>803</v>
      </c>
      <c r="D1144" s="9" t="s">
        <v>799</v>
      </c>
      <c r="E1144" s="9" t="s">
        <v>39</v>
      </c>
      <c r="F1144" s="17">
        <v>2.4299999999999999E-2</v>
      </c>
      <c r="G1144" s="17"/>
      <c r="H1144" s="17"/>
      <c r="I1144" s="17"/>
      <c r="J1144" s="17">
        <v>2.4299999999999999E-2</v>
      </c>
      <c r="K1144" s="9" t="s">
        <v>1343</v>
      </c>
      <c r="L1144" s="9" t="s">
        <v>804</v>
      </c>
      <c r="M1144" s="9">
        <v>2023</v>
      </c>
      <c r="N1144" s="9" t="s">
        <v>607</v>
      </c>
      <c r="O1144" s="10" t="s">
        <v>608</v>
      </c>
      <c r="P1144" s="9" t="s">
        <v>609</v>
      </c>
      <c r="Q1144" s="9" t="s">
        <v>264</v>
      </c>
      <c r="R1144" s="9" t="s">
        <v>1344</v>
      </c>
      <c r="S1144" s="9" t="s">
        <v>2481</v>
      </c>
    </row>
    <row r="1145" spans="2:19" x14ac:dyDescent="0.35">
      <c r="B1145" s="18" t="s">
        <v>800</v>
      </c>
      <c r="C1145" s="9" t="s">
        <v>803</v>
      </c>
      <c r="D1145" s="9" t="s">
        <v>799</v>
      </c>
      <c r="E1145" s="9" t="s">
        <v>39</v>
      </c>
      <c r="F1145" s="17">
        <v>2.5399999999999999E-2</v>
      </c>
      <c r="G1145" s="17"/>
      <c r="H1145" s="17"/>
      <c r="I1145" s="17"/>
      <c r="J1145" s="17">
        <v>2.5399999999999999E-2</v>
      </c>
      <c r="K1145" s="9" t="s">
        <v>1343</v>
      </c>
      <c r="L1145" s="9" t="s">
        <v>804</v>
      </c>
      <c r="M1145" s="9">
        <v>2022</v>
      </c>
      <c r="N1145" s="9" t="s">
        <v>607</v>
      </c>
      <c r="O1145" s="10" t="s">
        <v>608</v>
      </c>
      <c r="P1145" s="9" t="s">
        <v>609</v>
      </c>
      <c r="Q1145" s="9" t="s">
        <v>264</v>
      </c>
      <c r="R1145" s="9" t="s">
        <v>1344</v>
      </c>
      <c r="S1145" s="9" t="s">
        <v>2482</v>
      </c>
    </row>
    <row r="1146" spans="2:19" x14ac:dyDescent="0.35">
      <c r="B1146" s="18" t="s">
        <v>800</v>
      </c>
      <c r="C1146" s="9" t="s">
        <v>803</v>
      </c>
      <c r="D1146" s="9" t="s">
        <v>799</v>
      </c>
      <c r="E1146" s="9" t="s">
        <v>39</v>
      </c>
      <c r="F1146" s="17">
        <v>3.6499999999999998E-2</v>
      </c>
      <c r="G1146" s="17"/>
      <c r="H1146" s="17"/>
      <c r="I1146" s="17"/>
      <c r="J1146" s="17">
        <v>3.6499999999999998E-2</v>
      </c>
      <c r="K1146" s="9" t="s">
        <v>1343</v>
      </c>
      <c r="L1146" s="9" t="s">
        <v>804</v>
      </c>
      <c r="M1146" s="9">
        <v>2024</v>
      </c>
      <c r="N1146" s="9" t="s">
        <v>607</v>
      </c>
      <c r="O1146" s="10" t="s">
        <v>608</v>
      </c>
      <c r="P1146" s="9" t="s">
        <v>609</v>
      </c>
      <c r="Q1146" s="9" t="s">
        <v>264</v>
      </c>
      <c r="R1146" s="9" t="s">
        <v>1344</v>
      </c>
      <c r="S1146" s="9" t="s">
        <v>2483</v>
      </c>
    </row>
    <row r="1147" spans="2:19" x14ac:dyDescent="0.35">
      <c r="B1147" s="18" t="s">
        <v>258</v>
      </c>
      <c r="C1147" s="9" t="s">
        <v>259</v>
      </c>
      <c r="D1147" s="9" t="s">
        <v>799</v>
      </c>
      <c r="E1147" s="9" t="s">
        <v>39</v>
      </c>
      <c r="F1147" s="17">
        <v>0.4889</v>
      </c>
      <c r="G1147" s="17">
        <v>0.48649999999999999</v>
      </c>
      <c r="H1147" s="17">
        <v>2.0000000000000001E-4</v>
      </c>
      <c r="I1147" s="17">
        <v>2.2000000000000001E-3</v>
      </c>
      <c r="J1147" s="17">
        <v>0</v>
      </c>
      <c r="K1147" s="9" t="s">
        <v>1343</v>
      </c>
      <c r="L1147" s="9" t="s">
        <v>260</v>
      </c>
      <c r="M1147" s="9">
        <v>2022</v>
      </c>
      <c r="N1147" s="9" t="s">
        <v>613</v>
      </c>
      <c r="O1147" s="10" t="s">
        <v>614</v>
      </c>
      <c r="P1147" s="9" t="s">
        <v>615</v>
      </c>
      <c r="Q1147" s="9" t="s">
        <v>264</v>
      </c>
      <c r="R1147" s="9" t="s">
        <v>1344</v>
      </c>
      <c r="S1147" s="9" t="s">
        <v>2484</v>
      </c>
    </row>
    <row r="1148" spans="2:19" x14ac:dyDescent="0.35">
      <c r="B1148" s="18" t="s">
        <v>258</v>
      </c>
      <c r="C1148" s="9" t="s">
        <v>259</v>
      </c>
      <c r="D1148" s="9" t="s">
        <v>799</v>
      </c>
      <c r="E1148" s="9" t="s">
        <v>39</v>
      </c>
      <c r="F1148" s="17">
        <v>0.7298</v>
      </c>
      <c r="G1148" s="17">
        <v>0.72629999999999995</v>
      </c>
      <c r="H1148" s="17">
        <v>2.9999999999999997E-4</v>
      </c>
      <c r="I1148" s="17">
        <v>3.2000000000000002E-3</v>
      </c>
      <c r="J1148" s="17">
        <v>0</v>
      </c>
      <c r="K1148" s="9" t="s">
        <v>1343</v>
      </c>
      <c r="L1148" s="9" t="s">
        <v>260</v>
      </c>
      <c r="M1148" s="9">
        <v>2023</v>
      </c>
      <c r="N1148" s="9" t="s">
        <v>613</v>
      </c>
      <c r="O1148" s="10" t="s">
        <v>614</v>
      </c>
      <c r="P1148" s="9" t="s">
        <v>615</v>
      </c>
      <c r="Q1148" s="9" t="s">
        <v>264</v>
      </c>
      <c r="R1148" s="9" t="s">
        <v>1344</v>
      </c>
      <c r="S1148" s="9" t="s">
        <v>2485</v>
      </c>
    </row>
    <row r="1149" spans="2:19" x14ac:dyDescent="0.35">
      <c r="B1149" s="18" t="s">
        <v>800</v>
      </c>
      <c r="C1149" s="9" t="s">
        <v>801</v>
      </c>
      <c r="D1149" s="9" t="s">
        <v>799</v>
      </c>
      <c r="E1149" s="9" t="s">
        <v>39</v>
      </c>
      <c r="F1149" s="17">
        <v>9.98E-2</v>
      </c>
      <c r="G1149" s="17"/>
      <c r="H1149" s="17"/>
      <c r="I1149" s="17"/>
      <c r="J1149" s="17">
        <v>9.98E-2</v>
      </c>
      <c r="K1149" s="9" t="s">
        <v>1343</v>
      </c>
      <c r="L1149" s="9" t="s">
        <v>802</v>
      </c>
      <c r="M1149" s="9">
        <v>2022</v>
      </c>
      <c r="N1149" s="9" t="s">
        <v>613</v>
      </c>
      <c r="O1149" s="10" t="s">
        <v>614</v>
      </c>
      <c r="P1149" s="9" t="s">
        <v>615</v>
      </c>
      <c r="Q1149" s="9" t="s">
        <v>264</v>
      </c>
      <c r="R1149" s="9" t="s">
        <v>1344</v>
      </c>
      <c r="S1149" s="9" t="s">
        <v>2486</v>
      </c>
    </row>
    <row r="1150" spans="2:19" x14ac:dyDescent="0.35">
      <c r="B1150" s="18" t="s">
        <v>800</v>
      </c>
      <c r="C1150" s="9" t="s">
        <v>801</v>
      </c>
      <c r="D1150" s="9" t="s">
        <v>799</v>
      </c>
      <c r="E1150" s="9" t="s">
        <v>39</v>
      </c>
      <c r="F1150" s="17">
        <v>0.1542</v>
      </c>
      <c r="G1150" s="17"/>
      <c r="H1150" s="17"/>
      <c r="I1150" s="17"/>
      <c r="J1150" s="17">
        <v>0.1542</v>
      </c>
      <c r="K1150" s="9" t="s">
        <v>1343</v>
      </c>
      <c r="L1150" s="9" t="s">
        <v>802</v>
      </c>
      <c r="M1150" s="9">
        <v>2023</v>
      </c>
      <c r="N1150" s="9" t="s">
        <v>613</v>
      </c>
      <c r="O1150" s="10" t="s">
        <v>614</v>
      </c>
      <c r="P1150" s="9" t="s">
        <v>615</v>
      </c>
      <c r="Q1150" s="9" t="s">
        <v>264</v>
      </c>
      <c r="R1150" s="9" t="s">
        <v>1344</v>
      </c>
      <c r="S1150" s="9" t="s">
        <v>2487</v>
      </c>
    </row>
    <row r="1151" spans="2:19" x14ac:dyDescent="0.35">
      <c r="B1151" s="18" t="s">
        <v>800</v>
      </c>
      <c r="C1151" s="9" t="s">
        <v>803</v>
      </c>
      <c r="D1151" s="9" t="s">
        <v>799</v>
      </c>
      <c r="E1151" s="9" t="s">
        <v>39</v>
      </c>
      <c r="F1151" s="17">
        <v>6.5799999999999997E-2</v>
      </c>
      <c r="G1151" s="17"/>
      <c r="H1151" s="17"/>
      <c r="I1151" s="17"/>
      <c r="J1151" s="17">
        <v>6.5799999999999997E-2</v>
      </c>
      <c r="K1151" s="9" t="s">
        <v>1343</v>
      </c>
      <c r="L1151" s="9" t="s">
        <v>804</v>
      </c>
      <c r="M1151" s="9">
        <v>2022</v>
      </c>
      <c r="N1151" s="9" t="s">
        <v>613</v>
      </c>
      <c r="O1151" s="10" t="s">
        <v>614</v>
      </c>
      <c r="P1151" s="9" t="s">
        <v>615</v>
      </c>
      <c r="Q1151" s="9" t="s">
        <v>264</v>
      </c>
      <c r="R1151" s="9" t="s">
        <v>1344</v>
      </c>
      <c r="S1151" s="9" t="s">
        <v>2488</v>
      </c>
    </row>
    <row r="1152" spans="2:19" x14ac:dyDescent="0.35">
      <c r="B1152" s="22" t="s">
        <v>800</v>
      </c>
      <c r="C1152" s="55" t="s">
        <v>803</v>
      </c>
      <c r="D1152" s="55" t="s">
        <v>799</v>
      </c>
      <c r="E1152" s="55" t="s">
        <v>39</v>
      </c>
      <c r="F1152" s="36">
        <v>0.1023</v>
      </c>
      <c r="G1152" s="36"/>
      <c r="H1152" s="36"/>
      <c r="I1152" s="36"/>
      <c r="J1152" s="36">
        <v>0.1023</v>
      </c>
      <c r="K1152" s="55" t="s">
        <v>1343</v>
      </c>
      <c r="L1152" s="55" t="s">
        <v>804</v>
      </c>
      <c r="M1152" s="55">
        <v>2023</v>
      </c>
      <c r="N1152" s="55" t="s">
        <v>613</v>
      </c>
      <c r="O1152" s="26" t="s">
        <v>614</v>
      </c>
      <c r="P1152" s="55" t="s">
        <v>615</v>
      </c>
      <c r="Q1152" s="55" t="s">
        <v>264</v>
      </c>
      <c r="R1152" s="55" t="s">
        <v>1344</v>
      </c>
      <c r="S1152" s="55" t="s">
        <v>2489</v>
      </c>
    </row>
    <row r="1153" spans="2:13" s="92" customFormat="1" ht="15" thickBot="1" x14ac:dyDescent="0.4"/>
    <row r="1154" spans="2:13" ht="15" thickTop="1" x14ac:dyDescent="0.35"/>
    <row r="1155" spans="2:13" ht="17" x14ac:dyDescent="0.35">
      <c r="B1155" s="41" t="s">
        <v>2578</v>
      </c>
      <c r="C1155" s="67"/>
      <c r="D1155" s="67"/>
      <c r="E1155" s="67"/>
      <c r="F1155" s="67"/>
      <c r="G1155" s="67"/>
      <c r="H1155" s="67"/>
      <c r="I1155" s="67"/>
      <c r="J1155" s="67"/>
      <c r="K1155" s="67"/>
      <c r="L1155" s="67"/>
      <c r="M1155" s="67"/>
    </row>
    <row r="1157" spans="2:13" ht="30" customHeight="1" x14ac:dyDescent="0.35">
      <c r="B1157" s="79" t="s">
        <v>846</v>
      </c>
      <c r="C1157" s="80" t="s">
        <v>847</v>
      </c>
      <c r="D1157" s="80" t="s">
        <v>40</v>
      </c>
      <c r="E1157" s="86" t="s">
        <v>245</v>
      </c>
      <c r="F1157" s="86" t="s">
        <v>246</v>
      </c>
      <c r="G1157" s="86" t="s">
        <v>247</v>
      </c>
      <c r="H1157" s="86" t="s">
        <v>248</v>
      </c>
      <c r="I1157" s="86" t="s">
        <v>249</v>
      </c>
      <c r="J1157" s="80" t="s">
        <v>38</v>
      </c>
      <c r="K1157" s="80" t="s">
        <v>46</v>
      </c>
      <c r="L1157" s="81" t="s">
        <v>47</v>
      </c>
      <c r="M1157" s="80" t="s">
        <v>852</v>
      </c>
    </row>
    <row r="1158" spans="2:13" ht="20" customHeight="1" x14ac:dyDescent="0.35">
      <c r="B1158" s="18" t="s">
        <v>848</v>
      </c>
      <c r="C1158" s="9" t="s">
        <v>850</v>
      </c>
      <c r="D1158" s="9" t="s">
        <v>39</v>
      </c>
      <c r="E1158" s="17">
        <v>3.3410000000000002E-2</v>
      </c>
      <c r="F1158" s="17"/>
      <c r="G1158" s="17"/>
      <c r="H1158" s="17"/>
      <c r="I1158" s="17"/>
      <c r="J1158" s="9" t="s">
        <v>53</v>
      </c>
      <c r="K1158" s="9">
        <v>2025</v>
      </c>
      <c r="L1158" s="91" t="s">
        <v>54</v>
      </c>
      <c r="M1158" s="93" t="s">
        <v>853</v>
      </c>
    </row>
    <row r="1159" spans="2:13" ht="20" customHeight="1" x14ac:dyDescent="0.35">
      <c r="B1159" s="22" t="s">
        <v>849</v>
      </c>
      <c r="C1159" s="55" t="s">
        <v>851</v>
      </c>
      <c r="D1159" s="55" t="s">
        <v>39</v>
      </c>
      <c r="E1159" s="36">
        <v>1.7600000000000001E-3</v>
      </c>
      <c r="F1159" s="36"/>
      <c r="G1159" s="36"/>
      <c r="H1159" s="36"/>
      <c r="I1159" s="36"/>
      <c r="J1159" s="55" t="s">
        <v>53</v>
      </c>
      <c r="K1159" s="55">
        <v>2025</v>
      </c>
      <c r="L1159" s="78" t="s">
        <v>54</v>
      </c>
      <c r="M1159" s="87" t="s">
        <v>854</v>
      </c>
    </row>
    <row r="1160" spans="2:13" ht="20" customHeight="1" x14ac:dyDescent="0.35">
      <c r="B1160" s="22" t="s">
        <v>2506</v>
      </c>
      <c r="C1160" s="55" t="s">
        <v>850</v>
      </c>
      <c r="D1160" s="55" t="s">
        <v>39</v>
      </c>
      <c r="E1160" s="36">
        <v>0.17529</v>
      </c>
      <c r="F1160" s="36">
        <v>0.17355000000000001</v>
      </c>
      <c r="G1160" s="36">
        <v>1.2199999999999999E-3</v>
      </c>
      <c r="H1160" s="36">
        <v>5.1999999999999995E-4</v>
      </c>
      <c r="I1160" s="36">
        <v>0</v>
      </c>
      <c r="J1160" s="55" t="s">
        <v>53</v>
      </c>
      <c r="K1160" s="55">
        <v>2025</v>
      </c>
      <c r="L1160" s="78" t="s">
        <v>54</v>
      </c>
      <c r="M1160" s="94" t="s">
        <v>855</v>
      </c>
    </row>
  </sheetData>
  <phoneticPr fontId="22" type="noConversion"/>
  <hyperlinks>
    <hyperlink ref="L1158" r:id="rId1" xr:uid="{6D87DADA-5DCE-4155-B0B0-24ED272382FA}"/>
    <hyperlink ref="L1159" r:id="rId2" xr:uid="{83E1A63B-4D04-4763-81D5-5CD65A366BCA}"/>
    <hyperlink ref="L1160" r:id="rId3" xr:uid="{0806B7A2-C4FB-43BF-93CC-A9A3544F4031}"/>
  </hyperlinks>
  <pageMargins left="0.7" right="0.7" top="0.75" bottom="0.75" header="0.3" footer="0.3"/>
  <tableParts count="2">
    <tablePart r:id="rId4"/>
    <tablePart r:id="rId5"/>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B0252-5A69-4AFC-964C-A3130147CB49}">
  <sheetPr>
    <tabColor rgb="FFE7EEEE"/>
  </sheetPr>
  <dimension ref="B1:FB192"/>
  <sheetViews>
    <sheetView showGridLines="0" zoomScale="80" zoomScaleNormal="80" workbookViewId="0">
      <selection activeCell="C197" sqref="C197"/>
    </sheetView>
  </sheetViews>
  <sheetFormatPr defaultRowHeight="14.5" x14ac:dyDescent="0.35"/>
  <cols>
    <col min="1" max="1" width="2.6328125" style="2" customWidth="1"/>
    <col min="2" max="2" width="33.90625" style="2" bestFit="1" customWidth="1"/>
    <col min="3" max="3" width="39.453125" style="2" bestFit="1" customWidth="1"/>
    <col min="4" max="4" width="70.90625" style="2" bestFit="1" customWidth="1"/>
    <col min="5" max="5" width="24.26953125" style="2" customWidth="1"/>
    <col min="6" max="6" width="23.7265625" style="2" customWidth="1"/>
    <col min="7" max="8" width="24.26953125" style="2" customWidth="1"/>
    <col min="9" max="9" width="24.54296875" style="2" customWidth="1"/>
    <col min="10" max="10" width="24.26953125" style="2" customWidth="1"/>
    <col min="11" max="11" width="22.36328125" style="2" customWidth="1"/>
    <col min="12" max="12" width="21.81640625" style="2" customWidth="1"/>
    <col min="13" max="25" width="20.6328125" style="2" customWidth="1"/>
    <col min="26" max="26" width="25.26953125" style="2" customWidth="1"/>
    <col min="27" max="40" width="20.6328125" style="2" customWidth="1"/>
    <col min="41" max="41" width="21.7265625" style="2" customWidth="1"/>
    <col min="42" max="67" width="20.6328125" style="2" customWidth="1"/>
    <col min="68" max="68" width="25.6328125" style="2" customWidth="1"/>
    <col min="69" max="79" width="20.6328125" style="2" customWidth="1"/>
    <col min="80" max="80" width="22" style="2" customWidth="1"/>
    <col min="81" max="82" width="20.6328125" style="2" customWidth="1"/>
    <col min="83" max="83" width="30.1796875" style="2" customWidth="1"/>
    <col min="84" max="91" width="20.6328125" style="2" customWidth="1"/>
    <col min="92" max="92" width="22.54296875" style="2" customWidth="1"/>
    <col min="93" max="94" width="20.6328125" style="2" customWidth="1"/>
    <col min="95" max="95" width="43.81640625" style="2" customWidth="1"/>
    <col min="96" max="122" width="20.6328125" style="2" customWidth="1"/>
    <col min="123" max="123" width="21.1796875" style="2" customWidth="1"/>
    <col min="124" max="139" width="20.6328125" style="2" customWidth="1"/>
    <col min="140" max="140" width="22.26953125" style="2" customWidth="1"/>
    <col min="141" max="143" width="20.6328125" style="2" customWidth="1"/>
    <col min="144" max="144" width="29.90625" style="2" customWidth="1"/>
    <col min="145" max="148" width="20.6328125" style="2" customWidth="1"/>
    <col min="149" max="149" width="34.26953125" style="2" customWidth="1"/>
    <col min="150" max="156" width="20.6328125" style="2" customWidth="1"/>
    <col min="157" max="157" width="97.453125" style="2" bestFit="1" customWidth="1"/>
    <col min="158" max="159" width="20.6328125" style="2" customWidth="1"/>
    <col min="160" max="16384" width="8.7265625" style="2"/>
  </cols>
  <sheetData>
    <row r="1" spans="2:158" s="1" customFormat="1" x14ac:dyDescent="0.35">
      <c r="B1" s="147" t="str">
        <f>const_Company_Name &amp; " Corporate Carbon Footprint Calculation"</f>
        <v>[Ihr Unternehmen] Corporate Carbon Footprint Calculation</v>
      </c>
    </row>
    <row r="2" spans="2:158" s="1" customFormat="1" x14ac:dyDescent="0.35">
      <c r="B2" s="147" t="str">
        <f>"01/01/" &amp; const_Reporting_Year &amp; " - 31/12/" &amp; const_Reporting_Year</f>
        <v>01/01/2025 - 31/12/2025</v>
      </c>
    </row>
    <row r="4" spans="2:158" ht="17" x14ac:dyDescent="0.35">
      <c r="B4" s="41" t="s">
        <v>1125</v>
      </c>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row>
    <row r="6" spans="2:158" ht="25" customHeight="1" x14ac:dyDescent="0.35">
      <c r="B6" s="68" t="s">
        <v>875</v>
      </c>
      <c r="C6" s="69" t="s">
        <v>877</v>
      </c>
      <c r="D6" s="69" t="s">
        <v>876</v>
      </c>
      <c r="E6" s="69" t="s">
        <v>879</v>
      </c>
      <c r="F6" s="69" t="s">
        <v>714</v>
      </c>
      <c r="G6" s="69" t="s">
        <v>807</v>
      </c>
      <c r="H6" s="69" t="s">
        <v>651</v>
      </c>
      <c r="I6" s="69" t="s">
        <v>597</v>
      </c>
      <c r="J6" s="69" t="s">
        <v>880</v>
      </c>
      <c r="K6" s="69" t="s">
        <v>437</v>
      </c>
      <c r="L6" s="69" t="s">
        <v>324</v>
      </c>
      <c r="M6" s="69" t="s">
        <v>881</v>
      </c>
      <c r="N6" s="69" t="s">
        <v>404</v>
      </c>
      <c r="O6" s="69" t="s">
        <v>705</v>
      </c>
      <c r="P6" s="69" t="s">
        <v>473</v>
      </c>
      <c r="Q6" s="69" t="s">
        <v>654</v>
      </c>
      <c r="R6" s="69" t="s">
        <v>409</v>
      </c>
      <c r="S6" s="69" t="s">
        <v>756</v>
      </c>
      <c r="T6" s="69" t="s">
        <v>882</v>
      </c>
      <c r="U6" s="69" t="s">
        <v>883</v>
      </c>
      <c r="V6" s="69" t="s">
        <v>594</v>
      </c>
      <c r="W6" s="69" t="s">
        <v>358</v>
      </c>
      <c r="X6" s="69" t="s">
        <v>884</v>
      </c>
      <c r="Y6" s="69" t="s">
        <v>885</v>
      </c>
      <c r="Z6" s="69" t="s">
        <v>886</v>
      </c>
      <c r="AA6" s="69" t="s">
        <v>423</v>
      </c>
      <c r="AB6" s="69" t="s">
        <v>446</v>
      </c>
      <c r="AC6" s="69" t="s">
        <v>627</v>
      </c>
      <c r="AD6" s="69" t="s">
        <v>516</v>
      </c>
      <c r="AE6" s="69" t="s">
        <v>887</v>
      </c>
      <c r="AF6" s="69" t="s">
        <v>451</v>
      </c>
      <c r="AG6" s="69" t="s">
        <v>888</v>
      </c>
      <c r="AH6" s="69" t="s">
        <v>460</v>
      </c>
      <c r="AI6" s="69" t="s">
        <v>495</v>
      </c>
      <c r="AJ6" s="69" t="s">
        <v>263</v>
      </c>
      <c r="AK6" s="69" t="s">
        <v>889</v>
      </c>
      <c r="AL6" s="69" t="s">
        <v>306</v>
      </c>
      <c r="AM6" s="69" t="s">
        <v>890</v>
      </c>
      <c r="AN6" s="69" t="s">
        <v>279</v>
      </c>
      <c r="AO6" s="69" t="s">
        <v>532</v>
      </c>
      <c r="AP6" s="69" t="s">
        <v>723</v>
      </c>
      <c r="AQ6" s="69" t="s">
        <v>389</v>
      </c>
      <c r="AR6" s="69" t="s">
        <v>696</v>
      </c>
      <c r="AS6" s="69" t="s">
        <v>470</v>
      </c>
      <c r="AT6" s="69" t="s">
        <v>417</v>
      </c>
      <c r="AU6" s="69" t="s">
        <v>780</v>
      </c>
      <c r="AV6" s="69" t="s">
        <v>300</v>
      </c>
      <c r="AW6" s="69" t="s">
        <v>891</v>
      </c>
      <c r="AX6" s="69" t="s">
        <v>440</v>
      </c>
      <c r="AY6" s="69" t="s">
        <v>624</v>
      </c>
      <c r="AZ6" s="69" t="s">
        <v>377</v>
      </c>
      <c r="BA6" s="69" t="s">
        <v>892</v>
      </c>
      <c r="BB6" s="69" t="s">
        <v>893</v>
      </c>
      <c r="BC6" s="69" t="s">
        <v>894</v>
      </c>
      <c r="BD6" s="69" t="s">
        <v>747</v>
      </c>
      <c r="BE6" s="69" t="s">
        <v>309</v>
      </c>
      <c r="BF6" s="69" t="s">
        <v>895</v>
      </c>
      <c r="BG6" s="69" t="s">
        <v>588</v>
      </c>
      <c r="BH6" s="69" t="s">
        <v>896</v>
      </c>
      <c r="BI6" s="69" t="s">
        <v>580</v>
      </c>
      <c r="BJ6" s="69" t="s">
        <v>454</v>
      </c>
      <c r="BK6" s="69" t="s">
        <v>768</v>
      </c>
      <c r="BL6" s="69" t="s">
        <v>457</v>
      </c>
      <c r="BM6" s="69" t="s">
        <v>545</v>
      </c>
      <c r="BN6" s="69" t="s">
        <v>591</v>
      </c>
      <c r="BO6" s="69" t="s">
        <v>434</v>
      </c>
      <c r="BP6" s="69" t="s">
        <v>897</v>
      </c>
      <c r="BQ6" s="69" t="s">
        <v>726</v>
      </c>
      <c r="BR6" s="69" t="s">
        <v>792</v>
      </c>
      <c r="BS6" s="69" t="s">
        <v>660</v>
      </c>
      <c r="BT6" s="69" t="s">
        <v>366</v>
      </c>
      <c r="BU6" s="69" t="s">
        <v>633</v>
      </c>
      <c r="BV6" s="69" t="s">
        <v>321</v>
      </c>
      <c r="BW6" s="69" t="s">
        <v>343</v>
      </c>
      <c r="BX6" s="69" t="s">
        <v>349</v>
      </c>
      <c r="BY6" s="69" t="s">
        <v>492</v>
      </c>
      <c r="BZ6" s="69" t="s">
        <v>576</v>
      </c>
      <c r="CA6" s="69" t="s">
        <v>898</v>
      </c>
      <c r="CB6" s="69" t="s">
        <v>899</v>
      </c>
      <c r="CC6" s="69" t="s">
        <v>392</v>
      </c>
      <c r="CD6" s="69" t="s">
        <v>729</v>
      </c>
      <c r="CE6" s="69" t="s">
        <v>900</v>
      </c>
      <c r="CF6" s="69" t="s">
        <v>774</v>
      </c>
      <c r="CG6" s="69" t="s">
        <v>901</v>
      </c>
      <c r="CH6" s="69" t="s">
        <v>618</v>
      </c>
      <c r="CI6" s="69" t="s">
        <v>902</v>
      </c>
      <c r="CJ6" s="69" t="s">
        <v>282</v>
      </c>
      <c r="CK6" s="69" t="s">
        <v>288</v>
      </c>
      <c r="CL6" s="69" t="s">
        <v>297</v>
      </c>
      <c r="CM6" s="69" t="s">
        <v>669</v>
      </c>
      <c r="CN6" s="69" t="s">
        <v>903</v>
      </c>
      <c r="CO6" s="69" t="s">
        <v>904</v>
      </c>
      <c r="CP6" s="69" t="s">
        <v>636</v>
      </c>
      <c r="CQ6" s="69" t="s">
        <v>905</v>
      </c>
      <c r="CR6" s="69" t="s">
        <v>639</v>
      </c>
      <c r="CS6" s="69" t="s">
        <v>267</v>
      </c>
      <c r="CT6" s="69" t="s">
        <v>565</v>
      </c>
      <c r="CU6" s="69" t="s">
        <v>675</v>
      </c>
      <c r="CV6" s="69" t="s">
        <v>537</v>
      </c>
      <c r="CW6" s="69" t="s">
        <v>906</v>
      </c>
      <c r="CX6" s="69" t="s">
        <v>465</v>
      </c>
      <c r="CY6" s="69" t="s">
        <v>690</v>
      </c>
      <c r="CZ6" s="69" t="s">
        <v>681</v>
      </c>
      <c r="DA6" s="69" t="s">
        <v>732</v>
      </c>
      <c r="DB6" s="69" t="s">
        <v>556</v>
      </c>
      <c r="DC6" s="69" t="s">
        <v>443</v>
      </c>
      <c r="DD6" s="69" t="s">
        <v>333</v>
      </c>
      <c r="DE6" s="69" t="s">
        <v>777</v>
      </c>
      <c r="DF6" s="69" t="s">
        <v>907</v>
      </c>
      <c r="DG6" s="69" t="s">
        <v>603</v>
      </c>
      <c r="DH6" s="69" t="s">
        <v>693</v>
      </c>
      <c r="DI6" s="69" t="s">
        <v>571</v>
      </c>
      <c r="DJ6" s="69" t="s">
        <v>559</v>
      </c>
      <c r="DK6" s="69" t="s">
        <v>551</v>
      </c>
      <c r="DL6" s="69" t="s">
        <v>908</v>
      </c>
      <c r="DM6" s="69" t="s">
        <v>330</v>
      </c>
      <c r="DN6" s="69" t="s">
        <v>478</v>
      </c>
      <c r="DO6" s="69" t="s">
        <v>414</v>
      </c>
      <c r="DP6" s="69" t="s">
        <v>720</v>
      </c>
      <c r="DQ6" s="69" t="s">
        <v>401</v>
      </c>
      <c r="DR6" s="69" t="s">
        <v>909</v>
      </c>
      <c r="DS6" s="69" t="s">
        <v>910</v>
      </c>
      <c r="DT6" s="69" t="s">
        <v>361</v>
      </c>
      <c r="DU6" s="69" t="s">
        <v>735</v>
      </c>
      <c r="DV6" s="69" t="s">
        <v>621</v>
      </c>
      <c r="DW6" s="69" t="s">
        <v>521</v>
      </c>
      <c r="DX6" s="69" t="s">
        <v>911</v>
      </c>
      <c r="DY6" s="69" t="s">
        <v>912</v>
      </c>
      <c r="DZ6" s="69" t="s">
        <v>568</v>
      </c>
      <c r="EA6" s="69" t="s">
        <v>913</v>
      </c>
      <c r="EB6" s="69" t="s">
        <v>291</v>
      </c>
      <c r="EC6" s="69" t="s">
        <v>303</v>
      </c>
      <c r="ED6" s="69" t="s">
        <v>914</v>
      </c>
      <c r="EE6" s="69" t="s">
        <v>915</v>
      </c>
      <c r="EF6" s="69" t="s">
        <v>798</v>
      </c>
      <c r="EG6" s="69" t="s">
        <v>524</v>
      </c>
      <c r="EH6" s="69" t="s">
        <v>585</v>
      </c>
      <c r="EI6" s="69" t="s">
        <v>916</v>
      </c>
      <c r="EJ6" s="69" t="s">
        <v>738</v>
      </c>
      <c r="EK6" s="69" t="s">
        <v>702</v>
      </c>
      <c r="EL6" s="69" t="s">
        <v>917</v>
      </c>
      <c r="EM6" s="69" t="s">
        <v>918</v>
      </c>
      <c r="EN6" s="69" t="s">
        <v>919</v>
      </c>
      <c r="EO6" s="69" t="s">
        <v>501</v>
      </c>
      <c r="EP6" s="69" t="s">
        <v>294</v>
      </c>
      <c r="EQ6" s="69" t="s">
        <v>285</v>
      </c>
      <c r="ER6" s="69" t="s">
        <v>420</v>
      </c>
      <c r="ES6" s="69" t="s">
        <v>920</v>
      </c>
      <c r="ET6" s="69" t="s">
        <v>921</v>
      </c>
      <c r="EU6" s="69" t="s">
        <v>922</v>
      </c>
      <c r="EV6" s="69" t="s">
        <v>923</v>
      </c>
      <c r="EW6" s="69" t="s">
        <v>513</v>
      </c>
      <c r="EX6" s="70" t="s">
        <v>1000</v>
      </c>
      <c r="EY6" s="69" t="s">
        <v>252</v>
      </c>
      <c r="EZ6" s="69" t="s">
        <v>872</v>
      </c>
      <c r="FA6" s="69" t="s">
        <v>924</v>
      </c>
      <c r="FB6" s="69" t="s">
        <v>925</v>
      </c>
    </row>
    <row r="7" spans="2:158" ht="15" customHeight="1" x14ac:dyDescent="0.35">
      <c r="B7" s="18" t="s">
        <v>860</v>
      </c>
      <c r="C7" s="14">
        <v>334111</v>
      </c>
      <c r="D7" s="9" t="s">
        <v>953</v>
      </c>
      <c r="E7" s="17">
        <v>0.65162248224038632</v>
      </c>
      <c r="F7" s="17">
        <v>0.53180728880522965</v>
      </c>
      <c r="G7" s="17">
        <v>0.52861111791400472</v>
      </c>
      <c r="H7" s="17">
        <v>0.76716203252390858</v>
      </c>
      <c r="I7" s="17">
        <v>0.33866120431968288</v>
      </c>
      <c r="J7" s="17">
        <v>0.74278111437257921</v>
      </c>
      <c r="K7" s="17">
        <v>0.29228737558239198</v>
      </c>
      <c r="L7" s="17">
        <v>0.22070118454224774</v>
      </c>
      <c r="M7" s="17">
        <v>0.33849757074174452</v>
      </c>
      <c r="N7" s="17">
        <v>0.23082432654019425</v>
      </c>
      <c r="O7" s="17">
        <v>0.5124561620725131</v>
      </c>
      <c r="P7" s="17">
        <v>0.41879705988258026</v>
      </c>
      <c r="Q7" s="17">
        <v>0.44694647515151142</v>
      </c>
      <c r="R7" s="17">
        <v>0.40044486329007856</v>
      </c>
      <c r="S7" s="17">
        <v>0.80281260687305456</v>
      </c>
      <c r="T7" s="17">
        <v>0.45565114365526554</v>
      </c>
      <c r="U7" s="17">
        <v>0.61163617391469483</v>
      </c>
      <c r="V7" s="17">
        <v>0.5074897713703348</v>
      </c>
      <c r="W7" s="17">
        <v>0.27478488884700464</v>
      </c>
      <c r="X7" s="17">
        <v>0.47784900230068689</v>
      </c>
      <c r="Y7" s="17">
        <v>0.59729393187159463</v>
      </c>
      <c r="Z7" s="17">
        <v>0.52208892017955455</v>
      </c>
      <c r="AA7" s="17">
        <v>0.28422521289069053</v>
      </c>
      <c r="AB7" s="17">
        <v>0.21982417594343948</v>
      </c>
      <c r="AC7" s="17">
        <v>0.25746711990610888</v>
      </c>
      <c r="AD7" s="17">
        <v>1.2810637552166435</v>
      </c>
      <c r="AE7" s="17">
        <v>0.36774281611916892</v>
      </c>
      <c r="AF7" s="17">
        <v>0.35735917395422112</v>
      </c>
      <c r="AG7" s="17">
        <v>0.57817656994542377</v>
      </c>
      <c r="AH7" s="17">
        <v>0.39140015590828897</v>
      </c>
      <c r="AI7" s="17">
        <v>0.23991680193238457</v>
      </c>
      <c r="AJ7" s="17">
        <v>0.24473823280172169</v>
      </c>
      <c r="AK7" s="17">
        <v>0.54589872006834406</v>
      </c>
      <c r="AL7" s="17">
        <v>0.24927349114321998</v>
      </c>
      <c r="AM7" s="17">
        <v>0.81870508354523697</v>
      </c>
      <c r="AN7" s="17">
        <v>0.14602324092639266</v>
      </c>
      <c r="AO7" s="17">
        <v>0.42367893163064785</v>
      </c>
      <c r="AP7" s="17">
        <v>0.7018051157441314</v>
      </c>
      <c r="AQ7" s="17">
        <v>0.39311991854233658</v>
      </c>
      <c r="AR7" s="17">
        <v>0.7881800524235717</v>
      </c>
      <c r="AS7" s="17">
        <v>0.29637800491297062</v>
      </c>
      <c r="AT7" s="17">
        <v>0.46369198120095123</v>
      </c>
      <c r="AU7" s="17">
        <v>0.30709192060982765</v>
      </c>
      <c r="AV7" s="17">
        <v>0.17726284165968192</v>
      </c>
      <c r="AW7" s="17">
        <v>0.62193834297890538</v>
      </c>
      <c r="AX7" s="17">
        <v>0.15967433497535324</v>
      </c>
      <c r="AY7" s="17">
        <v>0.39578606965050744</v>
      </c>
      <c r="AZ7" s="17">
        <v>0.19556149874013423</v>
      </c>
      <c r="BA7" s="17">
        <v>0.54049068148289803</v>
      </c>
      <c r="BB7" s="17">
        <v>0.51803423887278544</v>
      </c>
      <c r="BC7" s="17">
        <v>0.40092265326733562</v>
      </c>
      <c r="BD7" s="17">
        <v>0.53624290751518389</v>
      </c>
      <c r="BE7" s="17">
        <v>0.3645327662145163</v>
      </c>
      <c r="BF7" s="17">
        <v>0.51131132785281586</v>
      </c>
      <c r="BG7" s="17">
        <v>0.40534383311311745</v>
      </c>
      <c r="BH7" s="17">
        <v>0.92639355594380779</v>
      </c>
      <c r="BI7" s="17">
        <v>0.68111660818049558</v>
      </c>
      <c r="BJ7" s="17">
        <v>0.18851607646052479</v>
      </c>
      <c r="BK7" s="17">
        <v>0.54192270212409133</v>
      </c>
      <c r="BL7" s="17">
        <v>0.4428017312663165</v>
      </c>
      <c r="BM7" s="17">
        <v>0.5915934756355552</v>
      </c>
      <c r="BN7" s="17">
        <v>1.266168846448954</v>
      </c>
      <c r="BO7" s="17">
        <v>0.25494536407270924</v>
      </c>
      <c r="BP7" s="17">
        <v>0.86160971396209896</v>
      </c>
      <c r="BQ7" s="17">
        <v>0.8414757777710189</v>
      </c>
      <c r="BR7" s="17">
        <v>0.17023534348363162</v>
      </c>
      <c r="BS7" s="17">
        <v>0.14034867636975126</v>
      </c>
      <c r="BT7" s="17">
        <v>0.26716051531572327</v>
      </c>
      <c r="BU7" s="17">
        <v>0.60969122632317008</v>
      </c>
      <c r="BV7" s="17">
        <v>0.66124097522634939</v>
      </c>
      <c r="BW7" s="17">
        <v>0.52729966695600849</v>
      </c>
      <c r="BX7" s="17">
        <v>0.65952051901072761</v>
      </c>
      <c r="BY7" s="17">
        <v>0.3019778947093249</v>
      </c>
      <c r="BZ7" s="17">
        <v>0.5392873356389094</v>
      </c>
      <c r="CA7" s="17">
        <v>0.89772004998188026</v>
      </c>
      <c r="CB7" s="17">
        <v>0.5125549221831377</v>
      </c>
      <c r="CC7" s="17">
        <v>0.81539412666871502</v>
      </c>
      <c r="CD7" s="17">
        <v>0.80923291080909776</v>
      </c>
      <c r="CE7" s="17">
        <v>0.7001645368460041</v>
      </c>
      <c r="CF7" s="17">
        <v>0.58172841306262613</v>
      </c>
      <c r="CG7" s="17">
        <v>0.52336087967469735</v>
      </c>
      <c r="CH7" s="17">
        <v>0.42968565650072615</v>
      </c>
      <c r="CI7" s="17">
        <v>0.98034304114102822</v>
      </c>
      <c r="CJ7" s="17">
        <v>0.16378736443384773</v>
      </c>
      <c r="CK7" s="17">
        <v>0.17894571673060417</v>
      </c>
      <c r="CL7" s="17">
        <v>0.24000612770743193</v>
      </c>
      <c r="CM7" s="17">
        <v>0.67874659896604361</v>
      </c>
      <c r="CN7" s="17">
        <v>0.70207266694935822</v>
      </c>
      <c r="CO7" s="17">
        <v>0.86472542896276849</v>
      </c>
      <c r="CP7" s="17">
        <v>0.43229611770510878</v>
      </c>
      <c r="CQ7" s="17">
        <v>0.78823910613915371</v>
      </c>
      <c r="CR7" s="17">
        <v>0.43528493873117569</v>
      </c>
      <c r="CS7" s="17">
        <v>0.63560461997037365</v>
      </c>
      <c r="CT7" s="17">
        <v>0.68926204281306869</v>
      </c>
      <c r="CU7" s="17">
        <v>0.89309687389049275</v>
      </c>
      <c r="CV7" s="17">
        <v>0.60507320935321629</v>
      </c>
      <c r="CW7" s="17">
        <v>0.49750572580375485</v>
      </c>
      <c r="CX7" s="17">
        <v>0.82411117982411497</v>
      </c>
      <c r="CY7" s="17">
        <v>0.54481263251824397</v>
      </c>
      <c r="CZ7" s="17">
        <v>0.40704853754877512</v>
      </c>
      <c r="DA7" s="17">
        <v>0.40233056694728947</v>
      </c>
      <c r="DB7" s="17">
        <v>0.5852726346993764</v>
      </c>
      <c r="DC7" s="17">
        <v>0.31341251965368194</v>
      </c>
      <c r="DD7" s="17">
        <v>0.24212314761319248</v>
      </c>
      <c r="DE7" s="17">
        <v>0.47626048149797179</v>
      </c>
      <c r="DF7" s="17">
        <v>0.81200368553635249</v>
      </c>
      <c r="DG7" s="17">
        <v>0.26157832613196585</v>
      </c>
      <c r="DH7" s="17">
        <v>0.73411238758053954</v>
      </c>
      <c r="DI7" s="17">
        <v>0.53614218872933772</v>
      </c>
      <c r="DJ7" s="17">
        <v>0.37777985172456574</v>
      </c>
      <c r="DK7" s="17">
        <v>0.42109867690413189</v>
      </c>
      <c r="DL7" s="17">
        <v>0.52818989618462431</v>
      </c>
      <c r="DM7" s="17">
        <v>0.47593691483462536</v>
      </c>
      <c r="DN7" s="17">
        <v>0.31418456003580481</v>
      </c>
      <c r="DO7" s="17">
        <v>0.41395941912494921</v>
      </c>
      <c r="DP7" s="17">
        <v>0.74684536952292702</v>
      </c>
      <c r="DQ7" s="17">
        <v>0.31041515579523993</v>
      </c>
      <c r="DR7" s="17">
        <v>0.12721335014188009</v>
      </c>
      <c r="DS7" s="17">
        <v>0.72416372355397507</v>
      </c>
      <c r="DT7" s="17">
        <v>0.39498871626903204</v>
      </c>
      <c r="DU7" s="17">
        <v>0.90972216170135523</v>
      </c>
      <c r="DV7" s="17">
        <v>0.53123311516768135</v>
      </c>
      <c r="DW7" s="17">
        <v>0.50375101738002126</v>
      </c>
      <c r="DX7" s="17">
        <v>0.52246606176687416</v>
      </c>
      <c r="DY7" s="17">
        <v>0.46880340084806343</v>
      </c>
      <c r="DZ7" s="17">
        <v>0.51697762870006947</v>
      </c>
      <c r="EA7" s="17">
        <v>0.47604714305928242</v>
      </c>
      <c r="EB7" s="17">
        <v>0.3075851260072664</v>
      </c>
      <c r="EC7" s="17">
        <v>0.13661844841522069</v>
      </c>
      <c r="ED7" s="17">
        <v>0.51388005070243958</v>
      </c>
      <c r="EE7" s="17">
        <v>1.0302189928359633</v>
      </c>
      <c r="EF7" s="17">
        <v>0.46942609673789104</v>
      </c>
      <c r="EG7" s="17">
        <v>0.47172149805747077</v>
      </c>
      <c r="EH7" s="17">
        <v>0.66302342231450828</v>
      </c>
      <c r="EI7" s="17">
        <v>0.68346542394705301</v>
      </c>
      <c r="EJ7" s="17">
        <v>0.81047415350952856</v>
      </c>
      <c r="EK7" s="17">
        <v>0.67013990316578975</v>
      </c>
      <c r="EL7" s="17">
        <v>0.3767230627804769</v>
      </c>
      <c r="EM7" s="17">
        <v>0.42968871829481442</v>
      </c>
      <c r="EN7" s="17">
        <v>0.37655047961447236</v>
      </c>
      <c r="EO7" s="17">
        <v>0.27736777646609245</v>
      </c>
      <c r="EP7" s="17">
        <v>0.8010139972908078</v>
      </c>
      <c r="EQ7" s="17">
        <v>0.25290551616325418</v>
      </c>
      <c r="ER7" s="17">
        <v>4.6476634515764184E-2</v>
      </c>
      <c r="ES7" s="17">
        <v>0.50844806509782636</v>
      </c>
      <c r="ET7" s="17">
        <v>0.85048352173755648</v>
      </c>
      <c r="EU7" s="17">
        <v>0.64201367457602132</v>
      </c>
      <c r="EV7" s="17">
        <v>0.58203667910033496</v>
      </c>
      <c r="EW7" s="17">
        <v>0.70167003487512924</v>
      </c>
      <c r="EX7" s="90">
        <v>0.5074897713703348</v>
      </c>
      <c r="EY7" s="51">
        <v>2025</v>
      </c>
      <c r="EZ7" s="51" t="s">
        <v>873</v>
      </c>
      <c r="FA7" s="77" t="s">
        <v>928</v>
      </c>
      <c r="FB7" s="31" t="s">
        <v>929</v>
      </c>
    </row>
    <row r="8" spans="2:158" ht="15" customHeight="1" x14ac:dyDescent="0.35">
      <c r="B8" s="18" t="s">
        <v>860</v>
      </c>
      <c r="C8" s="14" t="s">
        <v>956</v>
      </c>
      <c r="D8" s="9" t="s">
        <v>957</v>
      </c>
      <c r="E8" s="17">
        <v>1.3255752842527713</v>
      </c>
      <c r="F8" s="17">
        <v>1.101758741382058</v>
      </c>
      <c r="G8" s="17">
        <v>1.0309524807569705</v>
      </c>
      <c r="H8" s="17">
        <v>1.4897459606653445</v>
      </c>
      <c r="I8" s="17">
        <v>0.65178381338253155</v>
      </c>
      <c r="J8" s="17">
        <v>1.3970784423281444</v>
      </c>
      <c r="K8" s="17">
        <v>0.61791114622918442</v>
      </c>
      <c r="L8" s="17">
        <v>0.36605634169291623</v>
      </c>
      <c r="M8" s="17">
        <v>0.64929491365756697</v>
      </c>
      <c r="N8" s="17">
        <v>0.48242471512271057</v>
      </c>
      <c r="O8" s="17">
        <v>1.0538229946763353</v>
      </c>
      <c r="P8" s="17">
        <v>0.82773624011518421</v>
      </c>
      <c r="Q8" s="17">
        <v>0.92473186893153592</v>
      </c>
      <c r="R8" s="17">
        <v>0.86167825013570598</v>
      </c>
      <c r="S8" s="17">
        <v>1.5415990396278574</v>
      </c>
      <c r="T8" s="17">
        <v>0.88007279661603233</v>
      </c>
      <c r="U8" s="17">
        <v>1.1621369036357947</v>
      </c>
      <c r="V8" s="17">
        <v>1.0558417314917921</v>
      </c>
      <c r="W8" s="17">
        <v>0.53040664641396662</v>
      </c>
      <c r="X8" s="17">
        <v>0.93515517202517329</v>
      </c>
      <c r="Y8" s="17">
        <v>1.152293946516497</v>
      </c>
      <c r="Z8" s="17">
        <v>1.0000546060209463</v>
      </c>
      <c r="AA8" s="17">
        <v>0.67672308872539588</v>
      </c>
      <c r="AB8" s="17">
        <v>0.39072342992709103</v>
      </c>
      <c r="AC8" s="17">
        <v>0.61736206075518518</v>
      </c>
      <c r="AD8" s="17">
        <v>1.6054744189750361</v>
      </c>
      <c r="AE8" s="17">
        <v>0.74141689298650237</v>
      </c>
      <c r="AF8" s="17">
        <v>0.72695515816295753</v>
      </c>
      <c r="AG8" s="17">
        <v>1.1321229433442519</v>
      </c>
      <c r="AH8" s="17">
        <v>0.7594284775262814</v>
      </c>
      <c r="AI8" s="17">
        <v>0.47424623874962341</v>
      </c>
      <c r="AJ8" s="17">
        <v>0.48781449093579726</v>
      </c>
      <c r="AK8" s="17">
        <v>0.73030533084512017</v>
      </c>
      <c r="AL8" s="17">
        <v>0.35356499225991872</v>
      </c>
      <c r="AM8" s="17">
        <v>1.5343362459455241</v>
      </c>
      <c r="AN8" s="17">
        <v>0.23952591958272254</v>
      </c>
      <c r="AO8" s="17">
        <v>0.85749385476431073</v>
      </c>
      <c r="AP8" s="17">
        <v>1.5154792936415886</v>
      </c>
      <c r="AQ8" s="17">
        <v>0.8094014030312161</v>
      </c>
      <c r="AR8" s="17">
        <v>1.7275999163247231</v>
      </c>
      <c r="AS8" s="17">
        <v>0.60881068687594619</v>
      </c>
      <c r="AT8" s="17">
        <v>0.70107723832779389</v>
      </c>
      <c r="AU8" s="17">
        <v>0.61209035306341775</v>
      </c>
      <c r="AV8" s="17">
        <v>0.42993283826211487</v>
      </c>
      <c r="AW8" s="17">
        <v>1.1980512853055196</v>
      </c>
      <c r="AX8" s="17">
        <v>0.38899810369007187</v>
      </c>
      <c r="AY8" s="17">
        <v>0.81690743428976564</v>
      </c>
      <c r="AZ8" s="17">
        <v>0.72231190640674159</v>
      </c>
      <c r="BA8" s="17">
        <v>1.0363082818006002</v>
      </c>
      <c r="BB8" s="17">
        <v>1.0252752356908785</v>
      </c>
      <c r="BC8" s="17">
        <v>0.79328056972346117</v>
      </c>
      <c r="BD8" s="17">
        <v>1.0555332167644944</v>
      </c>
      <c r="BE8" s="17">
        <v>0.76234889524038141</v>
      </c>
      <c r="BF8" s="17">
        <v>0.97869072384091305</v>
      </c>
      <c r="BG8" s="17">
        <v>0.81317476488538842</v>
      </c>
      <c r="BH8" s="17">
        <v>1.417631709419543</v>
      </c>
      <c r="BI8" s="17">
        <v>1.3017312082257153</v>
      </c>
      <c r="BJ8" s="17">
        <v>0.46473519325917045</v>
      </c>
      <c r="BK8" s="17">
        <v>1.09583520567173</v>
      </c>
      <c r="BL8" s="17">
        <v>0.70025834069826642</v>
      </c>
      <c r="BM8" s="17">
        <v>1.1091903671793781</v>
      </c>
      <c r="BN8" s="17">
        <v>2.1393917019437438</v>
      </c>
      <c r="BO8" s="17">
        <v>0.3311574530515991</v>
      </c>
      <c r="BP8" s="17">
        <v>1.909036771088541</v>
      </c>
      <c r="BQ8" s="17">
        <v>1.8286311541500235</v>
      </c>
      <c r="BR8" s="17">
        <v>0.33527317811235907</v>
      </c>
      <c r="BS8" s="17">
        <v>0.34112589851816055</v>
      </c>
      <c r="BT8" s="17">
        <v>0.51130626780951183</v>
      </c>
      <c r="BU8" s="17">
        <v>1.1967117987961395</v>
      </c>
      <c r="BV8" s="17">
        <v>1.3125113226639533</v>
      </c>
      <c r="BW8" s="17">
        <v>0.65255418818411892</v>
      </c>
      <c r="BX8" s="17">
        <v>0.76569161085658133</v>
      </c>
      <c r="BY8" s="17">
        <v>0.60202940903330482</v>
      </c>
      <c r="BZ8" s="17">
        <v>0.68003769204700582</v>
      </c>
      <c r="CA8" s="17">
        <v>1.6699917957435464</v>
      </c>
      <c r="CB8" s="17">
        <v>0.98061417582408705</v>
      </c>
      <c r="CC8" s="17">
        <v>1.3542615618352327</v>
      </c>
      <c r="CD8" s="17">
        <v>1.7144661099396428</v>
      </c>
      <c r="CE8" s="17">
        <v>1.0900938470820736</v>
      </c>
      <c r="CF8" s="17">
        <v>1.1522784868937788</v>
      </c>
      <c r="CG8" s="17">
        <v>1.0070718918771107</v>
      </c>
      <c r="CH8" s="17">
        <v>0.86273238252616768</v>
      </c>
      <c r="CI8" s="17">
        <v>1.8176466499991986</v>
      </c>
      <c r="CJ8" s="17">
        <v>0.51182963145366889</v>
      </c>
      <c r="CK8" s="17">
        <v>0.57440837298105363</v>
      </c>
      <c r="CL8" s="17">
        <v>0.44607990347238252</v>
      </c>
      <c r="CM8" s="17">
        <v>0.68420488881756902</v>
      </c>
      <c r="CN8" s="17">
        <v>1.4014330294050861</v>
      </c>
      <c r="CO8" s="17">
        <v>1.61185024721308</v>
      </c>
      <c r="CP8" s="17">
        <v>0.8926016053671384</v>
      </c>
      <c r="CQ8" s="17">
        <v>1.4954307580643931</v>
      </c>
      <c r="CR8" s="17">
        <v>0.85293077593572353</v>
      </c>
      <c r="CS8" s="17">
        <v>1.0740321339889149</v>
      </c>
      <c r="CT8" s="17">
        <v>1.4537068342996671</v>
      </c>
      <c r="CU8" s="17">
        <v>1.8006166071150136</v>
      </c>
      <c r="CV8" s="17">
        <v>1.1638181089746054</v>
      </c>
      <c r="CW8" s="17">
        <v>0.94461322696297478</v>
      </c>
      <c r="CX8" s="17">
        <v>1.4957829667334799</v>
      </c>
      <c r="CY8" s="17">
        <v>1.0651422934136257</v>
      </c>
      <c r="CZ8" s="17">
        <v>0.81918648047505049</v>
      </c>
      <c r="DA8" s="17">
        <v>0.8345832723487191</v>
      </c>
      <c r="DB8" s="17">
        <v>1.131598730828522</v>
      </c>
      <c r="DC8" s="17">
        <v>0.34264782300139202</v>
      </c>
      <c r="DD8" s="17">
        <v>0.48295842887298179</v>
      </c>
      <c r="DE8" s="17">
        <v>0.93129104037376864</v>
      </c>
      <c r="DF8" s="17">
        <v>1.5132944737520686</v>
      </c>
      <c r="DG8" s="17">
        <v>0.38543194625512583</v>
      </c>
      <c r="DH8" s="17">
        <v>1.5521690069696406</v>
      </c>
      <c r="DI8" s="17">
        <v>1.1525403887864911</v>
      </c>
      <c r="DJ8" s="17">
        <v>0.415210122029255</v>
      </c>
      <c r="DK8" s="17">
        <v>0.52525938158853058</v>
      </c>
      <c r="DL8" s="17">
        <v>1.0227130576799728</v>
      </c>
      <c r="DM8" s="17">
        <v>0.80935405998869492</v>
      </c>
      <c r="DN8" s="17">
        <v>0.64051447837030762</v>
      </c>
      <c r="DO8" s="17">
        <v>0.80365062412579447</v>
      </c>
      <c r="DP8" s="17">
        <v>1.5884197023272053</v>
      </c>
      <c r="DQ8" s="17">
        <v>0.61023132302585414</v>
      </c>
      <c r="DR8" s="17">
        <v>0.35545677514171042</v>
      </c>
      <c r="DS8" s="17">
        <v>1.780638326098491</v>
      </c>
      <c r="DT8" s="17">
        <v>0.75865888812802562</v>
      </c>
      <c r="DU8" s="17">
        <v>1.1914315151359673</v>
      </c>
      <c r="DV8" s="17">
        <v>1.0729112186601093</v>
      </c>
      <c r="DW8" s="17">
        <v>0.93595639355552995</v>
      </c>
      <c r="DX8" s="17">
        <v>0.9966850218808696</v>
      </c>
      <c r="DY8" s="17">
        <v>0.9165106175488984</v>
      </c>
      <c r="DZ8" s="17">
        <v>0.99203753740047851</v>
      </c>
      <c r="EA8" s="17">
        <v>0.62539313116776374</v>
      </c>
      <c r="EB8" s="17">
        <v>0.67500894233510744</v>
      </c>
      <c r="EC8" s="17">
        <v>0.37351638833613526</v>
      </c>
      <c r="ED8" s="17">
        <v>1.0007237550526091</v>
      </c>
      <c r="EE8" s="17">
        <v>1.9030746976170507</v>
      </c>
      <c r="EF8" s="17">
        <v>0.91495904848485377</v>
      </c>
      <c r="EG8" s="17">
        <v>0.95886126589759257</v>
      </c>
      <c r="EH8" s="17">
        <v>1.1448684453398565</v>
      </c>
      <c r="EI8" s="17">
        <v>1.3274663134007207</v>
      </c>
      <c r="EJ8" s="17">
        <v>1.7350237758584559</v>
      </c>
      <c r="EK8" s="17">
        <v>1.1144778947504612</v>
      </c>
      <c r="EL8" s="17">
        <v>1.352328217079221</v>
      </c>
      <c r="EM8" s="17">
        <v>0.93568013181158449</v>
      </c>
      <c r="EN8" s="17">
        <v>0.77043296641740577</v>
      </c>
      <c r="EO8" s="17">
        <v>0.54709248486624307</v>
      </c>
      <c r="EP8" s="17">
        <v>1.6720392695827404</v>
      </c>
      <c r="EQ8" s="17">
        <v>0.48880333221475003</v>
      </c>
      <c r="ER8" s="17">
        <v>0.2225246603862977</v>
      </c>
      <c r="ES8" s="17">
        <v>0.97123659163637588</v>
      </c>
      <c r="ET8" s="17">
        <v>1.6089048296042276</v>
      </c>
      <c r="EU8" s="17">
        <v>1.2156076566151015</v>
      </c>
      <c r="EV8" s="17">
        <v>1.1330045230364336</v>
      </c>
      <c r="EW8" s="17">
        <v>1.2863889980056866</v>
      </c>
      <c r="EX8" s="90">
        <v>0.93568013181158449</v>
      </c>
      <c r="EY8" s="51">
        <v>2025</v>
      </c>
      <c r="EZ8" s="51" t="s">
        <v>873</v>
      </c>
      <c r="FA8" s="77" t="s">
        <v>1001</v>
      </c>
      <c r="FB8" s="31" t="s">
        <v>929</v>
      </c>
    </row>
    <row r="9" spans="2:158" ht="15" customHeight="1" x14ac:dyDescent="0.35">
      <c r="B9" s="18" t="s">
        <v>860</v>
      </c>
      <c r="C9" s="14">
        <v>334290</v>
      </c>
      <c r="D9" s="9" t="s">
        <v>955</v>
      </c>
      <c r="E9" s="17">
        <v>0.78770551501468911</v>
      </c>
      <c r="F9" s="17">
        <v>0.60740114439129311</v>
      </c>
      <c r="G9" s="17">
        <v>0.67333109720314122</v>
      </c>
      <c r="H9" s="17">
        <v>0.93999237818941639</v>
      </c>
      <c r="I9" s="17">
        <v>0.56854093099988834</v>
      </c>
      <c r="J9" s="17">
        <v>0.92920337950908438</v>
      </c>
      <c r="K9" s="17">
        <v>0.41555177541695826</v>
      </c>
      <c r="L9" s="17">
        <v>0.27257790087647266</v>
      </c>
      <c r="M9" s="17">
        <v>0.42735309285374812</v>
      </c>
      <c r="N9" s="17">
        <v>0.29770808618444961</v>
      </c>
      <c r="O9" s="17">
        <v>0.66754887262182461</v>
      </c>
      <c r="P9" s="17">
        <v>0.52450455721011868</v>
      </c>
      <c r="Q9" s="17">
        <v>0.54846014165142565</v>
      </c>
      <c r="R9" s="17">
        <v>0.51292015044337713</v>
      </c>
      <c r="S9" s="17">
        <v>1.0041424637949763</v>
      </c>
      <c r="T9" s="17">
        <v>0.57029272513225637</v>
      </c>
      <c r="U9" s="17">
        <v>0.76466823272776541</v>
      </c>
      <c r="V9" s="17">
        <v>0.6608362441101534</v>
      </c>
      <c r="W9" s="17">
        <v>0.34089976095929897</v>
      </c>
      <c r="X9" s="17">
        <v>0.60142192939250161</v>
      </c>
      <c r="Y9" s="17">
        <v>0.76768967440659142</v>
      </c>
      <c r="Z9" s="17">
        <v>0.65241972856877306</v>
      </c>
      <c r="AA9" s="17">
        <v>0.42233042470654863</v>
      </c>
      <c r="AB9" s="17">
        <v>0.3071039013618006</v>
      </c>
      <c r="AC9" s="17">
        <v>0.48541770525675826</v>
      </c>
      <c r="AD9" s="17">
        <v>1.2929718008284359</v>
      </c>
      <c r="AE9" s="17">
        <v>0.45213718611748049</v>
      </c>
      <c r="AF9" s="17">
        <v>0.45173783575687554</v>
      </c>
      <c r="AG9" s="17">
        <v>0.7361500486938396</v>
      </c>
      <c r="AH9" s="17">
        <v>0.58483827583115622</v>
      </c>
      <c r="AI9" s="17">
        <v>0.35431663098657545</v>
      </c>
      <c r="AJ9" s="17">
        <v>0.33757482702536573</v>
      </c>
      <c r="AK9" s="17">
        <v>0.56000171906261675</v>
      </c>
      <c r="AL9" s="17">
        <v>0.25612741972506009</v>
      </c>
      <c r="AM9" s="17">
        <v>1.0188563618627129</v>
      </c>
      <c r="AN9" s="17">
        <v>0.17017246778156905</v>
      </c>
      <c r="AO9" s="17">
        <v>0.53154296459471917</v>
      </c>
      <c r="AP9" s="17">
        <v>0.88885927016819033</v>
      </c>
      <c r="AQ9" s="17">
        <v>0.51249557894405184</v>
      </c>
      <c r="AR9" s="17">
        <v>0.99893724802583739</v>
      </c>
      <c r="AS9" s="17">
        <v>0.43512111565799699</v>
      </c>
      <c r="AT9" s="17">
        <v>0.46977719189274336</v>
      </c>
      <c r="AU9" s="17">
        <v>0.40319927193321625</v>
      </c>
      <c r="AV9" s="17">
        <v>0.28601796171976196</v>
      </c>
      <c r="AW9" s="17">
        <v>0.78650950905067019</v>
      </c>
      <c r="AX9" s="17">
        <v>0.26521411966480601</v>
      </c>
      <c r="AY9" s="17">
        <v>0.51040374420114498</v>
      </c>
      <c r="AZ9" s="17">
        <v>0.50784415715937692</v>
      </c>
      <c r="BA9" s="17">
        <v>0.68194843060286214</v>
      </c>
      <c r="BB9" s="17">
        <v>0.65128345644026464</v>
      </c>
      <c r="BC9" s="17">
        <v>0.5025417815595018</v>
      </c>
      <c r="BD9" s="17">
        <v>0.67504955169519665</v>
      </c>
      <c r="BE9" s="17">
        <v>0.66486742049835501</v>
      </c>
      <c r="BF9" s="17">
        <v>0.64114922640379202</v>
      </c>
      <c r="BG9" s="17">
        <v>0.51125810271100625</v>
      </c>
      <c r="BH9" s="17">
        <v>1.0224197785545091</v>
      </c>
      <c r="BI9" s="17">
        <v>0.85677334721503906</v>
      </c>
      <c r="BJ9" s="17">
        <v>0.30889217678661746</v>
      </c>
      <c r="BK9" s="17">
        <v>0.63664204339137442</v>
      </c>
      <c r="BL9" s="17">
        <v>0.46157019178135461</v>
      </c>
      <c r="BM9" s="17">
        <v>0.70068143335809097</v>
      </c>
      <c r="BN9" s="17">
        <v>1.2797292653299575</v>
      </c>
      <c r="BO9" s="17">
        <v>0.30805955589978112</v>
      </c>
      <c r="BP9" s="17">
        <v>1.1121663241984048</v>
      </c>
      <c r="BQ9" s="17">
        <v>0.9951508555266394</v>
      </c>
      <c r="BR9" s="17">
        <v>0.29757110052238328</v>
      </c>
      <c r="BS9" s="17">
        <v>0.38086692722227078</v>
      </c>
      <c r="BT9" s="17">
        <v>0.34218197948006479</v>
      </c>
      <c r="BU9" s="17">
        <v>0.77785032507538754</v>
      </c>
      <c r="BV9" s="17">
        <v>0.82755016606096765</v>
      </c>
      <c r="BW9" s="17">
        <v>0.36738579024140877</v>
      </c>
      <c r="BX9" s="17">
        <v>0.51672818209337212</v>
      </c>
      <c r="BY9" s="17">
        <v>0.39137541975769513</v>
      </c>
      <c r="BZ9" s="17">
        <v>0.57053103228939761</v>
      </c>
      <c r="CA9" s="17">
        <v>1.1184521510330778</v>
      </c>
      <c r="CB9" s="17">
        <v>0.63785928139871662</v>
      </c>
      <c r="CC9" s="17">
        <v>0.824930457843423</v>
      </c>
      <c r="CD9" s="17">
        <v>0.94073869035143121</v>
      </c>
      <c r="CE9" s="17">
        <v>1.1394403317645703</v>
      </c>
      <c r="CF9" s="17">
        <v>0.7378591589961172</v>
      </c>
      <c r="CG9" s="17">
        <v>0.64812026023005254</v>
      </c>
      <c r="CH9" s="17">
        <v>0.53627651743207638</v>
      </c>
      <c r="CI9" s="17">
        <v>1.2207686502451354</v>
      </c>
      <c r="CJ9" s="17">
        <v>0.27634295594766023</v>
      </c>
      <c r="CK9" s="17">
        <v>0.50393026992606282</v>
      </c>
      <c r="CL9" s="17">
        <v>0.29801821051984767</v>
      </c>
      <c r="CM9" s="17">
        <v>0.5054466419435315</v>
      </c>
      <c r="CN9" s="17">
        <v>0.87889037378955193</v>
      </c>
      <c r="CO9" s="17">
        <v>1.0774947509574373</v>
      </c>
      <c r="CP9" s="17">
        <v>0.46706682616455175</v>
      </c>
      <c r="CQ9" s="17">
        <v>0.98464282285166849</v>
      </c>
      <c r="CR9" s="17">
        <v>0.54805824835468075</v>
      </c>
      <c r="CS9" s="17">
        <v>0.94310163829843885</v>
      </c>
      <c r="CT9" s="17">
        <v>0.97685262657564242</v>
      </c>
      <c r="CU9" s="17">
        <v>1.1023061959738936</v>
      </c>
      <c r="CV9" s="17">
        <v>0.75563557160592976</v>
      </c>
      <c r="CW9" s="17">
        <v>0.6269421748369971</v>
      </c>
      <c r="CX9" s="17">
        <v>1.132283158020394</v>
      </c>
      <c r="CY9" s="17">
        <v>0.6822840722212915</v>
      </c>
      <c r="CZ9" s="17">
        <v>0.48930267815772316</v>
      </c>
      <c r="DA9" s="17">
        <v>0.49142836394166267</v>
      </c>
      <c r="DB9" s="17">
        <v>0.74371306299158868</v>
      </c>
      <c r="DC9" s="17">
        <v>0.23036178136751148</v>
      </c>
      <c r="DD9" s="17">
        <v>0.39399719225388768</v>
      </c>
      <c r="DE9" s="17">
        <v>0.6182857811911362</v>
      </c>
      <c r="DF9" s="17">
        <v>1.0089735839343574</v>
      </c>
      <c r="DG9" s="17">
        <v>0.2586248350160511</v>
      </c>
      <c r="DH9" s="17">
        <v>0.92640038064085661</v>
      </c>
      <c r="DI9" s="17">
        <v>0.70499628458681773</v>
      </c>
      <c r="DJ9" s="17">
        <v>0.39426638682607151</v>
      </c>
      <c r="DK9" s="17">
        <v>0.48947853269994956</v>
      </c>
      <c r="DL9" s="17">
        <v>0.66792574099667734</v>
      </c>
      <c r="DM9" s="17">
        <v>0.49936960012231268</v>
      </c>
      <c r="DN9" s="17">
        <v>0.4128965052640578</v>
      </c>
      <c r="DO9" s="17">
        <v>0.52966734612287492</v>
      </c>
      <c r="DP9" s="17">
        <v>0.85799583747877017</v>
      </c>
      <c r="DQ9" s="17">
        <v>0.32198534907631182</v>
      </c>
      <c r="DR9" s="17">
        <v>0.34472489815693119</v>
      </c>
      <c r="DS9" s="17">
        <v>1.1895197480198281</v>
      </c>
      <c r="DT9" s="17">
        <v>0.49399861436150239</v>
      </c>
      <c r="DU9" s="17">
        <v>0.93885934375984781</v>
      </c>
      <c r="DV9" s="17">
        <v>0.67154365854971865</v>
      </c>
      <c r="DW9" s="17">
        <v>0.63926301004033292</v>
      </c>
      <c r="DX9" s="17">
        <v>0.65689571783505496</v>
      </c>
      <c r="DY9" s="17">
        <v>0.59354789977972644</v>
      </c>
      <c r="DZ9" s="17">
        <v>0.65848885113700839</v>
      </c>
      <c r="EA9" s="17">
        <v>0.42559135472416504</v>
      </c>
      <c r="EB9" s="17">
        <v>0.45280467890119447</v>
      </c>
      <c r="EC9" s="17">
        <v>0.23163881869682129</v>
      </c>
      <c r="ED9" s="17">
        <v>0.65896121319735335</v>
      </c>
      <c r="EE9" s="17">
        <v>1.2783904226102154</v>
      </c>
      <c r="EF9" s="17">
        <v>0.5617203599485322</v>
      </c>
      <c r="EG9" s="17">
        <v>0.60383401922569502</v>
      </c>
      <c r="EH9" s="17">
        <v>0.87429982397075512</v>
      </c>
      <c r="EI9" s="17">
        <v>0.86670988261208237</v>
      </c>
      <c r="EJ9" s="17">
        <v>1.0203148038327461</v>
      </c>
      <c r="EK9" s="17">
        <v>0.61158360929011257</v>
      </c>
      <c r="EL9" s="17">
        <v>0.93565908524678842</v>
      </c>
      <c r="EM9" s="17">
        <v>0.71098703272084585</v>
      </c>
      <c r="EN9" s="17">
        <v>0.44517062404605917</v>
      </c>
      <c r="EO9" s="17">
        <v>0.36244358227207002</v>
      </c>
      <c r="EP9" s="17">
        <v>1.0315658856251082</v>
      </c>
      <c r="EQ9" s="17">
        <v>0.32516293532908019</v>
      </c>
      <c r="ER9" s="17">
        <v>0.15095904861687659</v>
      </c>
      <c r="ES9" s="17">
        <v>0.63666178707305676</v>
      </c>
      <c r="ET9" s="17">
        <v>1.3815371161933374</v>
      </c>
      <c r="EU9" s="17">
        <v>0.79871721288277842</v>
      </c>
      <c r="EV9" s="17">
        <v>0.73774054834878322</v>
      </c>
      <c r="EW9" s="17">
        <v>1.0643445543950236</v>
      </c>
      <c r="EX9" s="90">
        <v>0.61158360929011257</v>
      </c>
      <c r="EY9" s="51">
        <v>2025</v>
      </c>
      <c r="EZ9" s="51" t="s">
        <v>873</v>
      </c>
      <c r="FA9" s="77" t="s">
        <v>1002</v>
      </c>
      <c r="FB9" s="31" t="s">
        <v>929</v>
      </c>
    </row>
    <row r="10" spans="2:158" ht="15" customHeight="1" x14ac:dyDescent="0.35">
      <c r="B10" s="18" t="s">
        <v>860</v>
      </c>
      <c r="C10" s="14">
        <v>334112</v>
      </c>
      <c r="D10" s="9" t="s">
        <v>954</v>
      </c>
      <c r="E10" s="17">
        <v>0.96110612707116794</v>
      </c>
      <c r="F10" s="17">
        <v>0.79193841928567721</v>
      </c>
      <c r="G10" s="17">
        <v>0.7393071404150261</v>
      </c>
      <c r="H10" s="17">
        <v>1.1061148989484801</v>
      </c>
      <c r="I10" s="17">
        <v>0.36741416004279831</v>
      </c>
      <c r="J10" s="17">
        <v>1.0382918967070058</v>
      </c>
      <c r="K10" s="17">
        <v>0.29754239003041782</v>
      </c>
      <c r="L10" s="17">
        <v>0.18811770606412459</v>
      </c>
      <c r="M10" s="17">
        <v>0.47288863629991612</v>
      </c>
      <c r="N10" s="17">
        <v>0.20019594799501225</v>
      </c>
      <c r="O10" s="17">
        <v>0.71370762745822647</v>
      </c>
      <c r="P10" s="17">
        <v>0.59257559278284544</v>
      </c>
      <c r="Q10" s="17">
        <v>0.63698135482489371</v>
      </c>
      <c r="R10" s="17">
        <v>0.51322314505910061</v>
      </c>
      <c r="S10" s="17">
        <v>1.1251258118677019</v>
      </c>
      <c r="T10" s="17">
        <v>0.64326700903143719</v>
      </c>
      <c r="U10" s="17">
        <v>0.86073858314251817</v>
      </c>
      <c r="V10" s="17">
        <v>0.70676448779788481</v>
      </c>
      <c r="W10" s="17">
        <v>0.27012651377860963</v>
      </c>
      <c r="X10" s="17">
        <v>0.6744753960248151</v>
      </c>
      <c r="Y10" s="17">
        <v>0.82487887375779667</v>
      </c>
      <c r="Z10" s="17">
        <v>0.73697867207216539</v>
      </c>
      <c r="AA10" s="17">
        <v>0.288078620920103</v>
      </c>
      <c r="AB10" s="17">
        <v>0.1916522078402017</v>
      </c>
      <c r="AC10" s="17">
        <v>0.23000284121663808</v>
      </c>
      <c r="AD10" s="17">
        <v>1.9553074066687126</v>
      </c>
      <c r="AE10" s="17">
        <v>0.52237655480267897</v>
      </c>
      <c r="AF10" s="17">
        <v>0.4985127497344462</v>
      </c>
      <c r="AG10" s="17">
        <v>0.80986061560042433</v>
      </c>
      <c r="AH10" s="17">
        <v>0.46274320725099327</v>
      </c>
      <c r="AI10" s="17">
        <v>0.2290810292359188</v>
      </c>
      <c r="AJ10" s="17">
        <v>0.27545990844581086</v>
      </c>
      <c r="AK10" s="17">
        <v>0.61296585498983414</v>
      </c>
      <c r="AL10" s="17">
        <v>0.22223675353892572</v>
      </c>
      <c r="AM10" s="17">
        <v>1.1479362242448083</v>
      </c>
      <c r="AN10" s="17">
        <v>0.15866131145352946</v>
      </c>
      <c r="AO10" s="17">
        <v>0.59939433589588509</v>
      </c>
      <c r="AP10" s="17">
        <v>1.0056142470079827</v>
      </c>
      <c r="AQ10" s="17">
        <v>0.54064029555569837</v>
      </c>
      <c r="AR10" s="17">
        <v>1.1262613225089584</v>
      </c>
      <c r="AS10" s="17">
        <v>0.30492592838405164</v>
      </c>
      <c r="AT10" s="17">
        <v>0.50542202685159432</v>
      </c>
      <c r="AU10" s="17">
        <v>0.41880173407171156</v>
      </c>
      <c r="AV10" s="17">
        <v>0.11897390749120175</v>
      </c>
      <c r="AW10" s="17">
        <v>0.87040810448644912</v>
      </c>
      <c r="AX10" s="17">
        <v>0.15198251538969748</v>
      </c>
      <c r="AY10" s="17">
        <v>0.54705194156928383</v>
      </c>
      <c r="AZ10" s="17">
        <v>0.19172104725067007</v>
      </c>
      <c r="BA10" s="17">
        <v>0.75740323273696686</v>
      </c>
      <c r="BB10" s="17">
        <v>0.73461602411850291</v>
      </c>
      <c r="BC10" s="17">
        <v>0.56637039395920408</v>
      </c>
      <c r="BD10" s="17">
        <v>0.75896269754990653</v>
      </c>
      <c r="BE10" s="17">
        <v>0.34061360448043615</v>
      </c>
      <c r="BF10" s="17">
        <v>0.71962263133753934</v>
      </c>
      <c r="BG10" s="17">
        <v>0.57089932505316721</v>
      </c>
      <c r="BH10" s="17">
        <v>0.98073778059427297</v>
      </c>
      <c r="BI10" s="17">
        <v>0.95359942715496793</v>
      </c>
      <c r="BJ10" s="17">
        <v>0.16469879667230253</v>
      </c>
      <c r="BK10" s="17">
        <v>0.80595199378317761</v>
      </c>
      <c r="BL10" s="17">
        <v>0.40903541642503694</v>
      </c>
      <c r="BM10" s="17">
        <v>0.67141484556550557</v>
      </c>
      <c r="BN10" s="17">
        <v>1.5285941002821668</v>
      </c>
      <c r="BO10" s="17">
        <v>0.18487425987039838</v>
      </c>
      <c r="BP10" s="17">
        <v>1.2258891744851887</v>
      </c>
      <c r="BQ10" s="17">
        <v>1.2353678914342465</v>
      </c>
      <c r="BR10" s="17">
        <v>0.16909670779184455</v>
      </c>
      <c r="BS10" s="17">
        <v>0.11892108756958623</v>
      </c>
      <c r="BT10" s="17">
        <v>0.29310535616058314</v>
      </c>
      <c r="BU10" s="17">
        <v>0.85295097999516101</v>
      </c>
      <c r="BV10" s="17">
        <v>0.94359213684570975</v>
      </c>
      <c r="BW10" s="17">
        <v>0.49080695803141944</v>
      </c>
      <c r="BX10" s="17">
        <v>0.68569289488197815</v>
      </c>
      <c r="BY10" s="17">
        <v>0.41468336029618319</v>
      </c>
      <c r="BZ10" s="17">
        <v>0.58210421503196608</v>
      </c>
      <c r="CA10" s="17">
        <v>1.2525184987098235</v>
      </c>
      <c r="CB10" s="17">
        <v>0.7254977260919494</v>
      </c>
      <c r="CC10" s="17">
        <v>0.80776923840238302</v>
      </c>
      <c r="CD10" s="17">
        <v>1.2415620877451983</v>
      </c>
      <c r="CE10" s="17">
        <v>1.0560484209289802</v>
      </c>
      <c r="CF10" s="17">
        <v>0.82054263452846699</v>
      </c>
      <c r="CG10" s="17">
        <v>0.74493038768532094</v>
      </c>
      <c r="CH10" s="17">
        <v>0.61031167457218927</v>
      </c>
      <c r="CI10" s="17">
        <v>1.3663718140409598</v>
      </c>
      <c r="CJ10" s="17">
        <v>0.19325450931917523</v>
      </c>
      <c r="CK10" s="17">
        <v>0.13905643531412701</v>
      </c>
      <c r="CL10" s="17">
        <v>0.23898950252319714</v>
      </c>
      <c r="CM10" s="17">
        <v>0.80662775351179883</v>
      </c>
      <c r="CN10" s="17">
        <v>1.0032453147785898</v>
      </c>
      <c r="CO10" s="17">
        <v>1.20770855516074</v>
      </c>
      <c r="CP10" s="17">
        <v>0.51272126341460511</v>
      </c>
      <c r="CQ10" s="17">
        <v>1.103521868411691</v>
      </c>
      <c r="CR10" s="17">
        <v>0.61351637141287363</v>
      </c>
      <c r="CS10" s="17">
        <v>0.915611010875511</v>
      </c>
      <c r="CT10" s="17">
        <v>0.87134850802296948</v>
      </c>
      <c r="CU10" s="17">
        <v>1.2877714612460864</v>
      </c>
      <c r="CV10" s="17">
        <v>0.85590277850518193</v>
      </c>
      <c r="CW10" s="17">
        <v>0.69568902541425992</v>
      </c>
      <c r="CX10" s="17">
        <v>1.0950744725355805</v>
      </c>
      <c r="CY10" s="17">
        <v>0.77272847752373686</v>
      </c>
      <c r="CZ10" s="17">
        <v>0.5883388334089581</v>
      </c>
      <c r="DA10" s="17">
        <v>0.56546023058580508</v>
      </c>
      <c r="DB10" s="17">
        <v>0.81734773051076637</v>
      </c>
      <c r="DC10" s="17">
        <v>0.15916982815380148</v>
      </c>
      <c r="DD10" s="17">
        <v>0.18582805663287949</v>
      </c>
      <c r="DE10" s="17">
        <v>0.65686142612502296</v>
      </c>
      <c r="DF10" s="17">
        <v>1.1428194859711107</v>
      </c>
      <c r="DG10" s="17">
        <v>0.24218048853688784</v>
      </c>
      <c r="DH10" s="17">
        <v>1.0616035318424877</v>
      </c>
      <c r="DI10" s="17">
        <v>0.72872144304179398</v>
      </c>
      <c r="DJ10" s="17">
        <v>0.38592256870427982</v>
      </c>
      <c r="DK10" s="17">
        <v>0.46062975128688322</v>
      </c>
      <c r="DL10" s="17">
        <v>0.74122731347999704</v>
      </c>
      <c r="DM10" s="17">
        <v>0.5033479584297702</v>
      </c>
      <c r="DN10" s="17">
        <v>0.30609543471129308</v>
      </c>
      <c r="DO10" s="17">
        <v>0.57558064105876139</v>
      </c>
      <c r="DP10" s="17">
        <v>1.139401585701328</v>
      </c>
      <c r="DQ10" s="17">
        <v>0.37288405018170601</v>
      </c>
      <c r="DR10" s="17">
        <v>0.12815320742661471</v>
      </c>
      <c r="DS10" s="17">
        <v>0.95853554795090345</v>
      </c>
      <c r="DT10" s="17">
        <v>0.55630036533718541</v>
      </c>
      <c r="DU10" s="17">
        <v>0.95512934557687845</v>
      </c>
      <c r="DV10" s="17">
        <v>0.75405735652946226</v>
      </c>
      <c r="DW10" s="17">
        <v>0.46234609447397002</v>
      </c>
      <c r="DX10" s="17">
        <v>0.73301677393517783</v>
      </c>
      <c r="DY10" s="17">
        <v>0.65859856209804668</v>
      </c>
      <c r="DZ10" s="17">
        <v>0.71922029483966254</v>
      </c>
      <c r="EA10" s="17">
        <v>0.52176518316255727</v>
      </c>
      <c r="EB10" s="17">
        <v>0.32978515590017254</v>
      </c>
      <c r="EC10" s="17">
        <v>0.11994154363601581</v>
      </c>
      <c r="ED10" s="17">
        <v>0.71459458781977725</v>
      </c>
      <c r="EE10" s="17">
        <v>1.427164548961076</v>
      </c>
      <c r="EF10" s="17">
        <v>0.68449119179002138</v>
      </c>
      <c r="EG10" s="17">
        <v>0.66216640686171402</v>
      </c>
      <c r="EH10" s="17">
        <v>0.82018226574787911</v>
      </c>
      <c r="EI10" s="17">
        <v>0.95527022099833647</v>
      </c>
      <c r="EJ10" s="17">
        <v>1.180223600737593</v>
      </c>
      <c r="EK10" s="17">
        <v>0.83290535736959859</v>
      </c>
      <c r="EL10" s="17">
        <v>0.453867909434095</v>
      </c>
      <c r="EM10" s="17">
        <v>0.5900405627878138</v>
      </c>
      <c r="EN10" s="17">
        <v>0.53909928030091947</v>
      </c>
      <c r="EO10" s="17">
        <v>0.37867894048686834</v>
      </c>
      <c r="EP10" s="17">
        <v>1.134863741188249</v>
      </c>
      <c r="EQ10" s="17">
        <v>0.34832865003418639</v>
      </c>
      <c r="ER10" s="17">
        <v>0.13574025506992185</v>
      </c>
      <c r="ES10" s="17">
        <v>0.71591295280169842</v>
      </c>
      <c r="ET10" s="17">
        <v>0.90846751147796379</v>
      </c>
      <c r="EU10" s="17">
        <v>0.90629569395029697</v>
      </c>
      <c r="EV10" s="17">
        <v>0.81658781899053201</v>
      </c>
      <c r="EW10" s="17">
        <v>0.73323290330513291</v>
      </c>
      <c r="EX10" s="90">
        <v>0.67141484556550557</v>
      </c>
      <c r="EY10" s="51">
        <v>2025</v>
      </c>
      <c r="EZ10" s="51" t="s">
        <v>873</v>
      </c>
      <c r="FA10" s="77" t="s">
        <v>1003</v>
      </c>
      <c r="FB10" s="31" t="s">
        <v>929</v>
      </c>
    </row>
    <row r="11" spans="2:158" ht="15" customHeight="1" x14ac:dyDescent="0.35">
      <c r="B11" s="18" t="s">
        <v>860</v>
      </c>
      <c r="C11" s="14">
        <v>332500</v>
      </c>
      <c r="D11" s="9" t="s">
        <v>947</v>
      </c>
      <c r="E11" s="17">
        <v>0.82411762760426788</v>
      </c>
      <c r="F11" s="17">
        <v>0.64651730255434836</v>
      </c>
      <c r="G11" s="17">
        <v>0.67368070959813831</v>
      </c>
      <c r="H11" s="17">
        <v>0.91982703857227699</v>
      </c>
      <c r="I11" s="17">
        <v>0.50525634462366242</v>
      </c>
      <c r="J11" s="17">
        <v>0.86556591112580228</v>
      </c>
      <c r="K11" s="17">
        <v>0.6113849611042379</v>
      </c>
      <c r="L11" s="17">
        <v>0.32246766875046995</v>
      </c>
      <c r="M11" s="17">
        <v>0.40651023923004009</v>
      </c>
      <c r="N11" s="17">
        <v>0.43374169595694284</v>
      </c>
      <c r="O11" s="17">
        <v>0.73755293852567971</v>
      </c>
      <c r="P11" s="17">
        <v>0.52677547939143277</v>
      </c>
      <c r="Q11" s="17">
        <v>0.59845272350540601</v>
      </c>
      <c r="R11" s="17">
        <v>0.51869524221962049</v>
      </c>
      <c r="S11" s="17">
        <v>1.0067409487569337</v>
      </c>
      <c r="T11" s="17">
        <v>0.54851680429657401</v>
      </c>
      <c r="U11" s="17">
        <v>0.71805332540566413</v>
      </c>
      <c r="V11" s="17">
        <v>0.74262228457646662</v>
      </c>
      <c r="W11" s="17">
        <v>0.4163821983707196</v>
      </c>
      <c r="X11" s="17">
        <v>0.59653628523277569</v>
      </c>
      <c r="Y11" s="17">
        <v>0.76863572430042082</v>
      </c>
      <c r="Z11" s="17">
        <v>0.61861652399548106</v>
      </c>
      <c r="AA11" s="17">
        <v>0.44965315717043242</v>
      </c>
      <c r="AB11" s="17">
        <v>0.21175982209494681</v>
      </c>
      <c r="AC11" s="17">
        <v>0.42699874422608469</v>
      </c>
      <c r="AD11" s="17">
        <v>1.5381986222217279</v>
      </c>
      <c r="AE11" s="17">
        <v>0.46930452655081761</v>
      </c>
      <c r="AF11" s="17">
        <v>0.48222163961273368</v>
      </c>
      <c r="AG11" s="17">
        <v>0.74669110814893336</v>
      </c>
      <c r="AH11" s="17">
        <v>0.65272756867932369</v>
      </c>
      <c r="AI11" s="17">
        <v>0.43829458879467809</v>
      </c>
      <c r="AJ11" s="17">
        <v>0.54425012718642729</v>
      </c>
      <c r="AK11" s="17">
        <v>0.52510253517883021</v>
      </c>
      <c r="AL11" s="17">
        <v>0.32516164438842465</v>
      </c>
      <c r="AM11" s="17">
        <v>0.93605660375320787</v>
      </c>
      <c r="AN11" s="17">
        <v>0.30592660485267875</v>
      </c>
      <c r="AO11" s="17">
        <v>0.55893765892282765</v>
      </c>
      <c r="AP11" s="17">
        <v>1.0568525830239226</v>
      </c>
      <c r="AQ11" s="17">
        <v>0.5641440332424702</v>
      </c>
      <c r="AR11" s="17">
        <v>1.2184691432408914</v>
      </c>
      <c r="AS11" s="17">
        <v>0.55026615716412464</v>
      </c>
      <c r="AT11" s="17">
        <v>0.69644588457376688</v>
      </c>
      <c r="AU11" s="17">
        <v>0.41943757912143043</v>
      </c>
      <c r="AV11" s="17">
        <v>0.38955382601339322</v>
      </c>
      <c r="AW11" s="17">
        <v>0.77340345458869608</v>
      </c>
      <c r="AX11" s="17">
        <v>0.33081549103170577</v>
      </c>
      <c r="AY11" s="17">
        <v>0.56275890559878283</v>
      </c>
      <c r="AZ11" s="17">
        <v>0.86143423055215529</v>
      </c>
      <c r="BA11" s="17">
        <v>0.65549926009560944</v>
      </c>
      <c r="BB11" s="17">
        <v>0.66099973853769267</v>
      </c>
      <c r="BC11" s="17">
        <v>0.50586901606538037</v>
      </c>
      <c r="BD11" s="17">
        <v>0.6802567190656027</v>
      </c>
      <c r="BE11" s="17">
        <v>0.49110176184452758</v>
      </c>
      <c r="BF11" s="17">
        <v>0.60871455735219826</v>
      </c>
      <c r="BG11" s="17">
        <v>0.52996138242765911</v>
      </c>
      <c r="BH11" s="17">
        <v>1.1178725915567502</v>
      </c>
      <c r="BI11" s="17">
        <v>0.83103835450266639</v>
      </c>
      <c r="BJ11" s="17">
        <v>0.30787964048578814</v>
      </c>
      <c r="BK11" s="17">
        <v>0.64365711156564331</v>
      </c>
      <c r="BL11" s="17">
        <v>0.52243937950605435</v>
      </c>
      <c r="BM11" s="17">
        <v>1.0771785977038422</v>
      </c>
      <c r="BN11" s="17">
        <v>1.1074990130586477</v>
      </c>
      <c r="BO11" s="17">
        <v>0.35920084231248078</v>
      </c>
      <c r="BP11" s="17">
        <v>1.389905617873187</v>
      </c>
      <c r="BQ11" s="17">
        <v>1.1796700091823604</v>
      </c>
      <c r="BR11" s="17">
        <v>0.27007403182164696</v>
      </c>
      <c r="BS11" s="17">
        <v>0.32743416294498184</v>
      </c>
      <c r="BT11" s="17">
        <v>0.3226593974575066</v>
      </c>
      <c r="BU11" s="17">
        <v>0.79830598634840566</v>
      </c>
      <c r="BV11" s="17">
        <v>0.85665504442638296</v>
      </c>
      <c r="BW11" s="17">
        <v>0.49813891843103897</v>
      </c>
      <c r="BX11" s="17">
        <v>0.6593309591512887</v>
      </c>
      <c r="BY11" s="17">
        <v>0.40544626215756147</v>
      </c>
      <c r="BZ11" s="17">
        <v>0.59639745507501707</v>
      </c>
      <c r="CA11" s="17">
        <v>1.0121555551718233</v>
      </c>
      <c r="CB11" s="17">
        <v>0.60041356187872275</v>
      </c>
      <c r="CC11" s="17">
        <v>1.4274910654097939</v>
      </c>
      <c r="CD11" s="17">
        <v>1.0427823430538539</v>
      </c>
      <c r="CE11" s="17">
        <v>1.1696904724155268</v>
      </c>
      <c r="CF11" s="17">
        <v>0.76124526775042345</v>
      </c>
      <c r="CG11" s="17">
        <v>0.61471997568279491</v>
      </c>
      <c r="CH11" s="17">
        <v>0.55402847522477139</v>
      </c>
      <c r="CI11" s="17">
        <v>1.0926908946613572</v>
      </c>
      <c r="CJ11" s="17">
        <v>0.31400349960853441</v>
      </c>
      <c r="CK11" s="17">
        <v>0.68357000333310136</v>
      </c>
      <c r="CL11" s="17">
        <v>0.38088309388994357</v>
      </c>
      <c r="CM11" s="17">
        <v>0.61276249417572914</v>
      </c>
      <c r="CN11" s="17">
        <v>0.92666938675890398</v>
      </c>
      <c r="CO11" s="17">
        <v>0.97971477794058648</v>
      </c>
      <c r="CP11" s="17">
        <v>0.60829865892214963</v>
      </c>
      <c r="CQ11" s="17">
        <v>0.94809902980540828</v>
      </c>
      <c r="CR11" s="17">
        <v>0.54368263710371223</v>
      </c>
      <c r="CS11" s="17">
        <v>0.68153071190229442</v>
      </c>
      <c r="CT11" s="17">
        <v>0.94761598640634048</v>
      </c>
      <c r="CU11" s="17">
        <v>1.2289601701728723</v>
      </c>
      <c r="CV11" s="17">
        <v>0.72738506782390588</v>
      </c>
      <c r="CW11" s="17">
        <v>0.58799443162148057</v>
      </c>
      <c r="CX11" s="17">
        <v>1.0350212855587286</v>
      </c>
      <c r="CY11" s="17">
        <v>0.67634287553044981</v>
      </c>
      <c r="CZ11" s="17">
        <v>0.50003776535487665</v>
      </c>
      <c r="DA11" s="17">
        <v>0.54390252409449902</v>
      </c>
      <c r="DB11" s="17">
        <v>0.73644397758155722</v>
      </c>
      <c r="DC11" s="17">
        <v>0.38214624659734103</v>
      </c>
      <c r="DD11" s="17">
        <v>0.4953320203380559</v>
      </c>
      <c r="DE11" s="17">
        <v>0.62708391680964837</v>
      </c>
      <c r="DF11" s="17">
        <v>0.8942254673215887</v>
      </c>
      <c r="DG11" s="17">
        <v>0.51842424841136747</v>
      </c>
      <c r="DH11" s="17">
        <v>1.0755541489938834</v>
      </c>
      <c r="DI11" s="17">
        <v>0.84082560999576517</v>
      </c>
      <c r="DJ11" s="17">
        <v>0.3111411048451983</v>
      </c>
      <c r="DK11" s="17">
        <v>0.7595881809559798</v>
      </c>
      <c r="DL11" s="17">
        <v>0.65497733168689565</v>
      </c>
      <c r="DM11" s="17">
        <v>0.56071742138813441</v>
      </c>
      <c r="DN11" s="17">
        <v>0.42542222358292836</v>
      </c>
      <c r="DO11" s="17">
        <v>0.52161651020546929</v>
      </c>
      <c r="DP11" s="17">
        <v>0.95277034573891806</v>
      </c>
      <c r="DQ11" s="17">
        <v>0.42166252531879839</v>
      </c>
      <c r="DR11" s="17">
        <v>0.4852264174214666</v>
      </c>
      <c r="DS11" s="17">
        <v>1.2128223084459715</v>
      </c>
      <c r="DT11" s="17">
        <v>0.46872521790727001</v>
      </c>
      <c r="DU11" s="17">
        <v>0.72671718913657501</v>
      </c>
      <c r="DV11" s="17">
        <v>0.70973700738435253</v>
      </c>
      <c r="DW11" s="17">
        <v>0.77474444883387228</v>
      </c>
      <c r="DX11" s="17">
        <v>0.62166221488128603</v>
      </c>
      <c r="DY11" s="17">
        <v>0.58988709245799142</v>
      </c>
      <c r="DZ11" s="17">
        <v>0.63856102021860373</v>
      </c>
      <c r="EA11" s="17">
        <v>0.43754681882670043</v>
      </c>
      <c r="EB11" s="17">
        <v>0.38910306342051332</v>
      </c>
      <c r="EC11" s="17">
        <v>0.41283596593098265</v>
      </c>
      <c r="ED11" s="17">
        <v>0.66024218027526671</v>
      </c>
      <c r="EE11" s="17">
        <v>1.1561678354673683</v>
      </c>
      <c r="EF11" s="17">
        <v>0.53136227366730326</v>
      </c>
      <c r="EG11" s="17">
        <v>0.6468609261608127</v>
      </c>
      <c r="EH11" s="17">
        <v>0.98245228624270564</v>
      </c>
      <c r="EI11" s="17">
        <v>0.880232479778015</v>
      </c>
      <c r="EJ11" s="17">
        <v>1.2163608232765841</v>
      </c>
      <c r="EK11" s="17">
        <v>0.71097642893845836</v>
      </c>
      <c r="EL11" s="17">
        <v>0.74662169668262757</v>
      </c>
      <c r="EM11" s="17">
        <v>0.83581740848154229</v>
      </c>
      <c r="EN11" s="17">
        <v>0.47512400278435862</v>
      </c>
      <c r="EO11" s="17">
        <v>0.36911023378935498</v>
      </c>
      <c r="EP11" s="17">
        <v>1.2207049744891214</v>
      </c>
      <c r="EQ11" s="17">
        <v>0.31648091129988715</v>
      </c>
      <c r="ER11" s="17">
        <v>0.55385910855797427</v>
      </c>
      <c r="ES11" s="17">
        <v>0.60098874108882228</v>
      </c>
      <c r="ET11" s="17">
        <v>1.5570894818146694</v>
      </c>
      <c r="EU11" s="17">
        <v>0.74031952354295116</v>
      </c>
      <c r="EV11" s="17">
        <v>0.73745037253392731</v>
      </c>
      <c r="EW11" s="17">
        <v>1.4378544114239595</v>
      </c>
      <c r="EX11" s="90">
        <v>0.62708391680964837</v>
      </c>
      <c r="EY11" s="51">
        <v>2025</v>
      </c>
      <c r="EZ11" s="51" t="s">
        <v>873</v>
      </c>
      <c r="FA11" s="77" t="s">
        <v>1004</v>
      </c>
      <c r="FB11" s="31" t="s">
        <v>929</v>
      </c>
    </row>
    <row r="12" spans="2:158" ht="15" customHeight="1" x14ac:dyDescent="0.35">
      <c r="B12" s="18" t="s">
        <v>861</v>
      </c>
      <c r="C12" s="14">
        <v>511200</v>
      </c>
      <c r="D12" s="9" t="s">
        <v>972</v>
      </c>
      <c r="E12" s="17">
        <v>0.55247022918050681</v>
      </c>
      <c r="F12" s="17">
        <v>0.41328087916228906</v>
      </c>
      <c r="G12" s="17">
        <v>0.44953515328439886</v>
      </c>
      <c r="H12" s="17">
        <v>0.63325947515897674</v>
      </c>
      <c r="I12" s="17">
        <v>0.29568864131557726</v>
      </c>
      <c r="J12" s="17">
        <v>0.58744421639001376</v>
      </c>
      <c r="K12" s="17">
        <v>0.29785436629678014</v>
      </c>
      <c r="L12" s="17">
        <v>0.1782100162686886</v>
      </c>
      <c r="M12" s="17">
        <v>0.26526676959644424</v>
      </c>
      <c r="N12" s="17">
        <v>0.18055565199453516</v>
      </c>
      <c r="O12" s="17">
        <v>0.48434885865670352</v>
      </c>
      <c r="P12" s="17">
        <v>0.34408796682392151</v>
      </c>
      <c r="Q12" s="17">
        <v>0.38143014947161152</v>
      </c>
      <c r="R12" s="17">
        <v>0.20159410539374825</v>
      </c>
      <c r="S12" s="17">
        <v>0.71621166841396788</v>
      </c>
      <c r="T12" s="17">
        <v>0.36129339844246927</v>
      </c>
      <c r="U12" s="17">
        <v>0.47986323441430745</v>
      </c>
      <c r="V12" s="17">
        <v>0.48318368881264467</v>
      </c>
      <c r="W12" s="17">
        <v>0.17631140478805168</v>
      </c>
      <c r="X12" s="17">
        <v>0.39391278857682299</v>
      </c>
      <c r="Y12" s="17">
        <v>0.52143681732006575</v>
      </c>
      <c r="Z12" s="17">
        <v>0.4100328977164478</v>
      </c>
      <c r="AA12" s="17">
        <v>0.3514456498980556</v>
      </c>
      <c r="AB12" s="17">
        <v>0.13485784093383552</v>
      </c>
      <c r="AC12" s="17">
        <v>0.30680819981220991</v>
      </c>
      <c r="AD12" s="17">
        <v>0.36874206777055163</v>
      </c>
      <c r="AE12" s="17">
        <v>0.30082636882458169</v>
      </c>
      <c r="AF12" s="17">
        <v>0.30760316562818346</v>
      </c>
      <c r="AG12" s="17">
        <v>0.50289124246617856</v>
      </c>
      <c r="AH12" s="17">
        <v>0.16521496390957086</v>
      </c>
      <c r="AI12" s="17">
        <v>0.25477592591820591</v>
      </c>
      <c r="AJ12" s="17">
        <v>0.3320309892916683</v>
      </c>
      <c r="AK12" s="17">
        <v>0.30293694749955935</v>
      </c>
      <c r="AL12" s="17">
        <v>0.16702810588499115</v>
      </c>
      <c r="AM12" s="17">
        <v>0.63594904172353028</v>
      </c>
      <c r="AN12" s="17">
        <v>8.6353463354180732E-2</v>
      </c>
      <c r="AO12" s="17">
        <v>0.36186823987649497</v>
      </c>
      <c r="AP12" s="17">
        <v>0.68802910457937727</v>
      </c>
      <c r="AQ12" s="17">
        <v>0.36076418601314253</v>
      </c>
      <c r="AR12" s="17">
        <v>0.78501975066703977</v>
      </c>
      <c r="AS12" s="17">
        <v>0.19017999473308059</v>
      </c>
      <c r="AT12" s="17">
        <v>0.34330613564904128</v>
      </c>
      <c r="AU12" s="17">
        <v>0.26958462972994912</v>
      </c>
      <c r="AV12" s="17">
        <v>0.13379813102046756</v>
      </c>
      <c r="AW12" s="17">
        <v>0.52371991731520617</v>
      </c>
      <c r="AX12" s="17">
        <v>0.1835098735108249</v>
      </c>
      <c r="AY12" s="17">
        <v>0.35869669862199594</v>
      </c>
      <c r="AZ12" s="17">
        <v>4.2408017905391525E-2</v>
      </c>
      <c r="BA12" s="17">
        <v>0.43674205419349388</v>
      </c>
      <c r="BB12" s="17">
        <v>0.43840920868892974</v>
      </c>
      <c r="BC12" s="17">
        <v>0.3295173242820138</v>
      </c>
      <c r="BD12" s="17">
        <v>0.45303899716446983</v>
      </c>
      <c r="BE12" s="17">
        <v>0.30431445530986645</v>
      </c>
      <c r="BF12" s="17">
        <v>0.40330319912436324</v>
      </c>
      <c r="BG12" s="17">
        <v>0.34375263715315885</v>
      </c>
      <c r="BH12" s="17">
        <v>0.4936322484533765</v>
      </c>
      <c r="BI12" s="17">
        <v>0.56711593863877141</v>
      </c>
      <c r="BJ12" s="17">
        <v>0.29101998150073904</v>
      </c>
      <c r="BK12" s="17">
        <v>0.42167554052102946</v>
      </c>
      <c r="BL12" s="17">
        <v>0.28943967101935508</v>
      </c>
      <c r="BM12" s="17">
        <v>0.98913750548699253</v>
      </c>
      <c r="BN12" s="17">
        <v>0.98466311863576261</v>
      </c>
      <c r="BO12" s="17">
        <v>0.10647010759551706</v>
      </c>
      <c r="BP12" s="17">
        <v>0.90344849548674599</v>
      </c>
      <c r="BQ12" s="17">
        <v>0.74758569195395186</v>
      </c>
      <c r="BR12" s="17">
        <v>0.20464628163999526</v>
      </c>
      <c r="BS12" s="17">
        <v>0.13599333339652669</v>
      </c>
      <c r="BT12" s="17">
        <v>0.18086162806671907</v>
      </c>
      <c r="BU12" s="17">
        <v>0.54180922320037361</v>
      </c>
      <c r="BV12" s="17">
        <v>0.58434145733437215</v>
      </c>
      <c r="BW12" s="17">
        <v>7.1067015631404051E-2</v>
      </c>
      <c r="BX12" s="17">
        <v>1.2526698272347399</v>
      </c>
      <c r="BY12" s="17">
        <v>0.26008159798665559</v>
      </c>
      <c r="BZ12" s="17">
        <v>0.62944297401210736</v>
      </c>
      <c r="CA12" s="17">
        <v>0.68814628402809908</v>
      </c>
      <c r="CB12" s="17">
        <v>0.39707244960433624</v>
      </c>
      <c r="CC12" s="17">
        <v>0.23863421679585772</v>
      </c>
      <c r="CD12" s="17">
        <v>0.7017903488597208</v>
      </c>
      <c r="CE12" s="17">
        <v>1.1072781682461172</v>
      </c>
      <c r="CF12" s="17">
        <v>0.51199006013594839</v>
      </c>
      <c r="CG12" s="17">
        <v>0.40687184089618783</v>
      </c>
      <c r="CH12" s="17">
        <v>0.36027357982310831</v>
      </c>
      <c r="CI12" s="17">
        <v>0.74254352488909237</v>
      </c>
      <c r="CJ12" s="17">
        <v>0.30653902948379091</v>
      </c>
      <c r="CK12" s="17">
        <v>0.19352297964263904</v>
      </c>
      <c r="CL12" s="17">
        <v>0.25308628275962608</v>
      </c>
      <c r="CM12" s="17">
        <v>0.94206248212304688</v>
      </c>
      <c r="CN12" s="17">
        <v>0.63898760356669837</v>
      </c>
      <c r="CO12" s="17">
        <v>0.66553579732701584</v>
      </c>
      <c r="CP12" s="17">
        <v>0.30523136333815798</v>
      </c>
      <c r="CQ12" s="17">
        <v>0.66041920258289011</v>
      </c>
      <c r="CR12" s="17">
        <v>0.35688039233557894</v>
      </c>
      <c r="CS12" s="17">
        <v>0.59361502198395821</v>
      </c>
      <c r="CT12" s="17">
        <v>0.69605903701632843</v>
      </c>
      <c r="CU12" s="17">
        <v>0.90522441498558348</v>
      </c>
      <c r="CV12" s="17">
        <v>0.48786640577704926</v>
      </c>
      <c r="CW12" s="17">
        <v>0.38897686236684681</v>
      </c>
      <c r="CX12" s="17">
        <v>0.63351682623316119</v>
      </c>
      <c r="CY12" s="17">
        <v>0.45071837075437771</v>
      </c>
      <c r="CZ12" s="17">
        <v>0.32226598488359143</v>
      </c>
      <c r="DA12" s="17">
        <v>0.34072277652260147</v>
      </c>
      <c r="DB12" s="17">
        <v>0.49619593034658538</v>
      </c>
      <c r="DC12" s="17">
        <v>0.1177709532992243</v>
      </c>
      <c r="DD12" s="17">
        <v>0.18889691541241779</v>
      </c>
      <c r="DE12" s="17">
        <v>0.41603169856207184</v>
      </c>
      <c r="DF12" s="17">
        <v>0.58640532635774356</v>
      </c>
      <c r="DG12" s="17">
        <v>0.15522350423549461</v>
      </c>
      <c r="DH12" s="17">
        <v>0.72784628317390299</v>
      </c>
      <c r="DI12" s="17">
        <v>0.52715225105701913</v>
      </c>
      <c r="DJ12" s="17">
        <v>0.13227235896857084</v>
      </c>
      <c r="DK12" s="17">
        <v>0.66061011906337319</v>
      </c>
      <c r="DL12" s="17">
        <v>0.43630157901813382</v>
      </c>
      <c r="DM12" s="17">
        <v>0.35944579452406938</v>
      </c>
      <c r="DN12" s="17">
        <v>0.19777232676221534</v>
      </c>
      <c r="DO12" s="17">
        <v>0.34262034180130851</v>
      </c>
      <c r="DP12" s="17">
        <v>0.62423192497030955</v>
      </c>
      <c r="DQ12" s="17">
        <v>0.19472427825812796</v>
      </c>
      <c r="DR12" s="17">
        <v>0.27387693508320449</v>
      </c>
      <c r="DS12" s="17">
        <v>0.57291734570300101</v>
      </c>
      <c r="DT12" s="17">
        <v>0.30705892943068158</v>
      </c>
      <c r="DU12" s="17">
        <v>0.39672172529067012</v>
      </c>
      <c r="DV12" s="17">
        <v>0.46973933986800781</v>
      </c>
      <c r="DW12" s="17">
        <v>0.51564965484777281</v>
      </c>
      <c r="DX12" s="17">
        <v>0.41244318553411308</v>
      </c>
      <c r="DY12" s="17">
        <v>0.38941277414819697</v>
      </c>
      <c r="DZ12" s="17">
        <v>0.42518447598570625</v>
      </c>
      <c r="EA12" s="17">
        <v>0.26235938235060491</v>
      </c>
      <c r="EB12" s="17">
        <v>0.24662053274018589</v>
      </c>
      <c r="EC12" s="17">
        <v>7.9670319010302318E-2</v>
      </c>
      <c r="ED12" s="17">
        <v>0.44011841895963288</v>
      </c>
      <c r="EE12" s="17">
        <v>0.82764351785615242</v>
      </c>
      <c r="EF12" s="17">
        <v>0.34823628877796037</v>
      </c>
      <c r="EG12" s="17">
        <v>0.42271585338792428</v>
      </c>
      <c r="EH12" s="17">
        <v>0.83679390736886605</v>
      </c>
      <c r="EI12" s="17">
        <v>0.60770708631634784</v>
      </c>
      <c r="EJ12" s="17">
        <v>0.83110823974765524</v>
      </c>
      <c r="EK12" s="17">
        <v>0.53428151766067133</v>
      </c>
      <c r="EL12" s="17">
        <v>0.87288283254052501</v>
      </c>
      <c r="EM12" s="17">
        <v>0.46519297329579612</v>
      </c>
      <c r="EN12" s="17">
        <v>0.29903052748176245</v>
      </c>
      <c r="EO12" s="17">
        <v>0.23732956936692834</v>
      </c>
      <c r="EP12" s="17">
        <v>0.86075475769564003</v>
      </c>
      <c r="EQ12" s="17">
        <v>0.20457078421282934</v>
      </c>
      <c r="ER12" s="17">
        <v>6.164989256164978E-2</v>
      </c>
      <c r="ES12" s="17">
        <v>0.39779574930285488</v>
      </c>
      <c r="ET12" s="17">
        <v>1.1667332018532748</v>
      </c>
      <c r="EU12" s="17">
        <v>0.49392060946686578</v>
      </c>
      <c r="EV12" s="17">
        <v>0.49637004395009809</v>
      </c>
      <c r="EW12" s="17">
        <v>0.66461989252154796</v>
      </c>
      <c r="EX12" s="90">
        <v>0.39779574930285488</v>
      </c>
      <c r="EY12" s="51">
        <v>2025</v>
      </c>
      <c r="EZ12" s="51" t="s">
        <v>873</v>
      </c>
      <c r="FA12" s="77" t="s">
        <v>1005</v>
      </c>
      <c r="FB12" s="31" t="s">
        <v>929</v>
      </c>
    </row>
    <row r="13" spans="2:158" ht="21" customHeight="1" x14ac:dyDescent="0.35">
      <c r="B13" s="18" t="s">
        <v>861</v>
      </c>
      <c r="C13" s="14">
        <v>518200</v>
      </c>
      <c r="D13" s="9" t="s">
        <v>974</v>
      </c>
      <c r="E13" s="17">
        <v>0.5408196031522966</v>
      </c>
      <c r="F13" s="17">
        <v>0.44168421024548943</v>
      </c>
      <c r="G13" s="17">
        <v>0.40033731703062181</v>
      </c>
      <c r="H13" s="17">
        <v>0.59379856362024819</v>
      </c>
      <c r="I13" s="17">
        <v>0.31133188724026761</v>
      </c>
      <c r="J13" s="17">
        <v>0.52696779600436772</v>
      </c>
      <c r="K13" s="17">
        <v>0.21509724745182401</v>
      </c>
      <c r="L13" s="17">
        <v>0.14076477356250625</v>
      </c>
      <c r="M13" s="17">
        <v>0.24132780833547804</v>
      </c>
      <c r="N13" s="17">
        <v>0.16697889604211935</v>
      </c>
      <c r="O13" s="17">
        <v>0.42870245471271562</v>
      </c>
      <c r="P13" s="17">
        <v>0.31947719557233784</v>
      </c>
      <c r="Q13" s="17">
        <v>0.3699583462075523</v>
      </c>
      <c r="R13" s="17">
        <v>0.19357361433283232</v>
      </c>
      <c r="S13" s="17">
        <v>0.6297396061513606</v>
      </c>
      <c r="T13" s="17">
        <v>0.33263612962987632</v>
      </c>
      <c r="U13" s="17">
        <v>0.4369117100681903</v>
      </c>
      <c r="V13" s="17">
        <v>0.4313877792480697</v>
      </c>
      <c r="W13" s="17">
        <v>9.096632178114443E-2</v>
      </c>
      <c r="X13" s="17">
        <v>0.36030638999105169</v>
      </c>
      <c r="Y13" s="17">
        <v>0.45029345445806368</v>
      </c>
      <c r="Z13" s="17">
        <v>0.37644100098350575</v>
      </c>
      <c r="AA13" s="17">
        <v>0.25019892323214105</v>
      </c>
      <c r="AB13" s="17">
        <v>7.9339891985344566E-2</v>
      </c>
      <c r="AC13" s="17">
        <v>0.18713466162158976</v>
      </c>
      <c r="AD13" s="17">
        <v>0.4213402628825742</v>
      </c>
      <c r="AE13" s="17">
        <v>0.28919650269103481</v>
      </c>
      <c r="AF13" s="17">
        <v>0.28572493061048004</v>
      </c>
      <c r="AG13" s="17">
        <v>0.44629963769923869</v>
      </c>
      <c r="AH13" s="17">
        <v>0.1159381007689143</v>
      </c>
      <c r="AI13" s="17">
        <v>6.1167573294804024E-2</v>
      </c>
      <c r="AJ13" s="17">
        <v>0.25444350795719506</v>
      </c>
      <c r="AK13" s="17">
        <v>0.19081527715522598</v>
      </c>
      <c r="AL13" s="17">
        <v>0.11133639462674701</v>
      </c>
      <c r="AM13" s="17">
        <v>0.57600371309109988</v>
      </c>
      <c r="AN13" s="17">
        <v>8.6760712088516184E-2</v>
      </c>
      <c r="AO13" s="17">
        <v>0.33803864768410391</v>
      </c>
      <c r="AP13" s="17">
        <v>0.64320250282883451</v>
      </c>
      <c r="AQ13" s="17">
        <v>0.32280458428409614</v>
      </c>
      <c r="AR13" s="17">
        <v>0.73817517754742545</v>
      </c>
      <c r="AS13" s="17">
        <v>0.21883100865658772</v>
      </c>
      <c r="AT13" s="17">
        <v>0.24441997470018073</v>
      </c>
      <c r="AU13" s="17">
        <v>0.23612265315010128</v>
      </c>
      <c r="AV13" s="17">
        <v>0.11613081947034358</v>
      </c>
      <c r="AW13" s="17">
        <v>0.46553558856497551</v>
      </c>
      <c r="AX13" s="17">
        <v>9.4992290405884999E-2</v>
      </c>
      <c r="AY13" s="17">
        <v>0.32602999638916758</v>
      </c>
      <c r="AZ13" s="17">
        <v>0.10126672260847948</v>
      </c>
      <c r="BA13" s="17">
        <v>0.39306955881018063</v>
      </c>
      <c r="BB13" s="17">
        <v>0.40217594663721601</v>
      </c>
      <c r="BC13" s="17">
        <v>0.3059182607055238</v>
      </c>
      <c r="BD13" s="17">
        <v>0.41317257879627489</v>
      </c>
      <c r="BE13" s="17">
        <v>0.21997105502066483</v>
      </c>
      <c r="BF13" s="17">
        <v>0.36798567230582435</v>
      </c>
      <c r="BG13" s="17">
        <v>0.31780822315684093</v>
      </c>
      <c r="BH13" s="17">
        <v>9.7599511771146286E-2</v>
      </c>
      <c r="BI13" s="17">
        <v>0.50491484422631472</v>
      </c>
      <c r="BJ13" s="17">
        <v>0.22396995038716902</v>
      </c>
      <c r="BK13" s="17">
        <v>0.43399928223496842</v>
      </c>
      <c r="BL13" s="17">
        <v>0.20191268408697974</v>
      </c>
      <c r="BM13" s="17">
        <v>2.2433049770346969</v>
      </c>
      <c r="BN13" s="17">
        <v>0.59988301521555321</v>
      </c>
      <c r="BO13" s="17">
        <v>0.19572135602637064</v>
      </c>
      <c r="BP13" s="17">
        <v>0.83033096447250976</v>
      </c>
      <c r="BQ13" s="17">
        <v>0.76651563654707577</v>
      </c>
      <c r="BR13" s="17">
        <v>9.0449843387542042E-2</v>
      </c>
      <c r="BS13" s="17">
        <v>5.7433653883780918E-2</v>
      </c>
      <c r="BT13" s="17">
        <v>0.14809335085783998</v>
      </c>
      <c r="BU13" s="17">
        <v>0.47737077782161574</v>
      </c>
      <c r="BV13" s="17">
        <v>0.53238910768162084</v>
      </c>
      <c r="BW13" s="17">
        <v>0.10358987562284662</v>
      </c>
      <c r="BX13" s="17">
        <v>1.4556082913112796</v>
      </c>
      <c r="BY13" s="17">
        <v>0.23201403104444338</v>
      </c>
      <c r="BZ13" s="17">
        <v>0.74097563067194605</v>
      </c>
      <c r="CA13" s="17">
        <v>0.61993433489009986</v>
      </c>
      <c r="CB13" s="17">
        <v>0.36756886791084209</v>
      </c>
      <c r="CC13" s="17">
        <v>0.66880442609846646</v>
      </c>
      <c r="CD13" s="17">
        <v>0.73106143965684933</v>
      </c>
      <c r="CE13" s="17">
        <v>1.0567700945351848</v>
      </c>
      <c r="CF13" s="17">
        <v>0.45958573330593738</v>
      </c>
      <c r="CG13" s="17">
        <v>0.38044388047985023</v>
      </c>
      <c r="CH13" s="17">
        <v>0.33800801233590233</v>
      </c>
      <c r="CI13" s="17">
        <v>0.66982508900540516</v>
      </c>
      <c r="CJ13" s="17">
        <v>0.11774705450958546</v>
      </c>
      <c r="CK13" s="17">
        <v>0.23772227124967202</v>
      </c>
      <c r="CL13" s="17">
        <v>0.13064239260775981</v>
      </c>
      <c r="CM13" s="17">
        <v>0.10287825968483577</v>
      </c>
      <c r="CN13" s="17">
        <v>0.57921053134523171</v>
      </c>
      <c r="CO13" s="17">
        <v>0.59997296654578824</v>
      </c>
      <c r="CP13" s="17">
        <v>0.37240275307722842</v>
      </c>
      <c r="CQ13" s="17">
        <v>0.58699073100508548</v>
      </c>
      <c r="CR13" s="17">
        <v>0.32725947661828469</v>
      </c>
      <c r="CS13" s="17">
        <v>0.53958824749869216</v>
      </c>
      <c r="CT13" s="17">
        <v>0.68657355831928357</v>
      </c>
      <c r="CU13" s="17">
        <v>0.81009695973492879</v>
      </c>
      <c r="CV13" s="17">
        <v>0.4460902655613147</v>
      </c>
      <c r="CW13" s="17">
        <v>0.35107052509417058</v>
      </c>
      <c r="CX13" s="17">
        <v>0.79572913477904028</v>
      </c>
      <c r="CY13" s="17">
        <v>0.41365248321089731</v>
      </c>
      <c r="CZ13" s="17">
        <v>0.31963115528759578</v>
      </c>
      <c r="DA13" s="17">
        <v>0.33270312808652275</v>
      </c>
      <c r="DB13" s="17">
        <v>0.43943160154625199</v>
      </c>
      <c r="DC13" s="17">
        <v>0.12813759384677045</v>
      </c>
      <c r="DD13" s="17">
        <v>0.13596962860030026</v>
      </c>
      <c r="DE13" s="17">
        <v>0.36107755687807203</v>
      </c>
      <c r="DF13" s="17">
        <v>0.54358470216680954</v>
      </c>
      <c r="DG13" s="17">
        <v>9.5294880147651112E-2</v>
      </c>
      <c r="DH13" s="17">
        <v>0.66890153667546304</v>
      </c>
      <c r="DI13" s="17">
        <v>0.47540098151299715</v>
      </c>
      <c r="DJ13" s="17">
        <v>9.9593340853806361E-2</v>
      </c>
      <c r="DK13" s="17">
        <v>0.69602628926178056</v>
      </c>
      <c r="DL13" s="17">
        <v>0.39266063346042168</v>
      </c>
      <c r="DM13" s="17">
        <v>0.26360621166334958</v>
      </c>
      <c r="DN13" s="17">
        <v>0.13689371717742843</v>
      </c>
      <c r="DO13" s="17">
        <v>0.30532696574480661</v>
      </c>
      <c r="DP13" s="17">
        <v>0.6641991759226572</v>
      </c>
      <c r="DQ13" s="17">
        <v>0.22811255850553611</v>
      </c>
      <c r="DR13" s="17">
        <v>0.11132735259210393</v>
      </c>
      <c r="DS13" s="17">
        <v>0.41663032146208367</v>
      </c>
      <c r="DT13" s="17">
        <v>0.28324392062839454</v>
      </c>
      <c r="DU13" s="17">
        <v>0.61652272773071071</v>
      </c>
      <c r="DV13" s="17">
        <v>0.43015822570515821</v>
      </c>
      <c r="DW13" s="17">
        <v>0.48319897529515093</v>
      </c>
      <c r="DX13" s="17">
        <v>0.37377882866696299</v>
      </c>
      <c r="DY13" s="17">
        <v>0.35273105393755572</v>
      </c>
      <c r="DZ13" s="17">
        <v>0.37669410986879448</v>
      </c>
      <c r="EA13" s="17">
        <v>0.20421780264426306</v>
      </c>
      <c r="EB13" s="17">
        <v>0.15125159472133506</v>
      </c>
      <c r="EC13" s="17">
        <v>6.8572433646572353E-2</v>
      </c>
      <c r="ED13" s="17">
        <v>0.38768268572759018</v>
      </c>
      <c r="EE13" s="17">
        <v>0.73175291508964857</v>
      </c>
      <c r="EF13" s="17">
        <v>0.3471520074715701</v>
      </c>
      <c r="EG13" s="17">
        <v>0.38297610212156968</v>
      </c>
      <c r="EH13" s="17">
        <v>0.80754596111785737</v>
      </c>
      <c r="EI13" s="17">
        <v>0.5328857568815123</v>
      </c>
      <c r="EJ13" s="17">
        <v>0.76481001000898963</v>
      </c>
      <c r="EK13" s="17">
        <v>0.48501151874385151</v>
      </c>
      <c r="EL13" s="17">
        <v>0.22041957526191033</v>
      </c>
      <c r="EM13" s="17">
        <v>0.28121961738116469</v>
      </c>
      <c r="EN13" s="17">
        <v>0.30344006748850866</v>
      </c>
      <c r="EO13" s="17">
        <v>0.20851339872328573</v>
      </c>
      <c r="EP13" s="17">
        <v>0.74729502822023475</v>
      </c>
      <c r="EQ13" s="17">
        <v>0.1823178298627337</v>
      </c>
      <c r="ER13" s="17">
        <v>0.13906824145654928</v>
      </c>
      <c r="ES13" s="17">
        <v>0.36382315090165024</v>
      </c>
      <c r="ET13" s="17">
        <v>0.67030219821156056</v>
      </c>
      <c r="EU13" s="17">
        <v>0.45401630802155579</v>
      </c>
      <c r="EV13" s="17">
        <v>0.44301526380206624</v>
      </c>
      <c r="EW13" s="17">
        <v>0.95129132278577744</v>
      </c>
      <c r="EX13" s="90">
        <v>0.36756886791084209</v>
      </c>
      <c r="EY13" s="51">
        <v>2025</v>
      </c>
      <c r="EZ13" s="51" t="s">
        <v>873</v>
      </c>
      <c r="FA13" s="77" t="s">
        <v>1006</v>
      </c>
      <c r="FB13" s="31" t="s">
        <v>929</v>
      </c>
    </row>
    <row r="14" spans="2:158" ht="15" customHeight="1" x14ac:dyDescent="0.35">
      <c r="B14" s="22" t="s">
        <v>861</v>
      </c>
      <c r="C14" s="25">
        <v>517110</v>
      </c>
      <c r="D14" s="55" t="s">
        <v>973</v>
      </c>
      <c r="E14" s="36">
        <v>0.35577114154716583</v>
      </c>
      <c r="F14" s="36">
        <v>0.28697570140501788</v>
      </c>
      <c r="G14" s="36">
        <v>0.26903766958416442</v>
      </c>
      <c r="H14" s="36">
        <v>0.39740530578367828</v>
      </c>
      <c r="I14" s="36">
        <v>0.29176534407201593</v>
      </c>
      <c r="J14" s="36">
        <v>0.35983528833092188</v>
      </c>
      <c r="K14" s="36">
        <v>0.4091074789727851</v>
      </c>
      <c r="L14" s="36">
        <v>0.15576112883681817</v>
      </c>
      <c r="M14" s="36">
        <v>0.16398851534968353</v>
      </c>
      <c r="N14" s="36">
        <v>0.12330448260074126</v>
      </c>
      <c r="O14" s="36">
        <v>0.28016125882759457</v>
      </c>
      <c r="P14" s="36">
        <v>0.21334844821352913</v>
      </c>
      <c r="Q14" s="36">
        <v>0.2400019772961057</v>
      </c>
      <c r="R14" s="36">
        <v>0.40458443237505259</v>
      </c>
      <c r="S14" s="36">
        <v>0.42019520306827862</v>
      </c>
      <c r="T14" s="36">
        <v>0.2251769684236562</v>
      </c>
      <c r="U14" s="36">
        <v>0.29792032292519</v>
      </c>
      <c r="V14" s="36">
        <v>0.28006278888625241</v>
      </c>
      <c r="W14" s="36">
        <v>0.11906040876395292</v>
      </c>
      <c r="X14" s="36">
        <v>0.24198698665130935</v>
      </c>
      <c r="Y14" s="36">
        <v>0.30343681955187213</v>
      </c>
      <c r="Z14" s="36">
        <v>0.25592369025533585</v>
      </c>
      <c r="AA14" s="36">
        <v>0.22409861463684091</v>
      </c>
      <c r="AB14" s="36">
        <v>0.11373797989916146</v>
      </c>
      <c r="AC14" s="36">
        <v>0.32439095321355066</v>
      </c>
      <c r="AD14" s="36">
        <v>1.0406665753187561</v>
      </c>
      <c r="AE14" s="36">
        <v>0.1903778721739581</v>
      </c>
      <c r="AF14" s="36">
        <v>0.18686368163879516</v>
      </c>
      <c r="AG14" s="36">
        <v>0.29885964523291464</v>
      </c>
      <c r="AH14" s="36">
        <v>0.13213643606216299</v>
      </c>
      <c r="AI14" s="36">
        <v>0.10730236993753813</v>
      </c>
      <c r="AJ14" s="36">
        <v>0.37223021559014352</v>
      </c>
      <c r="AK14" s="36">
        <v>0.27976431634076593</v>
      </c>
      <c r="AL14" s="36">
        <v>0.20588701295791459</v>
      </c>
      <c r="AM14" s="36">
        <v>0.39379388577202645</v>
      </c>
      <c r="AN14" s="36">
        <v>9.7142930217793091E-2</v>
      </c>
      <c r="AO14" s="36">
        <v>0.22255178954947216</v>
      </c>
      <c r="AP14" s="36">
        <v>0.41060365491857892</v>
      </c>
      <c r="AQ14" s="36">
        <v>0.20991128808747414</v>
      </c>
      <c r="AR14" s="36">
        <v>0.4673419672040634</v>
      </c>
      <c r="AS14" s="36">
        <v>0.26333561657516918</v>
      </c>
      <c r="AT14" s="36">
        <v>0.36636334331513504</v>
      </c>
      <c r="AU14" s="36">
        <v>0.15635130969487832</v>
      </c>
      <c r="AV14" s="36">
        <v>0.1086228406404795</v>
      </c>
      <c r="AW14" s="36">
        <v>0.31413826163884501</v>
      </c>
      <c r="AX14" s="36">
        <v>0.1433724548749179</v>
      </c>
      <c r="AY14" s="36">
        <v>0.21157569162528739</v>
      </c>
      <c r="AZ14" s="36">
        <v>5.9118672261890472E-2</v>
      </c>
      <c r="BA14" s="36">
        <v>0.26680082935475996</v>
      </c>
      <c r="BB14" s="36">
        <v>0.2683556464870086</v>
      </c>
      <c r="BC14" s="36">
        <v>0.20410305302229909</v>
      </c>
      <c r="BD14" s="36">
        <v>0.27640529899326316</v>
      </c>
      <c r="BE14" s="36">
        <v>0.25033796040997963</v>
      </c>
      <c r="BF14" s="36">
        <v>0.25027975183172596</v>
      </c>
      <c r="BG14" s="36">
        <v>0.21027015876302907</v>
      </c>
      <c r="BH14" s="36">
        <v>0.52907668477597414</v>
      </c>
      <c r="BI14" s="36">
        <v>0.34148368885391733</v>
      </c>
      <c r="BJ14" s="36">
        <v>0.21739898579399591</v>
      </c>
      <c r="BK14" s="36">
        <v>0.28671957638227985</v>
      </c>
      <c r="BL14" s="36">
        <v>0.23160935445400019</v>
      </c>
      <c r="BM14" s="36">
        <v>0.74187394410879615</v>
      </c>
      <c r="BN14" s="36">
        <v>2.8534468883364079</v>
      </c>
      <c r="BO14" s="36">
        <v>0.10345134654776153</v>
      </c>
      <c r="BP14" s="36">
        <v>0.52391971520837688</v>
      </c>
      <c r="BQ14" s="36">
        <v>0.48571005447619836</v>
      </c>
      <c r="BR14" s="36">
        <v>0.13585030179297919</v>
      </c>
      <c r="BS14" s="36">
        <v>7.8825112380146195E-2</v>
      </c>
      <c r="BT14" s="36">
        <v>0.16026256984824924</v>
      </c>
      <c r="BU14" s="36">
        <v>0.31881426512060645</v>
      </c>
      <c r="BV14" s="36">
        <v>0.35334571294242606</v>
      </c>
      <c r="BW14" s="36">
        <v>0.13661030354267883</v>
      </c>
      <c r="BX14" s="36">
        <v>0.9759015429793082</v>
      </c>
      <c r="BY14" s="36">
        <v>0.15354950629143954</v>
      </c>
      <c r="BZ14" s="36">
        <v>0.53792910000279326</v>
      </c>
      <c r="CA14" s="36">
        <v>0.42536005610694266</v>
      </c>
      <c r="CB14" s="36">
        <v>0.25017257778927532</v>
      </c>
      <c r="CC14" s="36">
        <v>0.36251347279608864</v>
      </c>
      <c r="CD14" s="36">
        <v>0.47206589403422128</v>
      </c>
      <c r="CE14" s="36">
        <v>0.75193707749457206</v>
      </c>
      <c r="CF14" s="36">
        <v>0.30600002410788968</v>
      </c>
      <c r="CG14" s="36">
        <v>0.25806392136118156</v>
      </c>
      <c r="CH14" s="36">
        <v>0.22366620189262595</v>
      </c>
      <c r="CI14" s="36">
        <v>0.46038150248822718</v>
      </c>
      <c r="CJ14" s="36">
        <v>0.15688695902389116</v>
      </c>
      <c r="CK14" s="36">
        <v>0.15342232044432222</v>
      </c>
      <c r="CL14" s="36">
        <v>0.15733996632855582</v>
      </c>
      <c r="CM14" s="36">
        <v>0.62682267918916657</v>
      </c>
      <c r="CN14" s="36">
        <v>0.38257128118761108</v>
      </c>
      <c r="CO14" s="36">
        <v>0.41135382127864845</v>
      </c>
      <c r="CP14" s="36">
        <v>0.21357963162616592</v>
      </c>
      <c r="CQ14" s="36">
        <v>0.39619326726593024</v>
      </c>
      <c r="CR14" s="36">
        <v>0.2196558365025266</v>
      </c>
      <c r="CS14" s="36">
        <v>0.31534256876116717</v>
      </c>
      <c r="CT14" s="36">
        <v>0.66564558265264573</v>
      </c>
      <c r="CU14" s="36">
        <v>0.52474238826951181</v>
      </c>
      <c r="CV14" s="36">
        <v>0.30191197120213059</v>
      </c>
      <c r="CW14" s="36">
        <v>0.23994854174800265</v>
      </c>
      <c r="CX14" s="36">
        <v>0.73609769819078008</v>
      </c>
      <c r="CY14" s="36">
        <v>0.27776692234064077</v>
      </c>
      <c r="CZ14" s="36">
        <v>0.21101244117001725</v>
      </c>
      <c r="DA14" s="36">
        <v>0.21414841512827876</v>
      </c>
      <c r="DB14" s="36">
        <v>0.29623640453987482</v>
      </c>
      <c r="DC14" s="36">
        <v>0.18068811003272656</v>
      </c>
      <c r="DD14" s="36">
        <v>0.11399935554427396</v>
      </c>
      <c r="DE14" s="36">
        <v>0.24235189058447115</v>
      </c>
      <c r="DF14" s="36">
        <v>0.37636718612013981</v>
      </c>
      <c r="DG14" s="36">
        <v>0.161203330487865</v>
      </c>
      <c r="DH14" s="36">
        <v>0.43146085602482909</v>
      </c>
      <c r="DI14" s="36">
        <v>0.30086332121023629</v>
      </c>
      <c r="DJ14" s="36">
        <v>0.14457608428455931</v>
      </c>
      <c r="DK14" s="36">
        <v>0.50871585506615791</v>
      </c>
      <c r="DL14" s="36">
        <v>0.26504697015317813</v>
      </c>
      <c r="DM14" s="36">
        <v>0.39167899707151255</v>
      </c>
      <c r="DN14" s="36">
        <v>0.19601465725828141</v>
      </c>
      <c r="DO14" s="36">
        <v>0.20596729371270781</v>
      </c>
      <c r="DP14" s="36">
        <v>0.42806308602027637</v>
      </c>
      <c r="DQ14" s="36">
        <v>0.3856742719638801</v>
      </c>
      <c r="DR14" s="36">
        <v>0.1605081970726436</v>
      </c>
      <c r="DS14" s="36">
        <v>0.97457041682306222</v>
      </c>
      <c r="DT14" s="36">
        <v>0.19240834696405423</v>
      </c>
      <c r="DU14" s="36">
        <v>1.1479844536095867</v>
      </c>
      <c r="DV14" s="36">
        <v>0.28393523022605466</v>
      </c>
      <c r="DW14" s="36">
        <v>0.36484904554434783</v>
      </c>
      <c r="DX14" s="36">
        <v>0.25465091547420093</v>
      </c>
      <c r="DY14" s="36">
        <v>0.23700636662357538</v>
      </c>
      <c r="DZ14" s="36">
        <v>0.25554683946711193</v>
      </c>
      <c r="EA14" s="36">
        <v>0.17738969494852144</v>
      </c>
      <c r="EB14" s="36">
        <v>0.15672254537325533</v>
      </c>
      <c r="EC14" s="36">
        <v>7.5775958754585301E-2</v>
      </c>
      <c r="ED14" s="36">
        <v>0.26074503490923018</v>
      </c>
      <c r="EE14" s="36">
        <v>0.49605454876479355</v>
      </c>
      <c r="EF14" s="36">
        <v>0.23404329411295755</v>
      </c>
      <c r="EG14" s="36">
        <v>0.25177803201273125</v>
      </c>
      <c r="EH14" s="36">
        <v>0.68175194508351411</v>
      </c>
      <c r="EI14" s="36">
        <v>0.35647194044277125</v>
      </c>
      <c r="EJ14" s="36">
        <v>0.49034697536184163</v>
      </c>
      <c r="EK14" s="36">
        <v>0.22851926287335431</v>
      </c>
      <c r="EL14" s="36">
        <v>1.237902046052056</v>
      </c>
      <c r="EM14" s="36">
        <v>0.38430631253315478</v>
      </c>
      <c r="EN14" s="36">
        <v>0.19707492874530941</v>
      </c>
      <c r="EO14" s="36">
        <v>0.13888258113196578</v>
      </c>
      <c r="EP14" s="36">
        <v>0.48180894555259546</v>
      </c>
      <c r="EQ14" s="36">
        <v>0.12305502817955877</v>
      </c>
      <c r="ER14" s="36">
        <v>0.15538274692887166</v>
      </c>
      <c r="ES14" s="36">
        <v>0.24778712435139072</v>
      </c>
      <c r="ET14" s="36">
        <v>1.2176469950726123</v>
      </c>
      <c r="EU14" s="36">
        <v>0.31028940407370925</v>
      </c>
      <c r="EV14" s="36">
        <v>0.2976405024208767</v>
      </c>
      <c r="EW14" s="36">
        <v>0.63934833835721472</v>
      </c>
      <c r="EX14" s="82">
        <v>0.2683556464870086</v>
      </c>
      <c r="EY14" s="51">
        <v>2025</v>
      </c>
      <c r="EZ14" s="51" t="s">
        <v>873</v>
      </c>
      <c r="FA14" s="77" t="s">
        <v>1007</v>
      </c>
      <c r="FB14" s="31" t="s">
        <v>929</v>
      </c>
    </row>
    <row r="15" spans="2:158" ht="15" customHeight="1" x14ac:dyDescent="0.35">
      <c r="B15" s="22" t="s">
        <v>862</v>
      </c>
      <c r="C15" s="25">
        <v>541100</v>
      </c>
      <c r="D15" s="55" t="s">
        <v>984</v>
      </c>
      <c r="E15" s="36">
        <v>0.20446396549159074</v>
      </c>
      <c r="F15" s="36">
        <v>0.1632152973879521</v>
      </c>
      <c r="G15" s="36">
        <v>0.15822183450968633</v>
      </c>
      <c r="H15" s="36">
        <v>0.23146541296346304</v>
      </c>
      <c r="I15" s="36">
        <v>0.12615893131795519</v>
      </c>
      <c r="J15" s="36">
        <v>0.21383451419940344</v>
      </c>
      <c r="K15" s="36">
        <v>0.11805943754960603</v>
      </c>
      <c r="L15" s="36">
        <v>7.1175370762665863E-2</v>
      </c>
      <c r="M15" s="36">
        <v>9.8256342507842889E-2</v>
      </c>
      <c r="N15" s="36">
        <v>6.9109953145324365E-2</v>
      </c>
      <c r="O15" s="36">
        <v>0.16140507874606658</v>
      </c>
      <c r="P15" s="36">
        <v>0.12548558164769416</v>
      </c>
      <c r="Q15" s="36">
        <v>0.13778383512606737</v>
      </c>
      <c r="R15" s="36">
        <v>0.10865368080505265</v>
      </c>
      <c r="S15" s="36">
        <v>0.24066083630886559</v>
      </c>
      <c r="T15" s="36">
        <v>0.13388169856848101</v>
      </c>
      <c r="U15" s="36">
        <v>0.17763886884427924</v>
      </c>
      <c r="V15" s="36">
        <v>0.1608670170073499</v>
      </c>
      <c r="W15" s="36">
        <v>5.6672724971587395E-2</v>
      </c>
      <c r="X15" s="36">
        <v>0.14268973381704947</v>
      </c>
      <c r="Y15" s="36">
        <v>0.17776020028549591</v>
      </c>
      <c r="Z15" s="36">
        <v>0.15251583165826091</v>
      </c>
      <c r="AA15" s="36">
        <v>0.13728482211886059</v>
      </c>
      <c r="AB15" s="36">
        <v>6.136282222642777E-2</v>
      </c>
      <c r="AC15" s="36">
        <v>6.6494737997263034E-2</v>
      </c>
      <c r="AD15" s="36">
        <v>0.802429323294643</v>
      </c>
      <c r="AE15" s="36">
        <v>0.11077658925157521</v>
      </c>
      <c r="AF15" s="36">
        <v>0.10869941011257807</v>
      </c>
      <c r="AG15" s="36">
        <v>0.17456899588928609</v>
      </c>
      <c r="AH15" s="36">
        <v>5.2049926703069474E-2</v>
      </c>
      <c r="AI15" s="36">
        <v>4.2891454034233729E-2</v>
      </c>
      <c r="AJ15" s="36">
        <v>9.0146575524713113E-2</v>
      </c>
      <c r="AK15" s="36">
        <v>0.20179177774142054</v>
      </c>
      <c r="AL15" s="36">
        <v>6.5088091306476178E-2</v>
      </c>
      <c r="AM15" s="36">
        <v>0.2345120445021269</v>
      </c>
      <c r="AN15" s="36">
        <v>4.440743072140195E-2</v>
      </c>
      <c r="AO15" s="36">
        <v>0.12943379109306005</v>
      </c>
      <c r="AP15" s="36">
        <v>0.23083530640503686</v>
      </c>
      <c r="AQ15" s="36">
        <v>0.12183104829902301</v>
      </c>
      <c r="AR15" s="36">
        <v>0.26137661099995885</v>
      </c>
      <c r="AS15" s="36">
        <v>9.1548332823624817E-2</v>
      </c>
      <c r="AT15" s="36">
        <v>0.14706350355301265</v>
      </c>
      <c r="AU15" s="36">
        <v>9.2440928020859292E-2</v>
      </c>
      <c r="AV15" s="36">
        <v>7.5890447982957826E-2</v>
      </c>
      <c r="AW15" s="36">
        <v>0.18454084570183968</v>
      </c>
      <c r="AX15" s="36">
        <v>5.1968825682067531E-2</v>
      </c>
      <c r="AY15" s="36">
        <v>0.12250327501764467</v>
      </c>
      <c r="AZ15" s="36">
        <v>3.0304442039002427E-2</v>
      </c>
      <c r="BA15" s="36">
        <v>0.15848574825836814</v>
      </c>
      <c r="BB15" s="36">
        <v>0.15698560788082286</v>
      </c>
      <c r="BC15" s="36">
        <v>0.12005720689670554</v>
      </c>
      <c r="BD15" s="36">
        <v>0.16190917967545829</v>
      </c>
      <c r="BE15" s="36">
        <v>7.5195908962471789E-2</v>
      </c>
      <c r="BF15" s="36">
        <v>0.14923044293622875</v>
      </c>
      <c r="BG15" s="36">
        <v>0.12291473112504492</v>
      </c>
      <c r="BH15" s="36">
        <v>4.691324405742419E-2</v>
      </c>
      <c r="BI15" s="36">
        <v>0.20061328260338218</v>
      </c>
      <c r="BJ15" s="36">
        <v>0.15318928743418866</v>
      </c>
      <c r="BK15" s="36">
        <v>0.16590266845092969</v>
      </c>
      <c r="BL15" s="36">
        <v>0.12662783091508517</v>
      </c>
      <c r="BM15" s="36">
        <v>0.18100958070863446</v>
      </c>
      <c r="BN15" s="36">
        <v>0.56192393956081543</v>
      </c>
      <c r="BO15" s="36">
        <v>6.5609851085215942E-2</v>
      </c>
      <c r="BP15" s="36">
        <v>0.29143559625440391</v>
      </c>
      <c r="BQ15" s="36">
        <v>0.27103910157924704</v>
      </c>
      <c r="BR15" s="36">
        <v>6.2631139037258782E-2</v>
      </c>
      <c r="BS15" s="36">
        <v>4.9157149741463194E-2</v>
      </c>
      <c r="BT15" s="36">
        <v>8.7460313625468189E-2</v>
      </c>
      <c r="BU15" s="36">
        <v>0.18522040527426137</v>
      </c>
      <c r="BV15" s="36">
        <v>0.20387365662298854</v>
      </c>
      <c r="BW15" s="36">
        <v>3.8705211673841194E-2</v>
      </c>
      <c r="BX15" s="36">
        <v>0.41571082910444923</v>
      </c>
      <c r="BY15" s="36">
        <v>9.0626067858486689E-2</v>
      </c>
      <c r="BZ15" s="36">
        <v>0.40613026997847113</v>
      </c>
      <c r="CA15" s="36">
        <v>0.25406823321211924</v>
      </c>
      <c r="CB15" s="36">
        <v>0.14934431957986186</v>
      </c>
      <c r="CC15" s="36">
        <v>0.12978686090552533</v>
      </c>
      <c r="CD15" s="36">
        <v>0.26567579078421799</v>
      </c>
      <c r="CE15" s="36">
        <v>0.48838791737130643</v>
      </c>
      <c r="CF15" s="36">
        <v>0.17782906743000923</v>
      </c>
      <c r="CG15" s="36">
        <v>0.15351409990841361</v>
      </c>
      <c r="CH15" s="36">
        <v>0.13048296917246552</v>
      </c>
      <c r="CI15" s="36">
        <v>0.27558575990797968</v>
      </c>
      <c r="CJ15" s="36">
        <v>7.2924908205341643E-2</v>
      </c>
      <c r="CK15" s="36">
        <v>0.10160398931281493</v>
      </c>
      <c r="CL15" s="36">
        <v>7.534374632798016E-2</v>
      </c>
      <c r="CM15" s="36">
        <v>3.8322129999863473E-2</v>
      </c>
      <c r="CN15" s="36">
        <v>0.21892690798024869</v>
      </c>
      <c r="CO15" s="36">
        <v>0.24556353327107139</v>
      </c>
      <c r="CP15" s="36">
        <v>0.1036622052703777</v>
      </c>
      <c r="CQ15" s="36">
        <v>0.23108818788503907</v>
      </c>
      <c r="CR15" s="36">
        <v>0.12970167622526732</v>
      </c>
      <c r="CS15" s="36">
        <v>0.38984526689195798</v>
      </c>
      <c r="CT15" s="36">
        <v>0.33696131498931203</v>
      </c>
      <c r="CU15" s="36">
        <v>0.28887806889173823</v>
      </c>
      <c r="CV15" s="36">
        <v>0.17854567857654749</v>
      </c>
      <c r="CW15" s="36">
        <v>0.14381330324011615</v>
      </c>
      <c r="CX15" s="36">
        <v>0.28044721509389747</v>
      </c>
      <c r="CY15" s="36">
        <v>0.16327753428862515</v>
      </c>
      <c r="CZ15" s="36">
        <v>0.12254317861880266</v>
      </c>
      <c r="DA15" s="36">
        <v>0.12264081487678211</v>
      </c>
      <c r="DB15" s="36">
        <v>0.17413046709592447</v>
      </c>
      <c r="DC15" s="36">
        <v>6.0876715409197757E-2</v>
      </c>
      <c r="DD15" s="36">
        <v>7.1750531036001597E-2</v>
      </c>
      <c r="DE15" s="36">
        <v>0.14278749493380341</v>
      </c>
      <c r="DF15" s="36">
        <v>0.22917589491161461</v>
      </c>
      <c r="DG15" s="36">
        <v>6.308661318737635E-2</v>
      </c>
      <c r="DH15" s="36">
        <v>0.24207684878750008</v>
      </c>
      <c r="DI15" s="36">
        <v>0.17141376316025164</v>
      </c>
      <c r="DJ15" s="36">
        <v>6.0143891209903384E-2</v>
      </c>
      <c r="DK15" s="36">
        <v>0.22188230535815676</v>
      </c>
      <c r="DL15" s="36">
        <v>0.15662348002581</v>
      </c>
      <c r="DM15" s="36">
        <v>0.18451480744896234</v>
      </c>
      <c r="DN15" s="36">
        <v>7.2922192978820508E-2</v>
      </c>
      <c r="DO15" s="36">
        <v>0.12235917856676896</v>
      </c>
      <c r="DP15" s="36">
        <v>0.24095688287611436</v>
      </c>
      <c r="DQ15" s="36">
        <v>0.14701775510371407</v>
      </c>
      <c r="DR15" s="36">
        <v>9.500635769050278E-2</v>
      </c>
      <c r="DS15" s="36">
        <v>0.31934881418996219</v>
      </c>
      <c r="DT15" s="36">
        <v>0.11497121200659391</v>
      </c>
      <c r="DU15" s="36">
        <v>0.72734076104651557</v>
      </c>
      <c r="DV15" s="36">
        <v>0.16443354279863009</v>
      </c>
      <c r="DW15" s="36">
        <v>0.18978127311452689</v>
      </c>
      <c r="DX15" s="36">
        <v>0.15201693408469155</v>
      </c>
      <c r="DY15" s="36">
        <v>0.13987323206052032</v>
      </c>
      <c r="DZ15" s="36">
        <v>0.15176123380854353</v>
      </c>
      <c r="EA15" s="36">
        <v>0.21667665475789805</v>
      </c>
      <c r="EB15" s="36">
        <v>0.14795365275228028</v>
      </c>
      <c r="EC15" s="36">
        <v>4.2683232711131953E-2</v>
      </c>
      <c r="ED15" s="36">
        <v>0.15354507625294653</v>
      </c>
      <c r="EE15" s="36">
        <v>0.28920327731888618</v>
      </c>
      <c r="EF15" s="36">
        <v>0.13841488497553059</v>
      </c>
      <c r="EG15" s="36">
        <v>0.14602641374630315</v>
      </c>
      <c r="EH15" s="36">
        <v>0.35938684355152939</v>
      </c>
      <c r="EI15" s="36">
        <v>0.20625853860028737</v>
      </c>
      <c r="EJ15" s="36">
        <v>0.27245524756446216</v>
      </c>
      <c r="EK15" s="36">
        <v>0.16885732367216891</v>
      </c>
      <c r="EL15" s="36">
        <v>0.30127664926180603</v>
      </c>
      <c r="EM15" s="36">
        <v>0.17297116377176897</v>
      </c>
      <c r="EN15" s="36">
        <v>0.11301001073379636</v>
      </c>
      <c r="EO15" s="36">
        <v>8.2562217325294493E-2</v>
      </c>
      <c r="EP15" s="36">
        <v>0.26619289879141955</v>
      </c>
      <c r="EQ15" s="36">
        <v>7.3772438149398142E-2</v>
      </c>
      <c r="ER15" s="36">
        <v>4.9570177699376029E-2</v>
      </c>
      <c r="ES15" s="36">
        <v>0.14798079015103846</v>
      </c>
      <c r="ET15" s="36">
        <v>0.45710430141874042</v>
      </c>
      <c r="EU15" s="36">
        <v>0.18560196669306439</v>
      </c>
      <c r="EV15" s="36">
        <v>0.17446562594148354</v>
      </c>
      <c r="EW15" s="36">
        <v>0.37384285895311287</v>
      </c>
      <c r="EX15" s="82">
        <v>0.15176123380854353</v>
      </c>
      <c r="EY15" s="25">
        <v>2025</v>
      </c>
      <c r="EZ15" s="25" t="s">
        <v>873</v>
      </c>
      <c r="FA15" s="100" t="s">
        <v>1007</v>
      </c>
      <c r="FB15" s="55" t="s">
        <v>929</v>
      </c>
    </row>
    <row r="16" spans="2:158" ht="15" customHeight="1" x14ac:dyDescent="0.35">
      <c r="B16" s="18" t="s">
        <v>862</v>
      </c>
      <c r="C16" s="14">
        <v>541200</v>
      </c>
      <c r="D16" s="9" t="s">
        <v>985</v>
      </c>
      <c r="E16" s="17">
        <v>0.22208058455044824</v>
      </c>
      <c r="F16" s="17">
        <v>0.16678452468373872</v>
      </c>
      <c r="G16" s="17">
        <v>0.18772331877187312</v>
      </c>
      <c r="H16" s="17">
        <v>0.25973144862254732</v>
      </c>
      <c r="I16" s="17">
        <v>0.19330294283329361</v>
      </c>
      <c r="J16" s="17">
        <v>0.25131959303711121</v>
      </c>
      <c r="K16" s="17">
        <v>0.13642285175755992</v>
      </c>
      <c r="L16" s="17">
        <v>0.15789806857347644</v>
      </c>
      <c r="M16" s="17">
        <v>0.11590715236089574</v>
      </c>
      <c r="N16" s="17">
        <v>0.12866914143039651</v>
      </c>
      <c r="O16" s="17">
        <v>0.19340428848424424</v>
      </c>
      <c r="P16" s="17">
        <v>0.1450177983534803</v>
      </c>
      <c r="Q16" s="17">
        <v>0.15427647283572096</v>
      </c>
      <c r="R16" s="17">
        <v>0.1443162021113408</v>
      </c>
      <c r="S16" s="17">
        <v>0.28143848555183049</v>
      </c>
      <c r="T16" s="17">
        <v>0.15556738144335677</v>
      </c>
      <c r="U16" s="17">
        <v>0.20733148778348909</v>
      </c>
      <c r="V16" s="17">
        <v>0.19208180497021601</v>
      </c>
      <c r="W16" s="17">
        <v>7.6036665974402451E-2</v>
      </c>
      <c r="X16" s="17">
        <v>0.1662924975484624</v>
      </c>
      <c r="Y16" s="17">
        <v>0.21501818551521051</v>
      </c>
      <c r="Z16" s="17">
        <v>0.17728298201347764</v>
      </c>
      <c r="AA16" s="17">
        <v>0.19941779546059724</v>
      </c>
      <c r="AB16" s="17">
        <v>7.2161034928120024E-2</v>
      </c>
      <c r="AC16" s="17">
        <v>0.3742992977373571</v>
      </c>
      <c r="AD16" s="17">
        <v>1.2818871401713436</v>
      </c>
      <c r="AE16" s="17">
        <v>0.1250784133813114</v>
      </c>
      <c r="AF16" s="17">
        <v>0.1268026608642594</v>
      </c>
      <c r="AG16" s="17">
        <v>0.20679049865898497</v>
      </c>
      <c r="AH16" s="17">
        <v>0.23744234842203377</v>
      </c>
      <c r="AI16" s="17">
        <v>7.0696070241628509E-2</v>
      </c>
      <c r="AJ16" s="17">
        <v>0.2610333443304762</v>
      </c>
      <c r="AK16" s="17">
        <v>0.19424348305597869</v>
      </c>
      <c r="AL16" s="17">
        <v>0.14454598525748497</v>
      </c>
      <c r="AM16" s="17">
        <v>0.27361925623251321</v>
      </c>
      <c r="AN16" s="17">
        <v>6.0266686742932916E-2</v>
      </c>
      <c r="AO16" s="17">
        <v>0.14909807771274289</v>
      </c>
      <c r="AP16" s="17">
        <v>0.26320718216910205</v>
      </c>
      <c r="AQ16" s="17">
        <v>0.14669218687440486</v>
      </c>
      <c r="AR16" s="17">
        <v>0.29765286435234189</v>
      </c>
      <c r="AS16" s="17">
        <v>0.18000602621589862</v>
      </c>
      <c r="AT16" s="17">
        <v>0.30370185946894496</v>
      </c>
      <c r="AU16" s="17">
        <v>0.1133079711487176</v>
      </c>
      <c r="AV16" s="17">
        <v>0.13994643083530153</v>
      </c>
      <c r="AW16" s="17">
        <v>0.2180992935998817</v>
      </c>
      <c r="AX16" s="17">
        <v>9.6107227536543771E-2</v>
      </c>
      <c r="AY16" s="17">
        <v>0.14565636820809341</v>
      </c>
      <c r="AZ16" s="17">
        <v>3.6059746834296476E-2</v>
      </c>
      <c r="BA16" s="17">
        <v>0.18678619549188297</v>
      </c>
      <c r="BB16" s="17">
        <v>0.18191540359099642</v>
      </c>
      <c r="BC16" s="17">
        <v>0.13893356239760135</v>
      </c>
      <c r="BD16" s="17">
        <v>0.18829404065826358</v>
      </c>
      <c r="BE16" s="17">
        <v>0.10746341976998097</v>
      </c>
      <c r="BF16" s="17">
        <v>0.17438243224397706</v>
      </c>
      <c r="BG16" s="17">
        <v>0.14287468788612323</v>
      </c>
      <c r="BH16" s="17">
        <v>0.26941238332439182</v>
      </c>
      <c r="BI16" s="17">
        <v>0.23622008959634375</v>
      </c>
      <c r="BJ16" s="17">
        <v>0.18625292720289288</v>
      </c>
      <c r="BK16" s="17">
        <v>0.17455338005589835</v>
      </c>
      <c r="BL16" s="17">
        <v>0.21491442991851886</v>
      </c>
      <c r="BM16" s="17">
        <v>0.14366698874262415</v>
      </c>
      <c r="BN16" s="17">
        <v>1.0555273856919163</v>
      </c>
      <c r="BO16" s="17">
        <v>0.18056401086336235</v>
      </c>
      <c r="BP16" s="17">
        <v>0.33730558521506265</v>
      </c>
      <c r="BQ16" s="17">
        <v>0.28661154962707813</v>
      </c>
      <c r="BR16" s="17">
        <v>0.10498631225342445</v>
      </c>
      <c r="BS16" s="17">
        <v>0.10468265657876381</v>
      </c>
      <c r="BT16" s="17">
        <v>0.14305378108942043</v>
      </c>
      <c r="BU16" s="17">
        <v>0.21996290047464412</v>
      </c>
      <c r="BV16" s="17">
        <v>0.2345022763306813</v>
      </c>
      <c r="BW16" s="17">
        <v>5.2608885341742864E-2</v>
      </c>
      <c r="BX16" s="17">
        <v>0.78079323146418778</v>
      </c>
      <c r="BY16" s="17">
        <v>0.10942949921560227</v>
      </c>
      <c r="BZ16" s="17">
        <v>0.15169840725280515</v>
      </c>
      <c r="CA16" s="17">
        <v>0.29800962979186341</v>
      </c>
      <c r="CB16" s="17">
        <v>0.17263174844455062</v>
      </c>
      <c r="CC16" s="17">
        <v>0.90305781629780146</v>
      </c>
      <c r="CD16" s="17">
        <v>0.27030696588179659</v>
      </c>
      <c r="CE16" s="17">
        <v>0.92225121653002506</v>
      </c>
      <c r="CF16" s="17">
        <v>0.20854279869865791</v>
      </c>
      <c r="CG16" s="17">
        <v>0.17581926779602855</v>
      </c>
      <c r="CH16" s="17">
        <v>0.14952041721280476</v>
      </c>
      <c r="CI16" s="17">
        <v>0.32325449240710319</v>
      </c>
      <c r="CJ16" s="17">
        <v>0.10879675053988076</v>
      </c>
      <c r="CK16" s="17">
        <v>0.20078933691122583</v>
      </c>
      <c r="CL16" s="17">
        <v>0.13478367355743948</v>
      </c>
      <c r="CM16" s="17">
        <v>0.19144274062626884</v>
      </c>
      <c r="CN16" s="17">
        <v>0.251527326531097</v>
      </c>
      <c r="CO16" s="17">
        <v>0.28784982749724547</v>
      </c>
      <c r="CP16" s="17">
        <v>0.12958082311590494</v>
      </c>
      <c r="CQ16" s="17">
        <v>0.2705460370038722</v>
      </c>
      <c r="CR16" s="17">
        <v>0.15125050554836031</v>
      </c>
      <c r="CS16" s="17">
        <v>0.87297028393402942</v>
      </c>
      <c r="CT16" s="17">
        <v>0.45194060379701623</v>
      </c>
      <c r="CU16" s="17">
        <v>0.32554547984786897</v>
      </c>
      <c r="CV16" s="17">
        <v>0.20705529786628823</v>
      </c>
      <c r="CW16" s="17">
        <v>0.16979017511497441</v>
      </c>
      <c r="CX16" s="17">
        <v>0.35097749254295235</v>
      </c>
      <c r="CY16" s="17">
        <v>0.18895949052964572</v>
      </c>
      <c r="CZ16" s="17">
        <v>0.13424473829230096</v>
      </c>
      <c r="DA16" s="17">
        <v>0.13768057056992822</v>
      </c>
      <c r="DB16" s="17">
        <v>0.20680996291234335</v>
      </c>
      <c r="DC16" s="17">
        <v>9.4224077555899233E-2</v>
      </c>
      <c r="DD16" s="17">
        <v>8.8070017431244332E-2</v>
      </c>
      <c r="DE16" s="17">
        <v>0.17359175472242266</v>
      </c>
      <c r="DF16" s="17">
        <v>0.26648807655752815</v>
      </c>
      <c r="DG16" s="17">
        <v>9.9732640808535777E-2</v>
      </c>
      <c r="DH16" s="17">
        <v>0.27540995898279697</v>
      </c>
      <c r="DI16" s="17">
        <v>0.20685820901254895</v>
      </c>
      <c r="DJ16" s="17">
        <v>7.8668635782189342E-2</v>
      </c>
      <c r="DK16" s="17">
        <v>0.36218358055139765</v>
      </c>
      <c r="DL16" s="17">
        <v>0.18445237926118579</v>
      </c>
      <c r="DM16" s="17">
        <v>0.28810958113403579</v>
      </c>
      <c r="DN16" s="17">
        <v>0.10791142368315272</v>
      </c>
      <c r="DO16" s="17">
        <v>0.14623606995772614</v>
      </c>
      <c r="DP16" s="17">
        <v>0.24320347439373527</v>
      </c>
      <c r="DQ16" s="17">
        <v>0.14295119803268461</v>
      </c>
      <c r="DR16" s="17">
        <v>9.5309414188173222E-2</v>
      </c>
      <c r="DS16" s="17">
        <v>0.27717306548944665</v>
      </c>
      <c r="DT16" s="17">
        <v>0.13380300953999588</v>
      </c>
      <c r="DU16" s="17">
        <v>0.21331154313635745</v>
      </c>
      <c r="DV16" s="17">
        <v>0.19065370535886125</v>
      </c>
      <c r="DW16" s="17">
        <v>0.26074993482395259</v>
      </c>
      <c r="DX16" s="17">
        <v>0.17857309387503323</v>
      </c>
      <c r="DY16" s="17">
        <v>0.16439514782966924</v>
      </c>
      <c r="DZ16" s="17">
        <v>0.18122980004159112</v>
      </c>
      <c r="EA16" s="17">
        <v>0.19681923430268308</v>
      </c>
      <c r="EB16" s="17">
        <v>0.16788080787516249</v>
      </c>
      <c r="EC16" s="17">
        <v>7.1260138639455323E-2</v>
      </c>
      <c r="ED16" s="17">
        <v>0.18396950665391085</v>
      </c>
      <c r="EE16" s="17">
        <v>0.33856109915230659</v>
      </c>
      <c r="EF16" s="17">
        <v>0.15074619917646234</v>
      </c>
      <c r="EG16" s="17">
        <v>0.17193773902692369</v>
      </c>
      <c r="EH16" s="17">
        <v>0.34599642366463046</v>
      </c>
      <c r="EI16" s="17">
        <v>0.24437012462236671</v>
      </c>
      <c r="EJ16" s="17">
        <v>0.30766661729081418</v>
      </c>
      <c r="EK16" s="17">
        <v>0.12610478415940393</v>
      </c>
      <c r="EL16" s="17">
        <v>0.51134825565070641</v>
      </c>
      <c r="EM16" s="17">
        <v>0.13787272263855574</v>
      </c>
      <c r="EN16" s="17">
        <v>0.12229272320242536</v>
      </c>
      <c r="EO16" s="17">
        <v>0.10095681350277126</v>
      </c>
      <c r="EP16" s="17">
        <v>0.31326668332283247</v>
      </c>
      <c r="EQ16" s="17">
        <v>8.8948157897341382E-2</v>
      </c>
      <c r="ER16" s="17">
        <v>7.347656953252564E-2</v>
      </c>
      <c r="ES16" s="17">
        <v>0.17270017952955113</v>
      </c>
      <c r="ET16" s="17">
        <v>0.91855121669863016</v>
      </c>
      <c r="EU16" s="17">
        <v>0.2152369129789608</v>
      </c>
      <c r="EV16" s="17">
        <v>0.20583985502031657</v>
      </c>
      <c r="EW16" s="17">
        <v>0.36540600616510488</v>
      </c>
      <c r="EX16" s="90">
        <v>0.18396950665391085</v>
      </c>
      <c r="EY16" s="14">
        <v>2025</v>
      </c>
      <c r="EZ16" s="14" t="s">
        <v>873</v>
      </c>
      <c r="FA16" s="48" t="s">
        <v>1007</v>
      </c>
      <c r="FB16" s="9" t="s">
        <v>929</v>
      </c>
    </row>
    <row r="17" spans="2:158" ht="15" customHeight="1" x14ac:dyDescent="0.35">
      <c r="B17" s="18" t="s">
        <v>862</v>
      </c>
      <c r="C17" s="14">
        <v>541610</v>
      </c>
      <c r="D17" s="9" t="s">
        <v>987</v>
      </c>
      <c r="E17" s="17">
        <v>0.262729933821719</v>
      </c>
      <c r="F17" s="17">
        <v>0.19651789320154603</v>
      </c>
      <c r="G17" s="17">
        <v>0.21982567675554554</v>
      </c>
      <c r="H17" s="17">
        <v>0.30849963509181028</v>
      </c>
      <c r="I17" s="17">
        <v>0.18889922169859796</v>
      </c>
      <c r="J17" s="17">
        <v>0.29576041834561462</v>
      </c>
      <c r="K17" s="17">
        <v>0.1593224538158465</v>
      </c>
      <c r="L17" s="17">
        <v>0.11360636123297523</v>
      </c>
      <c r="M17" s="17">
        <v>0.13474881052567422</v>
      </c>
      <c r="N17" s="17">
        <v>0.10669994305964262</v>
      </c>
      <c r="O17" s="17">
        <v>0.22581189714171751</v>
      </c>
      <c r="P17" s="17">
        <v>0.16920716457360466</v>
      </c>
      <c r="Q17" s="17">
        <v>0.17996502494914426</v>
      </c>
      <c r="R17" s="17">
        <v>0.17047646062248636</v>
      </c>
      <c r="S17" s="17">
        <v>0.33752716377308628</v>
      </c>
      <c r="T17" s="17">
        <v>0.18160206251023808</v>
      </c>
      <c r="U17" s="17">
        <v>0.24285298199582545</v>
      </c>
      <c r="V17" s="17">
        <v>0.22386278348105795</v>
      </c>
      <c r="W17" s="17">
        <v>9.5009571880258367E-2</v>
      </c>
      <c r="X17" s="17">
        <v>0.19437153546750954</v>
      </c>
      <c r="Y17" s="17">
        <v>0.25279427377996599</v>
      </c>
      <c r="Z17" s="17">
        <v>0.20723678679420129</v>
      </c>
      <c r="AA17" s="17">
        <v>0.22092654589701563</v>
      </c>
      <c r="AB17" s="17">
        <v>9.1489982141524318E-2</v>
      </c>
      <c r="AC17" s="17">
        <v>0.10449442911258169</v>
      </c>
      <c r="AD17" s="17">
        <v>0.97879452135164213</v>
      </c>
      <c r="AE17" s="17">
        <v>0.14580007310097459</v>
      </c>
      <c r="AF17" s="17">
        <v>0.14723944246845685</v>
      </c>
      <c r="AG17" s="17">
        <v>0.24299630334156549</v>
      </c>
      <c r="AH17" s="17">
        <v>9.4079570546509089E-2</v>
      </c>
      <c r="AI17" s="17">
        <v>7.0898695722729901E-2</v>
      </c>
      <c r="AJ17" s="17">
        <v>0.11810299836712222</v>
      </c>
      <c r="AK17" s="17">
        <v>0.23935699295586169</v>
      </c>
      <c r="AL17" s="17">
        <v>9.473054025096786E-2</v>
      </c>
      <c r="AM17" s="17">
        <v>0.32224308277254854</v>
      </c>
      <c r="AN17" s="17">
        <v>6.9975987784378024E-2</v>
      </c>
      <c r="AO17" s="17">
        <v>0.17385819472694533</v>
      </c>
      <c r="AP17" s="17">
        <v>0.30862739588215921</v>
      </c>
      <c r="AQ17" s="17">
        <v>0.16998478699907527</v>
      </c>
      <c r="AR17" s="17">
        <v>0.34833432324779245</v>
      </c>
      <c r="AS17" s="17">
        <v>0.13364202726315338</v>
      </c>
      <c r="AT17" s="17">
        <v>0.20565843834322584</v>
      </c>
      <c r="AU17" s="17">
        <v>0.13104377328470718</v>
      </c>
      <c r="AV17" s="17">
        <v>0.11144080174984</v>
      </c>
      <c r="AW17" s="17">
        <v>0.25660735905620607</v>
      </c>
      <c r="AX17" s="17">
        <v>9.0055641985894774E-2</v>
      </c>
      <c r="AY17" s="17">
        <v>0.16888028430321589</v>
      </c>
      <c r="AZ17" s="17">
        <v>0.11109300502549721</v>
      </c>
      <c r="BA17" s="17">
        <v>0.21852352270939113</v>
      </c>
      <c r="BB17" s="17">
        <v>0.21314435018035011</v>
      </c>
      <c r="BC17" s="17">
        <v>0.16198759306476299</v>
      </c>
      <c r="BD17" s="17">
        <v>0.22077443381264333</v>
      </c>
      <c r="BE17" s="17">
        <v>0.12143097744079059</v>
      </c>
      <c r="BF17" s="17">
        <v>0.20373872170041493</v>
      </c>
      <c r="BG17" s="17">
        <v>0.16646628663635821</v>
      </c>
      <c r="BH17" s="17">
        <v>7.0134351187477267E-2</v>
      </c>
      <c r="BI17" s="17">
        <v>0.27867365809845135</v>
      </c>
      <c r="BJ17" s="17">
        <v>0.14131215307347472</v>
      </c>
      <c r="BK17" s="17">
        <v>0.20569772128344657</v>
      </c>
      <c r="BL17" s="17">
        <v>0.17997913265342735</v>
      </c>
      <c r="BM17" s="17">
        <v>0.2200887617217227</v>
      </c>
      <c r="BN17" s="17">
        <v>0.70099627254455787</v>
      </c>
      <c r="BO17" s="17">
        <v>9.4757950401736069E-2</v>
      </c>
      <c r="BP17" s="17">
        <v>0.39529510526661354</v>
      </c>
      <c r="BQ17" s="17">
        <v>0.33654202027398528</v>
      </c>
      <c r="BR17" s="17">
        <v>0.10037464084681547</v>
      </c>
      <c r="BS17" s="17">
        <v>7.1969926720007821E-2</v>
      </c>
      <c r="BT17" s="17">
        <v>0.10610367547738399</v>
      </c>
      <c r="BU17" s="17">
        <v>0.25916814245370712</v>
      </c>
      <c r="BV17" s="17">
        <v>0.2775287292337611</v>
      </c>
      <c r="BW17" s="17">
        <v>5.0329980415860738E-2</v>
      </c>
      <c r="BX17" s="17">
        <v>0.3663711126366378</v>
      </c>
      <c r="BY17" s="17">
        <v>0.12668215963176876</v>
      </c>
      <c r="BZ17" s="17">
        <v>0.46426049008728609</v>
      </c>
      <c r="CA17" s="17">
        <v>0.3509087165053168</v>
      </c>
      <c r="CB17" s="17">
        <v>0.20172082499690672</v>
      </c>
      <c r="CC17" s="17">
        <v>0.23987187556508568</v>
      </c>
      <c r="CD17" s="17">
        <v>0.32265771782697106</v>
      </c>
      <c r="CE17" s="17">
        <v>0.59330347864980415</v>
      </c>
      <c r="CF17" s="17">
        <v>0.24525654545814132</v>
      </c>
      <c r="CG17" s="17">
        <v>0.20569595227500231</v>
      </c>
      <c r="CH17" s="17">
        <v>0.17454435472180782</v>
      </c>
      <c r="CI17" s="17">
        <v>0.38056942604770871</v>
      </c>
      <c r="CJ17" s="17">
        <v>0.10760001234713085</v>
      </c>
      <c r="CK17" s="17">
        <v>0.12903517096260997</v>
      </c>
      <c r="CL17" s="17">
        <v>0.10938143486799083</v>
      </c>
      <c r="CM17" s="17">
        <v>5.5921957739341624E-2</v>
      </c>
      <c r="CN17" s="17">
        <v>0.29896522390161157</v>
      </c>
      <c r="CO17" s="17">
        <v>0.33886171929820519</v>
      </c>
      <c r="CP17" s="17">
        <v>0.13684001670628093</v>
      </c>
      <c r="CQ17" s="17">
        <v>0.32164510830883314</v>
      </c>
      <c r="CR17" s="17">
        <v>0.17649232966381637</v>
      </c>
      <c r="CS17" s="17">
        <v>0.44207794482453638</v>
      </c>
      <c r="CT17" s="17">
        <v>0.36156548191394516</v>
      </c>
      <c r="CU17" s="17">
        <v>0.39788213727031629</v>
      </c>
      <c r="CV17" s="17">
        <v>0.24307227351044891</v>
      </c>
      <c r="CW17" s="17">
        <v>0.19805236030278539</v>
      </c>
      <c r="CX17" s="17">
        <v>0.31998286937244691</v>
      </c>
      <c r="CY17" s="17">
        <v>0.22158824838371621</v>
      </c>
      <c r="CZ17" s="17">
        <v>0.1570947457158085</v>
      </c>
      <c r="DA17" s="17">
        <v>0.16008973775835603</v>
      </c>
      <c r="DB17" s="17">
        <v>0.24285843140700972</v>
      </c>
      <c r="DC17" s="17">
        <v>8.7078807977463868E-2</v>
      </c>
      <c r="DD17" s="17">
        <v>0.12322313881853113</v>
      </c>
      <c r="DE17" s="17">
        <v>0.20256421090955318</v>
      </c>
      <c r="DF17" s="17">
        <v>0.30997426801352146</v>
      </c>
      <c r="DG17" s="17">
        <v>8.148145015313292E-2</v>
      </c>
      <c r="DH17" s="17">
        <v>0.32650132208843413</v>
      </c>
      <c r="DI17" s="17">
        <v>0.23896721145764149</v>
      </c>
      <c r="DJ17" s="17">
        <v>0.10311050729910966</v>
      </c>
      <c r="DK17" s="17">
        <v>0.23489417821391342</v>
      </c>
      <c r="DL17" s="17">
        <v>0.21589927525957184</v>
      </c>
      <c r="DM17" s="17">
        <v>0.1966977003924692</v>
      </c>
      <c r="DN17" s="17">
        <v>0.11870844656937478</v>
      </c>
      <c r="DO17" s="17">
        <v>0.17025481472513637</v>
      </c>
      <c r="DP17" s="17">
        <v>0.28858916672257651</v>
      </c>
      <c r="DQ17" s="17">
        <v>0.16727120959297906</v>
      </c>
      <c r="DR17" s="17">
        <v>0.12147226335508855</v>
      </c>
      <c r="DS17" s="17">
        <v>0.35224932816917792</v>
      </c>
      <c r="DT17" s="17">
        <v>0.15589290181164309</v>
      </c>
      <c r="DU17" s="17">
        <v>0.70966027893330308</v>
      </c>
      <c r="DV17" s="17">
        <v>0.22349144035233001</v>
      </c>
      <c r="DW17" s="17">
        <v>0.26673210796877578</v>
      </c>
      <c r="DX17" s="17">
        <v>0.20861475951142958</v>
      </c>
      <c r="DY17" s="17">
        <v>0.19200499849322819</v>
      </c>
      <c r="DZ17" s="17">
        <v>0.21179805569191174</v>
      </c>
      <c r="EA17" s="17">
        <v>0.18582817030042489</v>
      </c>
      <c r="EB17" s="17">
        <v>0.138880411846945</v>
      </c>
      <c r="EC17" s="17">
        <v>6.5378756362411153E-2</v>
      </c>
      <c r="ED17" s="17">
        <v>0.21519286278718189</v>
      </c>
      <c r="EE17" s="17">
        <v>0.40646146779648884</v>
      </c>
      <c r="EF17" s="17">
        <v>0.17671728384626109</v>
      </c>
      <c r="EG17" s="17">
        <v>0.20063110502655468</v>
      </c>
      <c r="EH17" s="17">
        <v>0.47350267212728814</v>
      </c>
      <c r="EI17" s="17">
        <v>0.28963357099212089</v>
      </c>
      <c r="EJ17" s="17">
        <v>0.36643906529477344</v>
      </c>
      <c r="EK17" s="17">
        <v>0.24703161841679813</v>
      </c>
      <c r="EL17" s="17">
        <v>0.40672595508382403</v>
      </c>
      <c r="EM17" s="17">
        <v>0.29704330731916301</v>
      </c>
      <c r="EN17" s="17">
        <v>0.14284038814756728</v>
      </c>
      <c r="EO17" s="17">
        <v>0.11673708712130855</v>
      </c>
      <c r="EP17" s="17">
        <v>0.37594862881932861</v>
      </c>
      <c r="EQ17" s="17">
        <v>0.10301073071289339</v>
      </c>
      <c r="ER17" s="17">
        <v>6.6571747364140788E-2</v>
      </c>
      <c r="ES17" s="17">
        <v>0.20170621512248457</v>
      </c>
      <c r="ET17" s="17">
        <v>0.57901265576129557</v>
      </c>
      <c r="EU17" s="17">
        <v>0.25202997809953553</v>
      </c>
      <c r="EV17" s="17">
        <v>0.24181951897908097</v>
      </c>
      <c r="EW17" s="17">
        <v>0.46010077340490901</v>
      </c>
      <c r="EX17" s="90">
        <v>0.20373872170041493</v>
      </c>
      <c r="EY17" s="14">
        <v>2025</v>
      </c>
      <c r="EZ17" s="14" t="s">
        <v>873</v>
      </c>
      <c r="FA17" s="48" t="s">
        <v>1007</v>
      </c>
      <c r="FB17" s="9" t="s">
        <v>929</v>
      </c>
    </row>
    <row r="18" spans="2:158" ht="15" customHeight="1" x14ac:dyDescent="0.35">
      <c r="B18" s="18" t="s">
        <v>862</v>
      </c>
      <c r="C18" s="14">
        <v>541300</v>
      </c>
      <c r="D18" s="9" t="s">
        <v>986</v>
      </c>
      <c r="E18" s="17">
        <v>0.54101056293562333</v>
      </c>
      <c r="F18" s="17">
        <v>0.43436813611770853</v>
      </c>
      <c r="G18" s="17">
        <v>0.40473002333434133</v>
      </c>
      <c r="H18" s="17">
        <v>0.59756607161736697</v>
      </c>
      <c r="I18" s="17">
        <v>0.29614789378456352</v>
      </c>
      <c r="J18" s="17">
        <v>0.53276620906948613</v>
      </c>
      <c r="K18" s="17">
        <v>0.23221700259181013</v>
      </c>
      <c r="L18" s="17">
        <v>0.14450782505289012</v>
      </c>
      <c r="M18" s="17">
        <v>0.243199123990743</v>
      </c>
      <c r="N18" s="17">
        <v>0.12789385176379034</v>
      </c>
      <c r="O18" s="17">
        <v>0.43186001894232617</v>
      </c>
      <c r="P18" s="17">
        <v>0.32073406529525395</v>
      </c>
      <c r="Q18" s="17">
        <v>0.3669108076569641</v>
      </c>
      <c r="R18" s="17">
        <v>0.25494668518837804</v>
      </c>
      <c r="S18" s="17">
        <v>0.63709319177157564</v>
      </c>
      <c r="T18" s="17">
        <v>0.33507868885462017</v>
      </c>
      <c r="U18" s="17">
        <v>0.4412173991408041</v>
      </c>
      <c r="V18" s="17">
        <v>0.43331367508750074</v>
      </c>
      <c r="W18" s="17">
        <v>9.3316657489506974E-2</v>
      </c>
      <c r="X18" s="17">
        <v>0.36298336406132597</v>
      </c>
      <c r="Y18" s="17">
        <v>0.45696503739177702</v>
      </c>
      <c r="Z18" s="17">
        <v>0.37966481558899651</v>
      </c>
      <c r="AA18" s="17">
        <v>0.25171443330955995</v>
      </c>
      <c r="AB18" s="17">
        <v>0.11356119293435893</v>
      </c>
      <c r="AC18" s="17">
        <v>0.1697303181851508</v>
      </c>
      <c r="AD18" s="17">
        <v>1.0215698537595046</v>
      </c>
      <c r="AE18" s="17">
        <v>0.28780693528767881</v>
      </c>
      <c r="AF18" s="17">
        <v>0.2848874809312113</v>
      </c>
      <c r="AG18" s="17">
        <v>0.45142187842254822</v>
      </c>
      <c r="AH18" s="17">
        <v>0.13173546221894519</v>
      </c>
      <c r="AI18" s="17">
        <v>9.4974799104861785E-2</v>
      </c>
      <c r="AJ18" s="17">
        <v>0.14920080897819676</v>
      </c>
      <c r="AK18" s="17">
        <v>0.30853368018134347</v>
      </c>
      <c r="AL18" s="17">
        <v>0.1255133491047844</v>
      </c>
      <c r="AM18" s="17">
        <v>0.58164082207472145</v>
      </c>
      <c r="AN18" s="17">
        <v>7.134716842081025E-2</v>
      </c>
      <c r="AO18" s="17">
        <v>0.33814188582984739</v>
      </c>
      <c r="AP18" s="17">
        <v>0.64194447356636308</v>
      </c>
      <c r="AQ18" s="17">
        <v>0.32319531826673797</v>
      </c>
      <c r="AR18" s="17">
        <v>0.73440040055842659</v>
      </c>
      <c r="AS18" s="17">
        <v>0.21041241521770485</v>
      </c>
      <c r="AT18" s="17">
        <v>0.29576898749597269</v>
      </c>
      <c r="AU18" s="17">
        <v>0.23764109294927327</v>
      </c>
      <c r="AV18" s="17">
        <v>0.12752196917986447</v>
      </c>
      <c r="AW18" s="17">
        <v>0.47106679722725847</v>
      </c>
      <c r="AX18" s="17">
        <v>9.9692660857903334E-2</v>
      </c>
      <c r="AY18" s="17">
        <v>0.32556340617903523</v>
      </c>
      <c r="AZ18" s="17">
        <v>0.14504814710550068</v>
      </c>
      <c r="BA18" s="17">
        <v>0.3972492736663627</v>
      </c>
      <c r="BB18" s="17">
        <v>0.40495274665572473</v>
      </c>
      <c r="BC18" s="17">
        <v>0.30695699830044676</v>
      </c>
      <c r="BD18" s="17">
        <v>0.41650576101135545</v>
      </c>
      <c r="BE18" s="17">
        <v>0.18220433887861379</v>
      </c>
      <c r="BF18" s="17">
        <v>0.37136059591859771</v>
      </c>
      <c r="BG18" s="17">
        <v>0.31851494088047777</v>
      </c>
      <c r="BH18" s="17">
        <v>0.10773848223200411</v>
      </c>
      <c r="BI18" s="17">
        <v>0.5108352014118458</v>
      </c>
      <c r="BJ18" s="17">
        <v>0.26102784638367976</v>
      </c>
      <c r="BK18" s="17">
        <v>0.43120208923235642</v>
      </c>
      <c r="BL18" s="17">
        <v>0.3072459837777996</v>
      </c>
      <c r="BM18" s="17">
        <v>0.33467058554836554</v>
      </c>
      <c r="BN18" s="17">
        <v>0.89008255857639118</v>
      </c>
      <c r="BO18" s="17">
        <v>0.10743446993534744</v>
      </c>
      <c r="BP18" s="17">
        <v>0.82897140749124287</v>
      </c>
      <c r="BQ18" s="17">
        <v>0.75367876745853379</v>
      </c>
      <c r="BR18" s="17">
        <v>8.5846263956683655E-2</v>
      </c>
      <c r="BS18" s="17">
        <v>0.11879417999406212</v>
      </c>
      <c r="BT18" s="17">
        <v>0.20331296229034157</v>
      </c>
      <c r="BU18" s="17">
        <v>0.48323021696136337</v>
      </c>
      <c r="BV18" s="17">
        <v>0.53701775258276607</v>
      </c>
      <c r="BW18" s="17">
        <v>0.12009778225041044</v>
      </c>
      <c r="BX18" s="17">
        <v>0.80754539932144265</v>
      </c>
      <c r="BY18" s="17">
        <v>0.23290946838554316</v>
      </c>
      <c r="BZ18" s="17">
        <v>0.59100656035815624</v>
      </c>
      <c r="CA18" s="17">
        <v>0.62607533420736483</v>
      </c>
      <c r="CB18" s="17">
        <v>0.37040941362764285</v>
      </c>
      <c r="CC18" s="17">
        <v>0.28057203580850687</v>
      </c>
      <c r="CD18" s="17">
        <v>0.72625537216991709</v>
      </c>
      <c r="CE18" s="17">
        <v>0.89855642287319581</v>
      </c>
      <c r="CF18" s="17">
        <v>0.46410650729724334</v>
      </c>
      <c r="CG18" s="17">
        <v>0.38292605338148417</v>
      </c>
      <c r="CH18" s="17">
        <v>0.33840513471768635</v>
      </c>
      <c r="CI18" s="17">
        <v>0.67614718748578662</v>
      </c>
      <c r="CJ18" s="17">
        <v>0.1408589182248858</v>
      </c>
      <c r="CK18" s="17">
        <v>0.14478008409756349</v>
      </c>
      <c r="CL18" s="17">
        <v>0.15604510636745444</v>
      </c>
      <c r="CM18" s="17">
        <v>9.002360862041868E-2</v>
      </c>
      <c r="CN18" s="17">
        <v>0.58450774740113309</v>
      </c>
      <c r="CO18" s="17">
        <v>0.60598732798220489</v>
      </c>
      <c r="CP18" s="17">
        <v>0.33388664827254944</v>
      </c>
      <c r="CQ18" s="17">
        <v>0.59351357809334293</v>
      </c>
      <c r="CR18" s="17">
        <v>0.32936597563753811</v>
      </c>
      <c r="CS18" s="17">
        <v>0.43689617221847959</v>
      </c>
      <c r="CT18" s="17">
        <v>0.67494381714104845</v>
      </c>
      <c r="CU18" s="17">
        <v>0.81756823834819548</v>
      </c>
      <c r="CV18" s="17">
        <v>0.45015252853414034</v>
      </c>
      <c r="CW18" s="17">
        <v>0.35478222471670295</v>
      </c>
      <c r="CX18" s="17">
        <v>0.56269014904671721</v>
      </c>
      <c r="CY18" s="17">
        <v>0.41689580891190264</v>
      </c>
      <c r="CZ18" s="17">
        <v>0.31758346508668955</v>
      </c>
      <c r="DA18" s="17">
        <v>0.32799964051322</v>
      </c>
      <c r="DB18" s="17">
        <v>0.44476534871137813</v>
      </c>
      <c r="DC18" s="17">
        <v>0.12439682151393412</v>
      </c>
      <c r="DD18" s="17">
        <v>0.15195804795771081</v>
      </c>
      <c r="DE18" s="17">
        <v>0.36583494842847558</v>
      </c>
      <c r="DF18" s="17">
        <v>0.54833605041617894</v>
      </c>
      <c r="DG18" s="17">
        <v>9.2240823973109731E-2</v>
      </c>
      <c r="DH18" s="17">
        <v>0.67234851567133791</v>
      </c>
      <c r="DI18" s="17">
        <v>0.47219491964705623</v>
      </c>
      <c r="DJ18" s="17">
        <v>0.15606276682219725</v>
      </c>
      <c r="DK18" s="17">
        <v>0.52723770886145771</v>
      </c>
      <c r="DL18" s="17">
        <v>0.39666143302057744</v>
      </c>
      <c r="DM18" s="17">
        <v>0.27801215864840895</v>
      </c>
      <c r="DN18" s="17">
        <v>0.1624323427526364</v>
      </c>
      <c r="DO18" s="17">
        <v>0.30838205917917588</v>
      </c>
      <c r="DP18" s="17">
        <v>0.65622218709127056</v>
      </c>
      <c r="DQ18" s="17">
        <v>0.30820202488154369</v>
      </c>
      <c r="DR18" s="17">
        <v>0.14927202021515554</v>
      </c>
      <c r="DS18" s="17">
        <v>0.64384240871637333</v>
      </c>
      <c r="DT18" s="17">
        <v>0.28518835190553105</v>
      </c>
      <c r="DU18" s="17">
        <v>1.5706895246299799</v>
      </c>
      <c r="DV18" s="17">
        <v>0.43264315870190279</v>
      </c>
      <c r="DW18" s="17">
        <v>0.36983408627319098</v>
      </c>
      <c r="DX18" s="17">
        <v>0.37753532208990542</v>
      </c>
      <c r="DY18" s="17">
        <v>0.35570406962183915</v>
      </c>
      <c r="DZ18" s="17">
        <v>0.38127153173063288</v>
      </c>
      <c r="EA18" s="17">
        <v>0.40323927644912211</v>
      </c>
      <c r="EB18" s="17">
        <v>0.30033208960607105</v>
      </c>
      <c r="EC18" s="17">
        <v>9.2042742954497866E-2</v>
      </c>
      <c r="ED18" s="17">
        <v>0.39237551111700414</v>
      </c>
      <c r="EE18" s="17">
        <v>0.73784252787905091</v>
      </c>
      <c r="EF18" s="17">
        <v>0.34672441240399077</v>
      </c>
      <c r="EG18" s="17">
        <v>0.38484296891037451</v>
      </c>
      <c r="EH18" s="17">
        <v>0.66554639118801606</v>
      </c>
      <c r="EI18" s="17">
        <v>0.53978065881618875</v>
      </c>
      <c r="EJ18" s="17">
        <v>0.76875193584157886</v>
      </c>
      <c r="EK18" s="17">
        <v>0.55390760767295644</v>
      </c>
      <c r="EL18" s="17">
        <v>0.56148309205156666</v>
      </c>
      <c r="EM18" s="17">
        <v>0.38821508419273604</v>
      </c>
      <c r="EN18" s="17">
        <v>0.29855788015656887</v>
      </c>
      <c r="EO18" s="17">
        <v>0.20991724315600446</v>
      </c>
      <c r="EP18" s="17">
        <v>0.75672610912232052</v>
      </c>
      <c r="EQ18" s="17">
        <v>0.18369201189987117</v>
      </c>
      <c r="ER18" s="17">
        <v>0.13579930856927208</v>
      </c>
      <c r="ES18" s="17">
        <v>0.36709795714133725</v>
      </c>
      <c r="ET18" s="17">
        <v>0.83557653321429193</v>
      </c>
      <c r="EU18" s="17">
        <v>0.45811130040927578</v>
      </c>
      <c r="EV18" s="17">
        <v>0.44793877971208262</v>
      </c>
      <c r="EW18" s="17">
        <v>0.75229253801739493</v>
      </c>
      <c r="EX18" s="90">
        <v>0.36709795714133725</v>
      </c>
      <c r="EY18" s="14">
        <v>2025</v>
      </c>
      <c r="EZ18" s="14" t="s">
        <v>873</v>
      </c>
      <c r="FA18" s="48" t="s">
        <v>1007</v>
      </c>
      <c r="FB18" s="9" t="s">
        <v>929</v>
      </c>
    </row>
    <row r="19" spans="2:158" ht="15" customHeight="1" x14ac:dyDescent="0.35">
      <c r="B19" s="18" t="s">
        <v>862</v>
      </c>
      <c r="C19" s="14">
        <v>561400</v>
      </c>
      <c r="D19" s="9" t="s">
        <v>991</v>
      </c>
      <c r="E19" s="17">
        <v>0.32368684764076638</v>
      </c>
      <c r="F19" s="17">
        <v>0.23974709471830377</v>
      </c>
      <c r="G19" s="17">
        <v>0.27464382020374106</v>
      </c>
      <c r="H19" s="17">
        <v>0.37984011061728251</v>
      </c>
      <c r="I19" s="17">
        <v>0.13897783032852809</v>
      </c>
      <c r="J19" s="17">
        <v>0.36520906490282484</v>
      </c>
      <c r="K19" s="17">
        <v>0.17801428711982728</v>
      </c>
      <c r="L19" s="17">
        <v>7.3574617165398551E-2</v>
      </c>
      <c r="M19" s="17">
        <v>0.16676134467024173</v>
      </c>
      <c r="N19" s="17">
        <v>0.13816065419600024</v>
      </c>
      <c r="O19" s="17">
        <v>0.28773195458554285</v>
      </c>
      <c r="P19" s="17">
        <v>0.21035253462562598</v>
      </c>
      <c r="Q19" s="17">
        <v>0.22591648256624913</v>
      </c>
      <c r="R19" s="17">
        <v>0.2212225582426626</v>
      </c>
      <c r="S19" s="17">
        <v>0.42303505633345612</v>
      </c>
      <c r="T19" s="17">
        <v>0.22426124192529134</v>
      </c>
      <c r="U19" s="17">
        <v>0.29916191864749503</v>
      </c>
      <c r="V19" s="17">
        <v>0.28608040437376736</v>
      </c>
      <c r="W19" s="17">
        <v>0.12250415078851272</v>
      </c>
      <c r="X19" s="17">
        <v>0.24146929709088796</v>
      </c>
      <c r="Y19" s="17">
        <v>0.31750973749278816</v>
      </c>
      <c r="Z19" s="17">
        <v>0.2553183406131046</v>
      </c>
      <c r="AA19" s="17">
        <v>0.26406486752073705</v>
      </c>
      <c r="AB19" s="17">
        <v>8.4017490568133665E-2</v>
      </c>
      <c r="AC19" s="17">
        <v>0.10482426254696266</v>
      </c>
      <c r="AD19" s="17">
        <v>0.78351996044358563</v>
      </c>
      <c r="AE19" s="17">
        <v>0.18164597719462841</v>
      </c>
      <c r="AF19" s="17">
        <v>0.18593917856420814</v>
      </c>
      <c r="AG19" s="17">
        <v>0.30423908278398953</v>
      </c>
      <c r="AH19" s="17">
        <v>6.7903351078777208E-2</v>
      </c>
      <c r="AI19" s="17">
        <v>7.4237118966399451E-2</v>
      </c>
      <c r="AJ19" s="17">
        <v>0.1325262992701218</v>
      </c>
      <c r="AK19" s="17">
        <v>0.32230192842742245</v>
      </c>
      <c r="AL19" s="17">
        <v>0.11139372938386295</v>
      </c>
      <c r="AM19" s="17">
        <v>0.39664090711606759</v>
      </c>
      <c r="AN19" s="17">
        <v>0.13337622504160596</v>
      </c>
      <c r="AO19" s="17">
        <v>0.21789457145341073</v>
      </c>
      <c r="AP19" s="17">
        <v>0.39404968059093315</v>
      </c>
      <c r="AQ19" s="17">
        <v>0.21732473022070922</v>
      </c>
      <c r="AR19" s="17">
        <v>0.44713515186694619</v>
      </c>
      <c r="AS19" s="17">
        <v>0.15896953204058156</v>
      </c>
      <c r="AT19" s="17">
        <v>0.18217062292157474</v>
      </c>
      <c r="AU19" s="17">
        <v>0.16647482611048073</v>
      </c>
      <c r="AV19" s="17">
        <v>0.14601647999135003</v>
      </c>
      <c r="AW19" s="17">
        <v>0.31963964287476831</v>
      </c>
      <c r="AX19" s="17">
        <v>6.3225548875947626E-2</v>
      </c>
      <c r="AY19" s="17">
        <v>0.2154567742357392</v>
      </c>
      <c r="AZ19" s="17">
        <v>0.11288427558908622</v>
      </c>
      <c r="BA19" s="17">
        <v>0.27077761346891505</v>
      </c>
      <c r="BB19" s="17">
        <v>0.265455768062413</v>
      </c>
      <c r="BC19" s="17">
        <v>0.20156847031254205</v>
      </c>
      <c r="BD19" s="17">
        <v>0.27485379563396067</v>
      </c>
      <c r="BE19" s="17">
        <v>0.1720482018259307</v>
      </c>
      <c r="BF19" s="17">
        <v>0.25138138529413495</v>
      </c>
      <c r="BG19" s="17">
        <v>0.20851574643989296</v>
      </c>
      <c r="BH19" s="17">
        <v>0.34728913404951267</v>
      </c>
      <c r="BI19" s="17">
        <v>0.34637874050889689</v>
      </c>
      <c r="BJ19" s="17">
        <v>0.20379606068399031</v>
      </c>
      <c r="BK19" s="17">
        <v>0.24995887161658265</v>
      </c>
      <c r="BL19" s="17">
        <v>0.23528640044935747</v>
      </c>
      <c r="BM19" s="17">
        <v>0.22075667726982426</v>
      </c>
      <c r="BN19" s="17">
        <v>0.6061127404250749</v>
      </c>
      <c r="BO19" s="17">
        <v>0.13232709035018655</v>
      </c>
      <c r="BP19" s="17">
        <v>0.51094040310058686</v>
      </c>
      <c r="BQ19" s="17">
        <v>0.42304757953773392</v>
      </c>
      <c r="BR19" s="17">
        <v>0.21994557908777432</v>
      </c>
      <c r="BS19" s="17">
        <v>2.2343114943973369E-2</v>
      </c>
      <c r="BT19" s="17">
        <v>0.17716692839597153</v>
      </c>
      <c r="BU19" s="17">
        <v>0.32540021326203511</v>
      </c>
      <c r="BV19" s="17">
        <v>0.34640278053617202</v>
      </c>
      <c r="BW19" s="17">
        <v>5.1154282965495346E-2</v>
      </c>
      <c r="BX19" s="17">
        <v>0.39696215676461361</v>
      </c>
      <c r="BY19" s="17">
        <v>0.16031322888659411</v>
      </c>
      <c r="BZ19" s="17">
        <v>0.40122901259516003</v>
      </c>
      <c r="CA19" s="17">
        <v>0.43190069220329186</v>
      </c>
      <c r="CB19" s="17">
        <v>0.24786785883523357</v>
      </c>
      <c r="CC19" s="17">
        <v>1.0007414538776598</v>
      </c>
      <c r="CD19" s="17">
        <v>0.39468821877766674</v>
      </c>
      <c r="CE19" s="17">
        <v>0.70516758569409421</v>
      </c>
      <c r="CF19" s="17">
        <v>0.30718263331573703</v>
      </c>
      <c r="CG19" s="17">
        <v>0.25250761083940004</v>
      </c>
      <c r="CH19" s="17">
        <v>0.21770368883754923</v>
      </c>
      <c r="CI19" s="17">
        <v>0.46798648013440408</v>
      </c>
      <c r="CJ19" s="17">
        <v>0.13842753997072793</v>
      </c>
      <c r="CK19" s="17">
        <v>0.22352127255342197</v>
      </c>
      <c r="CL19" s="17">
        <v>0.19792831267845187</v>
      </c>
      <c r="CM19" s="17">
        <v>7.6753409033205572E-2</v>
      </c>
      <c r="CN19" s="17">
        <v>0.37439395992547747</v>
      </c>
      <c r="CO19" s="17">
        <v>0.41711974657364387</v>
      </c>
      <c r="CP19" s="17">
        <v>0.13683528106399329</v>
      </c>
      <c r="CQ19" s="17">
        <v>0.39997757478881124</v>
      </c>
      <c r="CR19" s="17">
        <v>0.21934372928411797</v>
      </c>
      <c r="CS19" s="17">
        <v>0.65635080418069458</v>
      </c>
      <c r="CT19" s="17">
        <v>0.35078026136772522</v>
      </c>
      <c r="CU19" s="17">
        <v>0.50356392106313796</v>
      </c>
      <c r="CV19" s="17">
        <v>0.30020563981479759</v>
      </c>
      <c r="CW19" s="17">
        <v>0.24445990658389113</v>
      </c>
      <c r="CX19" s="17">
        <v>0.57371232402382544</v>
      </c>
      <c r="CY19" s="17">
        <v>0.27478307488335696</v>
      </c>
      <c r="CZ19" s="17">
        <v>0.19356840972143885</v>
      </c>
      <c r="DA19" s="17">
        <v>0.20218264093087848</v>
      </c>
      <c r="DB19" s="17">
        <v>0.30308975549996259</v>
      </c>
      <c r="DC19" s="17">
        <v>8.0591611002097371E-2</v>
      </c>
      <c r="DD19" s="17">
        <v>0.19012403728305777</v>
      </c>
      <c r="DE19" s="17">
        <v>0.25508331430108189</v>
      </c>
      <c r="DF19" s="17">
        <v>0.37749260898184162</v>
      </c>
      <c r="DG19" s="17">
        <v>0.12200839389031358</v>
      </c>
      <c r="DH19" s="17">
        <v>0.41407371115846198</v>
      </c>
      <c r="DI19" s="17">
        <v>0.31096922936670146</v>
      </c>
      <c r="DJ19" s="17">
        <v>7.0454017992929011E-2</v>
      </c>
      <c r="DK19" s="17">
        <v>0.27023689516491289</v>
      </c>
      <c r="DL19" s="17">
        <v>0.26835990123189563</v>
      </c>
      <c r="DM19" s="17">
        <v>0.34464914803323665</v>
      </c>
      <c r="DN19" s="17">
        <v>0.10561341129880512</v>
      </c>
      <c r="DO19" s="17">
        <v>0.21254520662832754</v>
      </c>
      <c r="DP19" s="17">
        <v>0.35275052758066633</v>
      </c>
      <c r="DQ19" s="17">
        <v>0.16560950809318181</v>
      </c>
      <c r="DR19" s="17">
        <v>0.10207674661932335</v>
      </c>
      <c r="DS19" s="17">
        <v>0.37885959067154679</v>
      </c>
      <c r="DT19" s="17">
        <v>0.19216761723906636</v>
      </c>
      <c r="DU19" s="17">
        <v>0.81503595845835997</v>
      </c>
      <c r="DV19" s="17">
        <v>0.28034136283203825</v>
      </c>
      <c r="DW19" s="17">
        <v>0.14920776175265185</v>
      </c>
      <c r="DX19" s="17">
        <v>0.25759461850611265</v>
      </c>
      <c r="DY19" s="17">
        <v>0.23909259926489421</v>
      </c>
      <c r="DZ19" s="17">
        <v>0.26363599322738646</v>
      </c>
      <c r="EA19" s="17">
        <v>0.17033703237037037</v>
      </c>
      <c r="EB19" s="17">
        <v>0.14109723520934161</v>
      </c>
      <c r="EC19" s="17">
        <v>9.9333996976650768E-2</v>
      </c>
      <c r="ED19" s="17">
        <v>0.26952961201129083</v>
      </c>
      <c r="EE19" s="17">
        <v>0.50523554522155512</v>
      </c>
      <c r="EF19" s="17">
        <v>0.21411649733654381</v>
      </c>
      <c r="EG19" s="17">
        <v>0.25335643311043027</v>
      </c>
      <c r="EH19" s="17">
        <v>0.53655690100505782</v>
      </c>
      <c r="EI19" s="17">
        <v>0.3633478364832744</v>
      </c>
      <c r="EJ19" s="17">
        <v>0.46591943521193718</v>
      </c>
      <c r="EK19" s="17">
        <v>0.24325795710980894</v>
      </c>
      <c r="EL19" s="17">
        <v>0.26069771983540996</v>
      </c>
      <c r="EM19" s="17">
        <v>0.18127368868682897</v>
      </c>
      <c r="EN19" s="17">
        <v>0.17742986210624137</v>
      </c>
      <c r="EO19" s="17">
        <v>0.14767602578510125</v>
      </c>
      <c r="EP19" s="17">
        <v>0.48250347692481776</v>
      </c>
      <c r="EQ19" s="17">
        <v>0.12879301130716164</v>
      </c>
      <c r="ER19" s="17">
        <v>0.12012622858497717</v>
      </c>
      <c r="ES19" s="17">
        <v>0.24855086994914385</v>
      </c>
      <c r="ET19" s="17">
        <v>0.52458008730787209</v>
      </c>
      <c r="EU19" s="17">
        <v>0.30932075366763118</v>
      </c>
      <c r="EV19" s="17">
        <v>0.30176161770219351</v>
      </c>
      <c r="EW19" s="17">
        <v>0.55690091588852486</v>
      </c>
      <c r="EX19" s="90">
        <v>0.24855086994914385</v>
      </c>
      <c r="EY19" s="14">
        <v>2025</v>
      </c>
      <c r="EZ19" s="14" t="s">
        <v>873</v>
      </c>
      <c r="FA19" s="48" t="s">
        <v>1007</v>
      </c>
      <c r="FB19" s="9" t="s">
        <v>929</v>
      </c>
    </row>
    <row r="20" spans="2:158" ht="15" customHeight="1" x14ac:dyDescent="0.35">
      <c r="B20" s="22" t="s">
        <v>863</v>
      </c>
      <c r="C20" s="25">
        <v>541800</v>
      </c>
      <c r="D20" s="55" t="s">
        <v>989</v>
      </c>
      <c r="E20" s="36">
        <v>0.39381600670110151</v>
      </c>
      <c r="F20" s="36">
        <v>0.30667991870597749</v>
      </c>
      <c r="G20" s="36">
        <v>0.30394741601850583</v>
      </c>
      <c r="H20" s="36">
        <v>0.44252746635555745</v>
      </c>
      <c r="I20" s="36">
        <v>0.2175670548236921</v>
      </c>
      <c r="J20" s="36">
        <v>0.3983308736122313</v>
      </c>
      <c r="K20" s="36">
        <v>0.19735046544338272</v>
      </c>
      <c r="L20" s="36">
        <v>0.14003016296240231</v>
      </c>
      <c r="M20" s="36">
        <v>0.17911713401264878</v>
      </c>
      <c r="N20" s="36">
        <v>0.13876109069236822</v>
      </c>
      <c r="O20" s="36">
        <v>0.32819820864127031</v>
      </c>
      <c r="P20" s="36">
        <v>0.23626235015516625</v>
      </c>
      <c r="Q20" s="36">
        <v>0.26892978072843449</v>
      </c>
      <c r="R20" s="36">
        <v>0.23160099925652</v>
      </c>
      <c r="S20" s="36">
        <v>0.49219949650544326</v>
      </c>
      <c r="T20" s="36">
        <v>0.24637487171524122</v>
      </c>
      <c r="U20" s="36">
        <v>0.32607836808458146</v>
      </c>
      <c r="V20" s="36">
        <v>0.32859347845350828</v>
      </c>
      <c r="W20" s="36">
        <v>0.1022735409180968</v>
      </c>
      <c r="X20" s="36">
        <v>0.26880994114422402</v>
      </c>
      <c r="Y20" s="36">
        <v>0.34937027536775239</v>
      </c>
      <c r="Z20" s="36">
        <v>0.27929119324129958</v>
      </c>
      <c r="AA20" s="36">
        <v>0.23564849774214341</v>
      </c>
      <c r="AB20" s="36">
        <v>0.11646295543319131</v>
      </c>
      <c r="AC20" s="36">
        <v>0.12258015129311946</v>
      </c>
      <c r="AD20" s="36">
        <v>1.0442352506936039</v>
      </c>
      <c r="AE20" s="36">
        <v>0.21030043315898125</v>
      </c>
      <c r="AF20" s="36">
        <v>0.21153442873239556</v>
      </c>
      <c r="AG20" s="36">
        <v>0.34092052618457536</v>
      </c>
      <c r="AH20" s="36">
        <v>0.12909043463085251</v>
      </c>
      <c r="AI20" s="36">
        <v>0.11613175040535068</v>
      </c>
      <c r="AJ20" s="36">
        <v>0.14047610069541033</v>
      </c>
      <c r="AK20" s="36">
        <v>0.32381329555654392</v>
      </c>
      <c r="AL20" s="36">
        <v>0.123252463029856</v>
      </c>
      <c r="AM20" s="36">
        <v>0.43288239159100739</v>
      </c>
      <c r="AN20" s="36">
        <v>7.379853833561964E-2</v>
      </c>
      <c r="AO20" s="36">
        <v>0.24994799026433953</v>
      </c>
      <c r="AP20" s="36">
        <v>0.48151062849910936</v>
      </c>
      <c r="AQ20" s="36">
        <v>0.24414612108520725</v>
      </c>
      <c r="AR20" s="36">
        <v>0.55106707429992852</v>
      </c>
      <c r="AS20" s="36">
        <v>0.14803982881331423</v>
      </c>
      <c r="AT20" s="36">
        <v>0.28021517205344421</v>
      </c>
      <c r="AU20" s="36">
        <v>0.17959554178730758</v>
      </c>
      <c r="AV20" s="36">
        <v>0.11780180918963727</v>
      </c>
      <c r="AW20" s="36">
        <v>0.35494588930079307</v>
      </c>
      <c r="AX20" s="36">
        <v>0.10589970765179324</v>
      </c>
      <c r="AY20" s="36">
        <v>0.24460482962364996</v>
      </c>
      <c r="AZ20" s="36">
        <v>7.1530536212014495E-2</v>
      </c>
      <c r="BA20" s="36">
        <v>0.29548796137997257</v>
      </c>
      <c r="BB20" s="36">
        <v>0.30069807348047778</v>
      </c>
      <c r="BC20" s="36">
        <v>0.22615585597109278</v>
      </c>
      <c r="BD20" s="36">
        <v>0.30996798495258132</v>
      </c>
      <c r="BE20" s="36">
        <v>0.14465182515898178</v>
      </c>
      <c r="BF20" s="36">
        <v>0.27386721497200295</v>
      </c>
      <c r="BG20" s="36">
        <v>0.23591170304899681</v>
      </c>
      <c r="BH20" s="36">
        <v>0.10791770566769091</v>
      </c>
      <c r="BI20" s="36">
        <v>0.38524116814463688</v>
      </c>
      <c r="BJ20" s="36">
        <v>0.24960273144771503</v>
      </c>
      <c r="BK20" s="36">
        <v>0.3060256265615785</v>
      </c>
      <c r="BL20" s="36">
        <v>0.21930824301862481</v>
      </c>
      <c r="BM20" s="36">
        <v>0.20325088512143474</v>
      </c>
      <c r="BN20" s="36">
        <v>1.0134642139237762</v>
      </c>
      <c r="BO20" s="36">
        <v>0.1089925269227385</v>
      </c>
      <c r="BP20" s="36">
        <v>0.62930330092265552</v>
      </c>
      <c r="BQ20" s="36">
        <v>0.54655393794312435</v>
      </c>
      <c r="BR20" s="36">
        <v>8.0801756824212548E-2</v>
      </c>
      <c r="BS20" s="36">
        <v>0.10661985566623371</v>
      </c>
      <c r="BT20" s="36">
        <v>0.14253788620543839</v>
      </c>
      <c r="BU20" s="36">
        <v>0.36735834822590968</v>
      </c>
      <c r="BV20" s="36">
        <v>0.40356834657034374</v>
      </c>
      <c r="BW20" s="36">
        <v>0.11967522474325422</v>
      </c>
      <c r="BX20" s="36">
        <v>0.64552020985547587</v>
      </c>
      <c r="BY20" s="36">
        <v>0.17476314040572541</v>
      </c>
      <c r="BZ20" s="36">
        <v>0.59074092604981399</v>
      </c>
      <c r="CA20" s="36">
        <v>0.46688795425511487</v>
      </c>
      <c r="CB20" s="36">
        <v>0.27118339359548016</v>
      </c>
      <c r="CC20" s="36">
        <v>0.44470607610820784</v>
      </c>
      <c r="CD20" s="36">
        <v>0.51975040832290109</v>
      </c>
      <c r="CE20" s="36">
        <v>0.81980651058843801</v>
      </c>
      <c r="CF20" s="36">
        <v>0.34942125736990154</v>
      </c>
      <c r="CG20" s="36">
        <v>0.27958345167703291</v>
      </c>
      <c r="CH20" s="36">
        <v>0.2491963247747796</v>
      </c>
      <c r="CI20" s="36">
        <v>0.50366420474688056</v>
      </c>
      <c r="CJ20" s="36">
        <v>0.13663256900252357</v>
      </c>
      <c r="CK20" s="36">
        <v>0.14412398163667264</v>
      </c>
      <c r="CL20" s="36">
        <v>0.14791122030549236</v>
      </c>
      <c r="CM20" s="36">
        <v>0.10044494730276983</v>
      </c>
      <c r="CN20" s="36">
        <v>0.44243808825556258</v>
      </c>
      <c r="CO20" s="36">
        <v>0.4516822564793575</v>
      </c>
      <c r="CP20" s="36">
        <v>0.25635465801477186</v>
      </c>
      <c r="CQ20" s="36">
        <v>0.45137266965079897</v>
      </c>
      <c r="CR20" s="36">
        <v>0.2434618564173614</v>
      </c>
      <c r="CS20" s="36">
        <v>0.49218513975941319</v>
      </c>
      <c r="CT20" s="36">
        <v>0.55381017417731682</v>
      </c>
      <c r="CU20" s="36">
        <v>0.63884093159420985</v>
      </c>
      <c r="CV20" s="36">
        <v>0.33342314810878726</v>
      </c>
      <c r="CW20" s="36">
        <v>0.26223906345096415</v>
      </c>
      <c r="CX20" s="36">
        <v>0.4784003306094336</v>
      </c>
      <c r="CY20" s="36">
        <v>0.30888789807410499</v>
      </c>
      <c r="CZ20" s="36">
        <v>0.22895183236064687</v>
      </c>
      <c r="DA20" s="36">
        <v>0.24080278563564991</v>
      </c>
      <c r="DB20" s="36">
        <v>0.33532802200924877</v>
      </c>
      <c r="DC20" s="36">
        <v>0.12117356138748824</v>
      </c>
      <c r="DD20" s="36">
        <v>0.13105135852814917</v>
      </c>
      <c r="DE20" s="36">
        <v>0.27763418386686189</v>
      </c>
      <c r="DF20" s="36">
        <v>0.3968799323892917</v>
      </c>
      <c r="DG20" s="36">
        <v>0.10912285385857859</v>
      </c>
      <c r="DH20" s="36">
        <v>0.50874260230121515</v>
      </c>
      <c r="DI20" s="36">
        <v>0.35951418712682953</v>
      </c>
      <c r="DJ20" s="36">
        <v>0.13766506824270305</v>
      </c>
      <c r="DK20" s="36">
        <v>0.45280041896038564</v>
      </c>
      <c r="DL20" s="36">
        <v>0.29576481710051367</v>
      </c>
      <c r="DM20" s="36">
        <v>0.26531270110864269</v>
      </c>
      <c r="DN20" s="36">
        <v>0.14592450916444183</v>
      </c>
      <c r="DO20" s="36">
        <v>0.23022759554618852</v>
      </c>
      <c r="DP20" s="36">
        <v>0.46533829035973634</v>
      </c>
      <c r="DQ20" s="36">
        <v>0.2546775968392514</v>
      </c>
      <c r="DR20" s="36">
        <v>0.16192186569255063</v>
      </c>
      <c r="DS20" s="36">
        <v>0.47297339742965017</v>
      </c>
      <c r="DT20" s="36">
        <v>0.20897512689293762</v>
      </c>
      <c r="DU20" s="36">
        <v>1.2742918766323104</v>
      </c>
      <c r="DV20" s="36">
        <v>0.32302672083366496</v>
      </c>
      <c r="DW20" s="36">
        <v>0.34300408322653081</v>
      </c>
      <c r="DX20" s="36">
        <v>0.27915888610955281</v>
      </c>
      <c r="DY20" s="36">
        <v>0.26447124863203397</v>
      </c>
      <c r="DZ20" s="36">
        <v>0.28565337317830419</v>
      </c>
      <c r="EA20" s="36">
        <v>0.29219773785328934</v>
      </c>
      <c r="EB20" s="36">
        <v>0.23759474680333428</v>
      </c>
      <c r="EC20" s="36">
        <v>7.0227654855358299E-2</v>
      </c>
      <c r="ED20" s="36">
        <v>0.29593600407956916</v>
      </c>
      <c r="EE20" s="36">
        <v>0.56787700966515686</v>
      </c>
      <c r="EF20" s="36">
        <v>0.24672036814735712</v>
      </c>
      <c r="EG20" s="36">
        <v>0.28856736198815502</v>
      </c>
      <c r="EH20" s="36">
        <v>0.48679124655772071</v>
      </c>
      <c r="EI20" s="36">
        <v>0.41314266483324952</v>
      </c>
      <c r="EJ20" s="36">
        <v>0.58406644339229918</v>
      </c>
      <c r="EK20" s="36">
        <v>0.39359618521263023</v>
      </c>
      <c r="EL20" s="36">
        <v>0.44135534000340859</v>
      </c>
      <c r="EM20" s="36">
        <v>0.28091944923714607</v>
      </c>
      <c r="EN20" s="36">
        <v>0.21530954700680521</v>
      </c>
      <c r="EO20" s="36">
        <v>0.1580074336860289</v>
      </c>
      <c r="EP20" s="36">
        <v>0.59351633271468363</v>
      </c>
      <c r="EQ20" s="36">
        <v>0.13669363858903325</v>
      </c>
      <c r="ER20" s="36">
        <v>0.10378483397041839</v>
      </c>
      <c r="ES20" s="36">
        <v>0.27019735645180765</v>
      </c>
      <c r="ET20" s="36">
        <v>0.61557935100283112</v>
      </c>
      <c r="EU20" s="36">
        <v>0.33655913963915113</v>
      </c>
      <c r="EV20" s="36">
        <v>0.33688910758321866</v>
      </c>
      <c r="EW20" s="36">
        <v>0.6748301433564643</v>
      </c>
      <c r="EX20" s="82">
        <v>0.27915888610955281</v>
      </c>
      <c r="EY20" s="25">
        <v>2025</v>
      </c>
      <c r="EZ20" s="25" t="s">
        <v>873</v>
      </c>
      <c r="FA20" s="100" t="s">
        <v>1007</v>
      </c>
      <c r="FB20" s="55" t="s">
        <v>929</v>
      </c>
    </row>
    <row r="21" spans="2:158" ht="15" customHeight="1" x14ac:dyDescent="0.35">
      <c r="B21" s="22" t="s">
        <v>864</v>
      </c>
      <c r="C21" s="25">
        <v>561700</v>
      </c>
      <c r="D21" s="55" t="s">
        <v>990</v>
      </c>
      <c r="E21" s="36">
        <v>0.56280722278726747</v>
      </c>
      <c r="F21" s="36">
        <v>0.37632888090180106</v>
      </c>
      <c r="G21" s="36">
        <v>0.46501947285739093</v>
      </c>
      <c r="H21" s="36">
        <v>0.63157184934934696</v>
      </c>
      <c r="I21" s="36">
        <v>0.35749375975551223</v>
      </c>
      <c r="J21" s="36">
        <v>0.54493363905674708</v>
      </c>
      <c r="K21" s="36">
        <v>0.33606806832190461</v>
      </c>
      <c r="L21" s="36">
        <v>0.20436453341291136</v>
      </c>
      <c r="M21" s="36">
        <v>0.22992019816468859</v>
      </c>
      <c r="N21" s="36">
        <v>0.34477782126430617</v>
      </c>
      <c r="O21" s="36">
        <v>0.58588033525235916</v>
      </c>
      <c r="P21" s="36">
        <v>0.33147657617767612</v>
      </c>
      <c r="Q21" s="36">
        <v>0.4066435589279695</v>
      </c>
      <c r="R21" s="36">
        <v>0.54571182428488008</v>
      </c>
      <c r="S21" s="36">
        <v>0.86317479733077418</v>
      </c>
      <c r="T21" s="36">
        <v>0.32221763569838396</v>
      </c>
      <c r="U21" s="36">
        <v>0.42388587082554463</v>
      </c>
      <c r="V21" s="36">
        <v>0.5905355610967753</v>
      </c>
      <c r="W21" s="36">
        <v>0.21048925050718534</v>
      </c>
      <c r="X21" s="36">
        <v>0.38145022760981806</v>
      </c>
      <c r="Y21" s="36">
        <v>0.57672990758692066</v>
      </c>
      <c r="Z21" s="36">
        <v>0.35902617806664733</v>
      </c>
      <c r="AA21" s="36">
        <v>0.70252023614104475</v>
      </c>
      <c r="AB21" s="36">
        <v>0.18559835737699326</v>
      </c>
      <c r="AC21" s="36">
        <v>0.28417356064473898</v>
      </c>
      <c r="AD21" s="36">
        <v>0.8513146428626901</v>
      </c>
      <c r="AE21" s="36">
        <v>0.29472910144937814</v>
      </c>
      <c r="AF21" s="36">
        <v>0.32843421582811866</v>
      </c>
      <c r="AG21" s="36">
        <v>0.54500209045226178</v>
      </c>
      <c r="AH21" s="36">
        <v>0.15190023200159034</v>
      </c>
      <c r="AI21" s="36">
        <v>0.29833124185351229</v>
      </c>
      <c r="AJ21" s="36">
        <v>0.25784457960495144</v>
      </c>
      <c r="AK21" s="36">
        <v>0.6391977630839869</v>
      </c>
      <c r="AL21" s="36">
        <v>0.25526495671689808</v>
      </c>
      <c r="AM21" s="36">
        <v>0.56842163082439146</v>
      </c>
      <c r="AN21" s="36">
        <v>0.22044654224780386</v>
      </c>
      <c r="AO21" s="36">
        <v>0.37712149117097271</v>
      </c>
      <c r="AP21" s="36">
        <v>0.87908853704925938</v>
      </c>
      <c r="AQ21" s="36">
        <v>0.4204423725923897</v>
      </c>
      <c r="AR21" s="36">
        <v>1.0273626659572854</v>
      </c>
      <c r="AS21" s="36">
        <v>0.31426917887209138</v>
      </c>
      <c r="AT21" s="36">
        <v>0.3553521955058595</v>
      </c>
      <c r="AU21" s="36">
        <v>0.29038030689716821</v>
      </c>
      <c r="AV21" s="36">
        <v>0.21895591626766972</v>
      </c>
      <c r="AW21" s="36">
        <v>0.54167819642781578</v>
      </c>
      <c r="AX21" s="36">
        <v>0.19577964661417008</v>
      </c>
      <c r="AY21" s="36">
        <v>0.41299841502406837</v>
      </c>
      <c r="AZ21" s="36">
        <v>0.13152139366825158</v>
      </c>
      <c r="BA21" s="36">
        <v>0.40969547702598968</v>
      </c>
      <c r="BB21" s="36">
        <v>0.44686078082462083</v>
      </c>
      <c r="BC21" s="36">
        <v>0.31803978796546778</v>
      </c>
      <c r="BD21" s="36">
        <v>0.46137345037390204</v>
      </c>
      <c r="BE21" s="36">
        <v>0.38048800404572808</v>
      </c>
      <c r="BF21" s="36">
        <v>0.35680498963781304</v>
      </c>
      <c r="BG21" s="36">
        <v>0.35257536324359384</v>
      </c>
      <c r="BH21" s="36">
        <v>0.62584267397139259</v>
      </c>
      <c r="BI21" s="36">
        <v>0.58165012485771972</v>
      </c>
      <c r="BJ21" s="36">
        <v>0.37554854331853615</v>
      </c>
      <c r="BK21" s="36">
        <v>0.36315792952715381</v>
      </c>
      <c r="BL21" s="36">
        <v>0.50527883911087501</v>
      </c>
      <c r="BM21" s="36">
        <v>0.3556766224025168</v>
      </c>
      <c r="BN21" s="36">
        <v>1.4897398042546299</v>
      </c>
      <c r="BO21" s="36">
        <v>0.18520357166497931</v>
      </c>
      <c r="BP21" s="36">
        <v>1.247271153141887</v>
      </c>
      <c r="BQ21" s="36">
        <v>0.86520162301674719</v>
      </c>
      <c r="BR21" s="36">
        <v>0.3425986389082103</v>
      </c>
      <c r="BS21" s="36">
        <v>7.4724053996519893E-2</v>
      </c>
      <c r="BT21" s="36">
        <v>0.30179348521507304</v>
      </c>
      <c r="BU21" s="36">
        <v>0.6123789436461311</v>
      </c>
      <c r="BV21" s="36">
        <v>0.65278901364095765</v>
      </c>
      <c r="BW21" s="36">
        <v>8.52598939528251E-2</v>
      </c>
      <c r="BX21" s="36">
        <v>0.69456690554182565</v>
      </c>
      <c r="BY21" s="36">
        <v>0.27307360854136559</v>
      </c>
      <c r="BZ21" s="36">
        <v>0.97013090155324777</v>
      </c>
      <c r="CA21" s="36">
        <v>0.60423640866322681</v>
      </c>
      <c r="CB21" s="36">
        <v>0.33585924824608759</v>
      </c>
      <c r="CC21" s="36">
        <v>0.88299264180689474</v>
      </c>
      <c r="CD21" s="36">
        <v>0.73955840303718756</v>
      </c>
      <c r="CE21" s="36">
        <v>1.7299003488500255</v>
      </c>
      <c r="CF21" s="36">
        <v>0.56352717283788378</v>
      </c>
      <c r="CG21" s="36">
        <v>0.34663329296725442</v>
      </c>
      <c r="CH21" s="36">
        <v>0.36237973265635676</v>
      </c>
      <c r="CI21" s="36">
        <v>0.63703359295460693</v>
      </c>
      <c r="CJ21" s="36">
        <v>0.41132656878185053</v>
      </c>
      <c r="CK21" s="36">
        <v>0.57020278224063459</v>
      </c>
      <c r="CL21" s="36">
        <v>0.42542312820128725</v>
      </c>
      <c r="CM21" s="36">
        <v>0.27717440808943128</v>
      </c>
      <c r="CN21" s="36">
        <v>0.75320836732910035</v>
      </c>
      <c r="CO21" s="36">
        <v>0.58714612535428956</v>
      </c>
      <c r="CP21" s="36">
        <v>0.2975183367734201</v>
      </c>
      <c r="CQ21" s="36">
        <v>0.70628217847926489</v>
      </c>
      <c r="CR21" s="36">
        <v>0.34153515261485279</v>
      </c>
      <c r="CS21" s="36">
        <v>0.79679478902965573</v>
      </c>
      <c r="CT21" s="36">
        <v>0.73912642758089697</v>
      </c>
      <c r="CU21" s="36">
        <v>1.2922599478916512</v>
      </c>
      <c r="CV21" s="36">
        <v>0.45702084998859743</v>
      </c>
      <c r="CW21" s="36">
        <v>0.33759296766881663</v>
      </c>
      <c r="CX21" s="36">
        <v>0.86113060122944041</v>
      </c>
      <c r="CY21" s="36">
        <v>0.44126183193873991</v>
      </c>
      <c r="CZ21" s="36">
        <v>0.29565292289442385</v>
      </c>
      <c r="DA21" s="36">
        <v>0.368819632591735</v>
      </c>
      <c r="DB21" s="36">
        <v>0.51634660452040348</v>
      </c>
      <c r="DC21" s="36">
        <v>0.20251048947401498</v>
      </c>
      <c r="DD21" s="36">
        <v>0.30292873743858595</v>
      </c>
      <c r="DE21" s="36">
        <v>0.44872557720307865</v>
      </c>
      <c r="DF21" s="36">
        <v>0.40476597549949594</v>
      </c>
      <c r="DG21" s="36">
        <v>0.29174275088096402</v>
      </c>
      <c r="DH21" s="36">
        <v>0.94539860347419669</v>
      </c>
      <c r="DI21" s="36">
        <v>0.68385895809147745</v>
      </c>
      <c r="DJ21" s="36">
        <v>0.22642705473349281</v>
      </c>
      <c r="DK21" s="36">
        <v>0.52882509538236899</v>
      </c>
      <c r="DL21" s="36">
        <v>0.42697465794539891</v>
      </c>
      <c r="DM21" s="36">
        <v>0.65849626511372128</v>
      </c>
      <c r="DN21" s="36">
        <v>0.24233240426501026</v>
      </c>
      <c r="DO21" s="36">
        <v>0.33331094917670473</v>
      </c>
      <c r="DP21" s="36">
        <v>0.62816916480439733</v>
      </c>
      <c r="DQ21" s="36">
        <v>0.31392589766959395</v>
      </c>
      <c r="DR21" s="36">
        <v>0.28364145487301079</v>
      </c>
      <c r="DS21" s="36">
        <v>0.60624660653809748</v>
      </c>
      <c r="DT21" s="36">
        <v>0.26158785161338999</v>
      </c>
      <c r="DU21" s="36">
        <v>2.2647029108434067</v>
      </c>
      <c r="DV21" s="36">
        <v>0.5160526548230373</v>
      </c>
      <c r="DW21" s="36">
        <v>0.42313879743172789</v>
      </c>
      <c r="DX21" s="36">
        <v>0.36647165774853363</v>
      </c>
      <c r="DY21" s="36">
        <v>0.38268625346087343</v>
      </c>
      <c r="DZ21" s="36">
        <v>0.41356366339629147</v>
      </c>
      <c r="EA21" s="36">
        <v>0.38812735033921764</v>
      </c>
      <c r="EB21" s="36">
        <v>0.28620963609776057</v>
      </c>
      <c r="EC21" s="36">
        <v>0.18775738496364602</v>
      </c>
      <c r="ED21" s="36">
        <v>0.46098167626759146</v>
      </c>
      <c r="EE21" s="36">
        <v>0.87906654724219702</v>
      </c>
      <c r="EF21" s="36">
        <v>0.26342739615196914</v>
      </c>
      <c r="EG21" s="36">
        <v>0.47352209237254694</v>
      </c>
      <c r="EH21" s="36">
        <v>1.0806480170413575</v>
      </c>
      <c r="EI21" s="36">
        <v>0.70203912732458407</v>
      </c>
      <c r="EJ21" s="36">
        <v>1.1269541102468443</v>
      </c>
      <c r="EK21" s="36">
        <v>0.64851293730095017</v>
      </c>
      <c r="EL21" s="36">
        <v>0.61200186027523884</v>
      </c>
      <c r="EM21" s="36">
        <v>0.39296986392121486</v>
      </c>
      <c r="EN21" s="36">
        <v>0.29123981415637246</v>
      </c>
      <c r="EO21" s="36">
        <v>0.24462214920284475</v>
      </c>
      <c r="EP21" s="36">
        <v>1.2601995418036798</v>
      </c>
      <c r="EQ21" s="36">
        <v>0.18947405128852685</v>
      </c>
      <c r="ER21" s="36">
        <v>0.2636710941344011</v>
      </c>
      <c r="ES21" s="36">
        <v>0.34517391589732993</v>
      </c>
      <c r="ET21" s="36">
        <v>1.0641358144072777</v>
      </c>
      <c r="EU21" s="36">
        <v>0.41530462170028853</v>
      </c>
      <c r="EV21" s="36">
        <v>0.52006231724475993</v>
      </c>
      <c r="EW21" s="36">
        <v>1.0751015678930931</v>
      </c>
      <c r="EX21" s="82">
        <v>0.41299841502406837</v>
      </c>
      <c r="EY21" s="25">
        <v>2025</v>
      </c>
      <c r="EZ21" s="25" t="s">
        <v>873</v>
      </c>
      <c r="FA21" s="100" t="s">
        <v>1007</v>
      </c>
      <c r="FB21" s="55" t="s">
        <v>929</v>
      </c>
    </row>
    <row r="22" spans="2:158" ht="15" customHeight="1" x14ac:dyDescent="0.35">
      <c r="B22" s="18" t="s">
        <v>864</v>
      </c>
      <c r="C22" s="14">
        <v>325610</v>
      </c>
      <c r="D22" s="9" t="s">
        <v>964</v>
      </c>
      <c r="E22" s="17">
        <v>0.78096504663608102</v>
      </c>
      <c r="F22" s="17">
        <v>0.5693394205913429</v>
      </c>
      <c r="G22" s="17">
        <v>0.67886669425741142</v>
      </c>
      <c r="H22" s="17">
        <v>0.92271717568615319</v>
      </c>
      <c r="I22" s="17">
        <v>0.43946108932243205</v>
      </c>
      <c r="J22" s="17">
        <v>0.89689443868752849</v>
      </c>
      <c r="K22" s="17">
        <v>0.61046869820391758</v>
      </c>
      <c r="L22" s="17">
        <v>0.40962655837223677</v>
      </c>
      <c r="M22" s="17">
        <v>0.41165707392240902</v>
      </c>
      <c r="N22" s="17">
        <v>0.35815335590348069</v>
      </c>
      <c r="O22" s="17">
        <v>0.72018136758195161</v>
      </c>
      <c r="P22" s="17">
        <v>0.51778783342244061</v>
      </c>
      <c r="Q22" s="17">
        <v>0.55672106274939381</v>
      </c>
      <c r="R22" s="17">
        <v>1.1591758385533901</v>
      </c>
      <c r="S22" s="17">
        <v>1.0409945776316929</v>
      </c>
      <c r="T22" s="17">
        <v>0.55044066858809682</v>
      </c>
      <c r="U22" s="17">
        <v>0.73323989467992889</v>
      </c>
      <c r="V22" s="17">
        <v>0.71770707515320831</v>
      </c>
      <c r="W22" s="17">
        <v>0.49954059651964833</v>
      </c>
      <c r="X22" s="17">
        <v>0.59427554705624197</v>
      </c>
      <c r="Y22" s="17">
        <v>0.78767847995152596</v>
      </c>
      <c r="Z22" s="17">
        <v>0.62567084590126754</v>
      </c>
      <c r="AA22" s="17">
        <v>0.56508561687849412</v>
      </c>
      <c r="AB22" s="17">
        <v>0.28075094240964132</v>
      </c>
      <c r="AC22" s="17">
        <v>0.48168882180912437</v>
      </c>
      <c r="AD22" s="17">
        <v>1.1407215066681298</v>
      </c>
      <c r="AE22" s="17">
        <v>0.44654290345941178</v>
      </c>
      <c r="AF22" s="17">
        <v>0.46382522548952126</v>
      </c>
      <c r="AG22" s="17">
        <v>0.75153485959735544</v>
      </c>
      <c r="AH22" s="17">
        <v>0.42420987662886983</v>
      </c>
      <c r="AI22" s="17">
        <v>0.32554218573986171</v>
      </c>
      <c r="AJ22" s="17">
        <v>0.27908379169655245</v>
      </c>
      <c r="AK22" s="17">
        <v>0.61802988654352764</v>
      </c>
      <c r="AL22" s="17">
        <v>0.3049161182693203</v>
      </c>
      <c r="AM22" s="17">
        <v>0.97257140543245801</v>
      </c>
      <c r="AN22" s="17">
        <v>0.17964165956421185</v>
      </c>
      <c r="AO22" s="17">
        <v>0.53863888014722272</v>
      </c>
      <c r="AP22" s="17">
        <v>0.97853743642033619</v>
      </c>
      <c r="AQ22" s="17">
        <v>0.54846782834479502</v>
      </c>
      <c r="AR22" s="17">
        <v>1.1146560076155303</v>
      </c>
      <c r="AS22" s="17">
        <v>0.40611669970631675</v>
      </c>
      <c r="AT22" s="17">
        <v>0.47905808130820943</v>
      </c>
      <c r="AU22" s="17">
        <v>0.42036384518276565</v>
      </c>
      <c r="AV22" s="17">
        <v>0.33776096477392575</v>
      </c>
      <c r="AW22" s="17">
        <v>0.78744327709785511</v>
      </c>
      <c r="AX22" s="17">
        <v>0.28221794442612846</v>
      </c>
      <c r="AY22" s="17">
        <v>0.54217378012937123</v>
      </c>
      <c r="AZ22" s="17">
        <v>0.29769546390811336</v>
      </c>
      <c r="BA22" s="17">
        <v>0.66645861610367996</v>
      </c>
      <c r="BB22" s="17">
        <v>0.65280258175606432</v>
      </c>
      <c r="BC22" s="17">
        <v>0.49674472753855353</v>
      </c>
      <c r="BD22" s="17">
        <v>0.67594710800144397</v>
      </c>
      <c r="BE22" s="17">
        <v>0.29634778367772902</v>
      </c>
      <c r="BF22" s="17">
        <v>0.61705682008378016</v>
      </c>
      <c r="BG22" s="17">
        <v>0.5162061722016863</v>
      </c>
      <c r="BH22" s="17">
        <v>0.87292899747188168</v>
      </c>
      <c r="BI22" s="17">
        <v>0.85188739932251989</v>
      </c>
      <c r="BJ22" s="17">
        <v>0.51224235551273301</v>
      </c>
      <c r="BK22" s="17">
        <v>0.59606304372321184</v>
      </c>
      <c r="BL22" s="17">
        <v>0.56915452080938467</v>
      </c>
      <c r="BM22" s="17">
        <v>0.84850946247061254</v>
      </c>
      <c r="BN22" s="17">
        <v>0.66018529862565034</v>
      </c>
      <c r="BO22" s="17">
        <v>0.17399412807660403</v>
      </c>
      <c r="BP22" s="17">
        <v>1.2795502407617678</v>
      </c>
      <c r="BQ22" s="17">
        <v>1.0299283700259412</v>
      </c>
      <c r="BR22" s="17">
        <v>0.20837380855577872</v>
      </c>
      <c r="BS22" s="17">
        <v>0.21478521431524264</v>
      </c>
      <c r="BT22" s="17">
        <v>0.38139255579372366</v>
      </c>
      <c r="BU22" s="17">
        <v>0.80434991360266284</v>
      </c>
      <c r="BV22" s="17">
        <v>0.84887883491889249</v>
      </c>
      <c r="BW22" s="17">
        <v>0.65533426152103191</v>
      </c>
      <c r="BX22" s="17">
        <v>1.0309726816365574</v>
      </c>
      <c r="BY22" s="17">
        <v>0.40302106984463104</v>
      </c>
      <c r="BZ22" s="17">
        <v>0.50906601607488211</v>
      </c>
      <c r="CA22" s="17">
        <v>1.0611985237562189</v>
      </c>
      <c r="CB22" s="17">
        <v>0.60625019824602477</v>
      </c>
      <c r="CC22" s="17">
        <v>0.98014382672669154</v>
      </c>
      <c r="CD22" s="17">
        <v>0.93497785299130753</v>
      </c>
      <c r="CE22" s="17">
        <v>0.53148253794735367</v>
      </c>
      <c r="CF22" s="17">
        <v>0.75755054936782107</v>
      </c>
      <c r="CG22" s="17">
        <v>0.61613262897250487</v>
      </c>
      <c r="CH22" s="17">
        <v>0.53602064100140789</v>
      </c>
      <c r="CI22" s="17">
        <v>1.1509055962688521</v>
      </c>
      <c r="CJ22" s="17">
        <v>0.41128771803623188</v>
      </c>
      <c r="CK22" s="17">
        <v>0.33455526411024977</v>
      </c>
      <c r="CL22" s="17">
        <v>0.32926479896201938</v>
      </c>
      <c r="CM22" s="17">
        <v>0.4909486142777868</v>
      </c>
      <c r="CN22" s="17">
        <v>0.91758574404764559</v>
      </c>
      <c r="CO22" s="17">
        <v>1.0243293758799474</v>
      </c>
      <c r="CP22" s="17">
        <v>0.62878479636448947</v>
      </c>
      <c r="CQ22" s="17">
        <v>0.98307922069331943</v>
      </c>
      <c r="CR22" s="17">
        <v>0.54047462910102362</v>
      </c>
      <c r="CS22" s="17">
        <v>0.58023370598900914</v>
      </c>
      <c r="CT22" s="17">
        <v>0.78325333253784302</v>
      </c>
      <c r="CU22" s="17">
        <v>1.2315077829430907</v>
      </c>
      <c r="CV22" s="17">
        <v>0.73524818948662962</v>
      </c>
      <c r="CW22" s="17">
        <v>0.60149854378864698</v>
      </c>
      <c r="CX22" s="17">
        <v>0.81309989247330594</v>
      </c>
      <c r="CY22" s="17">
        <v>0.67403622565156052</v>
      </c>
      <c r="CZ22" s="17">
        <v>0.46963410159999669</v>
      </c>
      <c r="DA22" s="17">
        <v>0.50145199672682983</v>
      </c>
      <c r="DB22" s="17">
        <v>0.74817087713348052</v>
      </c>
      <c r="DC22" s="17">
        <v>0.44938552923943753</v>
      </c>
      <c r="DD22" s="17">
        <v>0.49043679025043202</v>
      </c>
      <c r="DE22" s="17">
        <v>0.63604365844709587</v>
      </c>
      <c r="DF22" s="17">
        <v>0.92246091866754609</v>
      </c>
      <c r="DG22" s="17">
        <v>0.68967844218261143</v>
      </c>
      <c r="DH22" s="17">
        <v>1.0190175663800785</v>
      </c>
      <c r="DI22" s="17">
        <v>0.7943076982401085</v>
      </c>
      <c r="DJ22" s="17">
        <v>0.2246735886205643</v>
      </c>
      <c r="DK22" s="17">
        <v>0.44964128764544337</v>
      </c>
      <c r="DL22" s="17">
        <v>0.66120964298848384</v>
      </c>
      <c r="DM22" s="17">
        <v>0.69956979323432111</v>
      </c>
      <c r="DN22" s="17">
        <v>0.41357192849436514</v>
      </c>
      <c r="DO22" s="17">
        <v>0.52733739585814454</v>
      </c>
      <c r="DP22" s="17">
        <v>0.83482890104839624</v>
      </c>
      <c r="DQ22" s="17">
        <v>0.70578734611229532</v>
      </c>
      <c r="DR22" s="17">
        <v>0.49536375141658884</v>
      </c>
      <c r="DS22" s="17">
        <v>1.3975830497245343</v>
      </c>
      <c r="DT22" s="17">
        <v>0.47184476407516779</v>
      </c>
      <c r="DU22" s="17">
        <v>0.91200201292907312</v>
      </c>
      <c r="DV22" s="17">
        <v>0.69168023881329643</v>
      </c>
      <c r="DW22" s="17">
        <v>0.63753775641363242</v>
      </c>
      <c r="DX22" s="17">
        <v>0.63306027998650993</v>
      </c>
      <c r="DY22" s="17">
        <v>0.59003931935011156</v>
      </c>
      <c r="DZ22" s="17">
        <v>0.65171459471407556</v>
      </c>
      <c r="EA22" s="17">
        <v>0.70420631670077172</v>
      </c>
      <c r="EB22" s="17">
        <v>0.34634173657162759</v>
      </c>
      <c r="EC22" s="17">
        <v>0.20289701275321767</v>
      </c>
      <c r="ED22" s="17">
        <v>0.66823261360717445</v>
      </c>
      <c r="EE22" s="17">
        <v>1.2509575046699539</v>
      </c>
      <c r="EF22" s="17">
        <v>0.51420163850856526</v>
      </c>
      <c r="EG22" s="17">
        <v>0.63018245530596773</v>
      </c>
      <c r="EH22" s="17">
        <v>0.70741932370109806</v>
      </c>
      <c r="EI22" s="17">
        <v>0.89643433087581059</v>
      </c>
      <c r="EJ22" s="17">
        <v>1.1446889012378212</v>
      </c>
      <c r="EK22" s="17">
        <v>0.77676986611890031</v>
      </c>
      <c r="EL22" s="17">
        <v>0.70515571719862846</v>
      </c>
      <c r="EM22" s="17">
        <v>0.83802769379896458</v>
      </c>
      <c r="EN22" s="17">
        <v>0.43215001346129822</v>
      </c>
      <c r="EO22" s="17">
        <v>0.3721119728707894</v>
      </c>
      <c r="EP22" s="17">
        <v>1.1951558241657634</v>
      </c>
      <c r="EQ22" s="17">
        <v>0.32161852631842003</v>
      </c>
      <c r="ER22" s="17">
        <v>0.51830591419234096</v>
      </c>
      <c r="ES22" s="17">
        <v>0.60971345045491865</v>
      </c>
      <c r="ET22" s="17">
        <v>1.2007674179897629</v>
      </c>
      <c r="EU22" s="17">
        <v>0.75641255830504606</v>
      </c>
      <c r="EV22" s="17">
        <v>0.74399108747516207</v>
      </c>
      <c r="EW22" s="17">
        <v>0.92088643303613793</v>
      </c>
      <c r="EX22" s="90">
        <v>0.62567084590126754</v>
      </c>
      <c r="EY22" s="14">
        <v>2025</v>
      </c>
      <c r="EZ22" s="14" t="s">
        <v>873</v>
      </c>
      <c r="FA22" s="48" t="s">
        <v>1007</v>
      </c>
      <c r="FB22" s="9" t="s">
        <v>929</v>
      </c>
    </row>
    <row r="23" spans="2:158" ht="15" customHeight="1" x14ac:dyDescent="0.35">
      <c r="B23" s="18" t="s">
        <v>864</v>
      </c>
      <c r="C23" s="14">
        <v>561600</v>
      </c>
      <c r="D23" s="9" t="s">
        <v>993</v>
      </c>
      <c r="E23" s="17">
        <v>0.31699836662384462</v>
      </c>
      <c r="F23" s="17">
        <v>0.23244477132200531</v>
      </c>
      <c r="G23" s="17">
        <v>0.27249526793063944</v>
      </c>
      <c r="H23" s="17">
        <v>0.36527884450255443</v>
      </c>
      <c r="I23" s="17">
        <v>0.17622711751959619</v>
      </c>
      <c r="J23" s="17">
        <v>0.35057034066463799</v>
      </c>
      <c r="K23" s="17">
        <v>0.20022274223884612</v>
      </c>
      <c r="L23" s="17">
        <v>9.271482797695671E-2</v>
      </c>
      <c r="M23" s="17">
        <v>0.16220983687289803</v>
      </c>
      <c r="N23" s="17">
        <v>0.17033501278513657</v>
      </c>
      <c r="O23" s="17">
        <v>0.29751284812702844</v>
      </c>
      <c r="P23" s="17">
        <v>0.20762180786205015</v>
      </c>
      <c r="Q23" s="17">
        <v>0.2284385282189231</v>
      </c>
      <c r="R23" s="17">
        <v>0.49393193338464525</v>
      </c>
      <c r="S23" s="17">
        <v>0.41499154841372726</v>
      </c>
      <c r="T23" s="17">
        <v>0.21784472825308879</v>
      </c>
      <c r="U23" s="17">
        <v>0.28787703750599547</v>
      </c>
      <c r="V23" s="17">
        <v>0.29757965884812299</v>
      </c>
      <c r="W23" s="17">
        <v>0.12001597725654632</v>
      </c>
      <c r="X23" s="17">
        <v>0.23761767872025838</v>
      </c>
      <c r="Y23" s="17">
        <v>0.31650311601329417</v>
      </c>
      <c r="Z23" s="17">
        <v>0.2464931460043876</v>
      </c>
      <c r="AA23" s="17">
        <v>0.26583234639012976</v>
      </c>
      <c r="AB23" s="17">
        <v>9.3524399314859563E-2</v>
      </c>
      <c r="AC23" s="17">
        <v>0.22580989886846994</v>
      </c>
      <c r="AD23" s="17">
        <v>0.817095173737731</v>
      </c>
      <c r="AE23" s="17">
        <v>0.18051191036434144</v>
      </c>
      <c r="AF23" s="17">
        <v>0.18879693848275617</v>
      </c>
      <c r="AG23" s="17">
        <v>0.30299449928619504</v>
      </c>
      <c r="AH23" s="17">
        <v>5.7974914867122369E-2</v>
      </c>
      <c r="AI23" s="17">
        <v>6.6912611909841796E-2</v>
      </c>
      <c r="AJ23" s="17">
        <v>0.1151618653466859</v>
      </c>
      <c r="AK23" s="17">
        <v>0.37555646304197837</v>
      </c>
      <c r="AL23" s="17">
        <v>0.13127587952735936</v>
      </c>
      <c r="AM23" s="17">
        <v>0.37755827572163964</v>
      </c>
      <c r="AN23" s="17">
        <v>0.14506282283290189</v>
      </c>
      <c r="AO23" s="17">
        <v>0.21886771355900791</v>
      </c>
      <c r="AP23" s="17">
        <v>0.41275505163895809</v>
      </c>
      <c r="AQ23" s="17">
        <v>0.22523399393488394</v>
      </c>
      <c r="AR23" s="17">
        <v>0.47304234388251687</v>
      </c>
      <c r="AS23" s="17">
        <v>0.23810638277421964</v>
      </c>
      <c r="AT23" s="17">
        <v>0.25307815626482144</v>
      </c>
      <c r="AU23" s="17">
        <v>0.16976383561008443</v>
      </c>
      <c r="AV23" s="17">
        <v>0.15895356530213731</v>
      </c>
      <c r="AW23" s="17">
        <v>0.3141570759081907</v>
      </c>
      <c r="AX23" s="17">
        <v>0.10754667272493033</v>
      </c>
      <c r="AY23" s="17">
        <v>0.22269521325586986</v>
      </c>
      <c r="AZ23" s="17">
        <v>9.6418837414241093E-2</v>
      </c>
      <c r="BA23" s="17">
        <v>0.26396859169447268</v>
      </c>
      <c r="BB23" s="17">
        <v>0.26296171820293163</v>
      </c>
      <c r="BC23" s="17">
        <v>0.19926222980759528</v>
      </c>
      <c r="BD23" s="17">
        <v>0.27173358751469001</v>
      </c>
      <c r="BE23" s="17">
        <v>0.17302549314617169</v>
      </c>
      <c r="BF23" s="17">
        <v>0.24327329018168281</v>
      </c>
      <c r="BG23" s="17">
        <v>0.20886017964231057</v>
      </c>
      <c r="BH23" s="17">
        <v>0.33302829886545304</v>
      </c>
      <c r="BI23" s="17">
        <v>0.33791996834944382</v>
      </c>
      <c r="BJ23" s="17">
        <v>0.19041221346323789</v>
      </c>
      <c r="BK23" s="17">
        <v>0.23915350783207392</v>
      </c>
      <c r="BL23" s="17">
        <v>0.43292651638978502</v>
      </c>
      <c r="BM23" s="17">
        <v>0.19536124943412181</v>
      </c>
      <c r="BN23" s="17">
        <v>0.5993309755773808</v>
      </c>
      <c r="BO23" s="17">
        <v>0.13208030027240444</v>
      </c>
      <c r="BP23" s="17">
        <v>0.54697739446741633</v>
      </c>
      <c r="BQ23" s="17">
        <v>0.43396453961873982</v>
      </c>
      <c r="BR23" s="17">
        <v>0.2614484237068545</v>
      </c>
      <c r="BS23" s="17">
        <v>2.1829909854475287E-2</v>
      </c>
      <c r="BT23" s="17">
        <v>0.19945146402294592</v>
      </c>
      <c r="BU23" s="17">
        <v>0.32548947095159125</v>
      </c>
      <c r="BV23" s="17">
        <v>0.34386715057413209</v>
      </c>
      <c r="BW23" s="17">
        <v>5.0699820961218056E-2</v>
      </c>
      <c r="BX23" s="17">
        <v>0.38475716512447566</v>
      </c>
      <c r="BY23" s="17">
        <v>0.16253358375811225</v>
      </c>
      <c r="BZ23" s="17">
        <v>0.45931136632570219</v>
      </c>
      <c r="CA23" s="17">
        <v>0.40929287630856998</v>
      </c>
      <c r="CB23" s="17">
        <v>0.23817396322433318</v>
      </c>
      <c r="CC23" s="17">
        <v>0.35660265425372878</v>
      </c>
      <c r="CD23" s="17">
        <v>0.38599780844264941</v>
      </c>
      <c r="CE23" s="17">
        <v>1.0654940822119277</v>
      </c>
      <c r="CF23" s="17">
        <v>0.30695347584927096</v>
      </c>
      <c r="CG23" s="17">
        <v>0.24256569365112129</v>
      </c>
      <c r="CH23" s="17">
        <v>0.21673982969378372</v>
      </c>
      <c r="CI23" s="17">
        <v>0.44147071895546885</v>
      </c>
      <c r="CJ23" s="17">
        <v>0.16663542896310199</v>
      </c>
      <c r="CK23" s="17">
        <v>0.32038781164761693</v>
      </c>
      <c r="CL23" s="17">
        <v>0.26495606613821698</v>
      </c>
      <c r="CM23" s="17">
        <v>8.3536485993947265E-2</v>
      </c>
      <c r="CN23" s="17">
        <v>0.37361166007309965</v>
      </c>
      <c r="CO23" s="17">
        <v>0.39601257705201615</v>
      </c>
      <c r="CP23" s="17">
        <v>0.11100157715058641</v>
      </c>
      <c r="CQ23" s="17">
        <v>0.38740807552309192</v>
      </c>
      <c r="CR23" s="17">
        <v>0.21601048597278791</v>
      </c>
      <c r="CS23" s="17">
        <v>0.72742544178918855</v>
      </c>
      <c r="CT23" s="17">
        <v>0.43756098367154433</v>
      </c>
      <c r="CU23" s="17">
        <v>0.50518657356412755</v>
      </c>
      <c r="CV23" s="17">
        <v>0.29101828061063867</v>
      </c>
      <c r="CW23" s="17">
        <v>0.23628633220197831</v>
      </c>
      <c r="CX23" s="17">
        <v>0.48852742733954574</v>
      </c>
      <c r="CY23" s="17">
        <v>0.26947368924374576</v>
      </c>
      <c r="CZ23" s="17">
        <v>0.1891246134681977</v>
      </c>
      <c r="DA23" s="17">
        <v>0.20604020344885832</v>
      </c>
      <c r="DB23" s="17">
        <v>0.29933549328346171</v>
      </c>
      <c r="DC23" s="17">
        <v>8.2819423910505327E-2</v>
      </c>
      <c r="DD23" s="17">
        <v>0.28569232136790801</v>
      </c>
      <c r="DE23" s="17">
        <v>0.25647474856874064</v>
      </c>
      <c r="DF23" s="17">
        <v>0.35476807752551581</v>
      </c>
      <c r="DG23" s="17">
        <v>0.1395071756670492</v>
      </c>
      <c r="DH23" s="17">
        <v>0.4277133244079887</v>
      </c>
      <c r="DI23" s="17">
        <v>0.33242551576888563</v>
      </c>
      <c r="DJ23" s="17">
        <v>7.7825887043937531E-2</v>
      </c>
      <c r="DK23" s="17">
        <v>0.61101575888406956</v>
      </c>
      <c r="DL23" s="17">
        <v>0.2636085146922198</v>
      </c>
      <c r="DM23" s="17">
        <v>0.39341811614017652</v>
      </c>
      <c r="DN23" s="17">
        <v>9.8156143031449469E-2</v>
      </c>
      <c r="DO23" s="17">
        <v>0.21038338049504129</v>
      </c>
      <c r="DP23" s="17">
        <v>0.3454292852731537</v>
      </c>
      <c r="DQ23" s="17">
        <v>0.27330019260412569</v>
      </c>
      <c r="DR23" s="17">
        <v>0.1045278587559765</v>
      </c>
      <c r="DS23" s="17">
        <v>0.41419180590137122</v>
      </c>
      <c r="DT23" s="17">
        <v>0.18583154906411092</v>
      </c>
      <c r="DU23" s="17">
        <v>1.1812462405221336</v>
      </c>
      <c r="DV23" s="17">
        <v>0.28214453699218633</v>
      </c>
      <c r="DW23" s="17">
        <v>0.18144893044265148</v>
      </c>
      <c r="DX23" s="17">
        <v>0.24938566663407843</v>
      </c>
      <c r="DY23" s="17">
        <v>0.23612231744948889</v>
      </c>
      <c r="DZ23" s="17">
        <v>0.25904139982790669</v>
      </c>
      <c r="EA23" s="17">
        <v>0.18233323803828641</v>
      </c>
      <c r="EB23" s="17">
        <v>0.20287271366544823</v>
      </c>
      <c r="EC23" s="17">
        <v>0.18685648108015965</v>
      </c>
      <c r="ED23" s="17">
        <v>0.26842887028500595</v>
      </c>
      <c r="EE23" s="17">
        <v>0.47564606541475407</v>
      </c>
      <c r="EF23" s="17">
        <v>0.20181959111091133</v>
      </c>
      <c r="EG23" s="17">
        <v>0.25781527411447941</v>
      </c>
      <c r="EH23" s="17">
        <v>0.53395685244787028</v>
      </c>
      <c r="EI23" s="17">
        <v>0.36103371984054866</v>
      </c>
      <c r="EJ23" s="17">
        <v>0.48406637533821617</v>
      </c>
      <c r="EK23" s="17">
        <v>0.30634773022830153</v>
      </c>
      <c r="EL23" s="17">
        <v>0.32782628274092512</v>
      </c>
      <c r="EM23" s="17">
        <v>0.21438753056703247</v>
      </c>
      <c r="EN23" s="17">
        <v>0.17606433521241299</v>
      </c>
      <c r="EO23" s="17">
        <v>0.14928631455834093</v>
      </c>
      <c r="EP23" s="17">
        <v>0.50381494198723631</v>
      </c>
      <c r="EQ23" s="17">
        <v>0.12737140977900907</v>
      </c>
      <c r="ER23" s="17">
        <v>0.11395820672994947</v>
      </c>
      <c r="ES23" s="17">
        <v>0.23989246906834491</v>
      </c>
      <c r="ET23" s="17">
        <v>0.59838874887193561</v>
      </c>
      <c r="EU23" s="17">
        <v>0.29544230165077884</v>
      </c>
      <c r="EV23" s="17">
        <v>0.29849198868938692</v>
      </c>
      <c r="EW23" s="17">
        <v>0.44167156620946701</v>
      </c>
      <c r="EX23" s="90">
        <v>0.25904139982790669</v>
      </c>
      <c r="EY23" s="14">
        <v>2025</v>
      </c>
      <c r="EZ23" s="14" t="s">
        <v>873</v>
      </c>
      <c r="FA23" s="48" t="s">
        <v>1007</v>
      </c>
      <c r="FB23" s="9" t="s">
        <v>929</v>
      </c>
    </row>
    <row r="24" spans="2:158" ht="15" customHeight="1" x14ac:dyDescent="0.35">
      <c r="B24" s="18" t="s">
        <v>864</v>
      </c>
      <c r="C24" s="95">
        <v>562000</v>
      </c>
      <c r="D24" s="9" t="s">
        <v>994</v>
      </c>
      <c r="E24" s="17">
        <v>3.0389522121243546</v>
      </c>
      <c r="F24" s="17">
        <v>2.067844880305016</v>
      </c>
      <c r="G24" s="17">
        <v>2.1885265692788036</v>
      </c>
      <c r="H24" s="17">
        <v>3.171771988010601</v>
      </c>
      <c r="I24" s="17">
        <v>2.2545267557759554</v>
      </c>
      <c r="J24" s="17">
        <v>2.3193206497906025</v>
      </c>
      <c r="K24" s="17">
        <v>1.2589288249247088</v>
      </c>
      <c r="L24" s="17">
        <v>1.5219564544440223</v>
      </c>
      <c r="M24" s="17">
        <v>0.88596318097752103</v>
      </c>
      <c r="N24" s="17">
        <v>1.570824459936516</v>
      </c>
      <c r="O24" s="17">
        <v>3.0964530268640384</v>
      </c>
      <c r="P24" s="17">
        <v>1.5203013330757897</v>
      </c>
      <c r="Q24" s="17">
        <v>2.1298822047135788</v>
      </c>
      <c r="R24" s="17">
        <v>2.497512043773181</v>
      </c>
      <c r="S24" s="17">
        <v>4.6978250436706546</v>
      </c>
      <c r="T24" s="17">
        <v>1.3451566882090906</v>
      </c>
      <c r="U24" s="17">
        <v>1.7322197204616026</v>
      </c>
      <c r="V24" s="17">
        <v>3.1516519415951105</v>
      </c>
      <c r="W24" s="17">
        <v>0.8517352567044002</v>
      </c>
      <c r="X24" s="17">
        <v>1.7353078643274458</v>
      </c>
      <c r="Y24" s="17">
        <v>2.802151388251982</v>
      </c>
      <c r="Z24" s="17">
        <v>1.465846738580515</v>
      </c>
      <c r="AA24" s="17">
        <v>3.8072936554243033</v>
      </c>
      <c r="AB24" s="17">
        <v>0.69800588157962917</v>
      </c>
      <c r="AC24" s="17">
        <v>1.4680248635610793</v>
      </c>
      <c r="AD24" s="17">
        <v>2.0017875063122696</v>
      </c>
      <c r="AE24" s="17">
        <v>1.4240826111077138</v>
      </c>
      <c r="AF24" s="17">
        <v>1.6127710742089103</v>
      </c>
      <c r="AG24" s="17">
        <v>2.6877661554562375</v>
      </c>
      <c r="AH24" s="17">
        <v>1.5861595397029511</v>
      </c>
      <c r="AI24" s="17">
        <v>1.7135909407768009</v>
      </c>
      <c r="AJ24" s="17">
        <v>1.3128070219091332</v>
      </c>
      <c r="AK24" s="17">
        <v>2.8285563893991998</v>
      </c>
      <c r="AL24" s="17">
        <v>1.1425561836304921</v>
      </c>
      <c r="AM24" s="17">
        <v>2.3481002868611043</v>
      </c>
      <c r="AN24" s="17">
        <v>0.54570474990495654</v>
      </c>
      <c r="AO24" s="17">
        <v>1.8651689371377616</v>
      </c>
      <c r="AP24" s="17">
        <v>5.1009408674565382</v>
      </c>
      <c r="AQ24" s="17">
        <v>2.1234441467181555</v>
      </c>
      <c r="AR24" s="17">
        <v>6.0355916288207849</v>
      </c>
      <c r="AS24" s="17">
        <v>1.8801427001596516</v>
      </c>
      <c r="AT24" s="17">
        <v>1.7153784871374702</v>
      </c>
      <c r="AU24" s="17">
        <v>1.3267745627163499</v>
      </c>
      <c r="AV24" s="17">
        <v>0.95106505454608592</v>
      </c>
      <c r="AW24" s="17">
        <v>2.5679541915954491</v>
      </c>
      <c r="AX24" s="17">
        <v>1.043214770222886</v>
      </c>
      <c r="AY24" s="17">
        <v>2.099459946142018</v>
      </c>
      <c r="AZ24" s="17">
        <v>1.0273105885566212</v>
      </c>
      <c r="BA24" s="17">
        <v>1.7604826460826404</v>
      </c>
      <c r="BB24" s="17">
        <v>2.1611868662315672</v>
      </c>
      <c r="BC24" s="17">
        <v>1.4557604909892734</v>
      </c>
      <c r="BD24" s="17">
        <v>2.2169209898426372</v>
      </c>
      <c r="BE24" s="17">
        <v>1.64026183642155</v>
      </c>
      <c r="BF24" s="17">
        <v>1.4562525093694068</v>
      </c>
      <c r="BG24" s="17">
        <v>1.6937821854952251</v>
      </c>
      <c r="BH24" s="17">
        <v>0.71049201378016735</v>
      </c>
      <c r="BI24" s="17">
        <v>2.7508685023314197</v>
      </c>
      <c r="BJ24" s="17">
        <v>1.9324082966399654</v>
      </c>
      <c r="BK24" s="17">
        <v>1.8317454144077854</v>
      </c>
      <c r="BL24" s="17">
        <v>2.2618802792284458</v>
      </c>
      <c r="BM24" s="17">
        <v>2.3749978694455356</v>
      </c>
      <c r="BN24" s="17">
        <v>4.72465664903629</v>
      </c>
      <c r="BO24" s="17">
        <v>0.5935608245883538</v>
      </c>
      <c r="BP24" s="17">
        <v>7.4412157920485775</v>
      </c>
      <c r="BQ24" s="17">
        <v>5.1514312736627099</v>
      </c>
      <c r="BR24" s="17">
        <v>2.0397341510235916</v>
      </c>
      <c r="BS24" s="17">
        <v>1.3550984101079733</v>
      </c>
      <c r="BT24" s="17">
        <v>1.1093314964646077</v>
      </c>
      <c r="BU24" s="17">
        <v>3.1196561858281791</v>
      </c>
      <c r="BV24" s="17">
        <v>3.4528861169410705</v>
      </c>
      <c r="BW24" s="17">
        <v>0.78433703758477169</v>
      </c>
      <c r="BX24" s="17">
        <v>3.7361386552187916</v>
      </c>
      <c r="BY24" s="17">
        <v>1.2463552716775792</v>
      </c>
      <c r="BZ24" s="17">
        <v>6.2412196591432796</v>
      </c>
      <c r="CA24" s="17">
        <v>2.4006905692010796</v>
      </c>
      <c r="CB24" s="17">
        <v>1.3301429953911044</v>
      </c>
      <c r="CC24" s="17">
        <v>1.2761905653634504</v>
      </c>
      <c r="CD24" s="17">
        <v>4.4849912702590418</v>
      </c>
      <c r="CE24" s="17">
        <v>3.3357902700515529</v>
      </c>
      <c r="CF24" s="17">
        <v>2.8610078875884337</v>
      </c>
      <c r="CG24" s="17">
        <v>1.4207028076963228</v>
      </c>
      <c r="CH24" s="17">
        <v>1.7565811964286637</v>
      </c>
      <c r="CI24" s="17">
        <v>2.4454487647617231</v>
      </c>
      <c r="CJ24" s="17">
        <v>1.722578802758522</v>
      </c>
      <c r="CK24" s="17">
        <v>0.46608433159099</v>
      </c>
      <c r="CL24" s="17">
        <v>1.7914510579561891</v>
      </c>
      <c r="CM24" s="17">
        <v>2.1367681213267269</v>
      </c>
      <c r="CN24" s="17">
        <v>4.145959426055966</v>
      </c>
      <c r="CO24" s="17">
        <v>2.353967478376028</v>
      </c>
      <c r="CP24" s="17">
        <v>2.0226279128738889</v>
      </c>
      <c r="CQ24" s="17">
        <v>3.4946612139723383</v>
      </c>
      <c r="CR24" s="17">
        <v>1.5300775845644001</v>
      </c>
      <c r="CS24" s="17">
        <v>1.0579252889780399</v>
      </c>
      <c r="CT24" s="17">
        <v>4.0608059179093026</v>
      </c>
      <c r="CU24" s="17">
        <v>8.0688711750090167</v>
      </c>
      <c r="CV24" s="17">
        <v>2.0319764219644134</v>
      </c>
      <c r="CW24" s="17">
        <v>1.3070317937027014</v>
      </c>
      <c r="CX24" s="17">
        <v>2.7469782283550197</v>
      </c>
      <c r="CY24" s="17">
        <v>2.0612419230000731</v>
      </c>
      <c r="CZ24" s="17">
        <v>1.4344836799996687</v>
      </c>
      <c r="DA24" s="17">
        <v>1.9282570768762666</v>
      </c>
      <c r="DB24" s="17">
        <v>2.4412085146136429</v>
      </c>
      <c r="DC24" s="17">
        <v>0.70990134910673353</v>
      </c>
      <c r="DD24" s="17">
        <v>0.933608546932292</v>
      </c>
      <c r="DE24" s="17">
        <v>2.1068410744733099</v>
      </c>
      <c r="DF24" s="17">
        <v>1.0850312951842662</v>
      </c>
      <c r="DG24" s="17">
        <v>1.0159909282353468</v>
      </c>
      <c r="DH24" s="17">
        <v>5.5851631572506744</v>
      </c>
      <c r="DI24" s="17">
        <v>3.7119792775305078</v>
      </c>
      <c r="DJ24" s="17">
        <v>1.2256971317200163</v>
      </c>
      <c r="DK24" s="17">
        <v>2.0283830871991451</v>
      </c>
      <c r="DL24" s="17">
        <v>1.9259665596698006</v>
      </c>
      <c r="DM24" s="17">
        <v>2.7272406294119156</v>
      </c>
      <c r="DN24" s="17">
        <v>1.5090896500096345</v>
      </c>
      <c r="DO24" s="17">
        <v>1.4447108748544344</v>
      </c>
      <c r="DP24" s="17">
        <v>3.7527202880598614</v>
      </c>
      <c r="DQ24" s="17">
        <v>0.81889001460956934</v>
      </c>
      <c r="DR24" s="17">
        <v>2.174545260720524</v>
      </c>
      <c r="DS24" s="17">
        <v>4.2574436319244846</v>
      </c>
      <c r="DT24" s="17">
        <v>1.02360676892131</v>
      </c>
      <c r="DU24" s="17">
        <v>8.2961295980690277</v>
      </c>
      <c r="DV24" s="17">
        <v>2.6556820841863247</v>
      </c>
      <c r="DW24" s="17">
        <v>0.65175578313434313</v>
      </c>
      <c r="DX24" s="17">
        <v>1.484438844145693</v>
      </c>
      <c r="DY24" s="17">
        <v>1.7378472507523059</v>
      </c>
      <c r="DZ24" s="17">
        <v>1.8007306900839566</v>
      </c>
      <c r="EA24" s="17">
        <v>1.9901766218092243</v>
      </c>
      <c r="EB24" s="17">
        <v>2.1455273911831427</v>
      </c>
      <c r="EC24" s="17">
        <v>1.2488143269499432</v>
      </c>
      <c r="ED24" s="17">
        <v>2.1579120116325727</v>
      </c>
      <c r="EE24" s="17">
        <v>4.2681153140927091</v>
      </c>
      <c r="EF24" s="17">
        <v>1.0723179378805761</v>
      </c>
      <c r="EG24" s="17">
        <v>2.4108024107529791</v>
      </c>
      <c r="EH24" s="17">
        <v>2.4846070158067408</v>
      </c>
      <c r="EI24" s="17">
        <v>3.6506636937633794</v>
      </c>
      <c r="EJ24" s="17">
        <v>6.8673067903883229</v>
      </c>
      <c r="EK24" s="17">
        <v>3.9991005679332083</v>
      </c>
      <c r="EL24" s="17">
        <v>3.7503925427258245</v>
      </c>
      <c r="EM24" s="17">
        <v>1.7531368365121445</v>
      </c>
      <c r="EN24" s="17">
        <v>1.4979422187945088</v>
      </c>
      <c r="EO24" s="17">
        <v>1.0699799217821262</v>
      </c>
      <c r="EP24" s="17">
        <v>7.6997704247376237</v>
      </c>
      <c r="EQ24" s="17">
        <v>0.75091422440726208</v>
      </c>
      <c r="ER24" s="17">
        <v>1.2839286708779356</v>
      </c>
      <c r="ES24" s="17">
        <v>1.3782472873532345</v>
      </c>
      <c r="ET24" s="17">
        <v>4.7984853891295973</v>
      </c>
      <c r="EU24" s="17">
        <v>1.6167582734343182</v>
      </c>
      <c r="EV24" s="17">
        <v>2.5037115988332346</v>
      </c>
      <c r="EW24" s="17">
        <v>1.7097101161047528</v>
      </c>
      <c r="EX24" s="90">
        <v>1.9324082966399654</v>
      </c>
      <c r="EY24" s="14">
        <v>2025</v>
      </c>
      <c r="EZ24" s="14" t="s">
        <v>873</v>
      </c>
      <c r="FA24" s="48" t="s">
        <v>1007</v>
      </c>
      <c r="FB24" s="9" t="s">
        <v>929</v>
      </c>
    </row>
    <row r="25" spans="2:158" ht="15" customHeight="1" x14ac:dyDescent="0.35">
      <c r="B25" s="22" t="s">
        <v>865</v>
      </c>
      <c r="C25" s="25">
        <v>484000</v>
      </c>
      <c r="D25" s="55" t="s">
        <v>969</v>
      </c>
      <c r="E25" s="36">
        <v>1.008982300780032</v>
      </c>
      <c r="F25" s="36">
        <v>0.62935902831747315</v>
      </c>
      <c r="G25" s="36">
        <v>0.80656485762397334</v>
      </c>
      <c r="H25" s="36">
        <v>1.0884108577798601</v>
      </c>
      <c r="I25" s="36">
        <v>0.82529674515325735</v>
      </c>
      <c r="J25" s="36">
        <v>0.84947558040500815</v>
      </c>
      <c r="K25" s="36">
        <v>0.80353981322375079</v>
      </c>
      <c r="L25" s="36">
        <v>0.3708015038423973</v>
      </c>
      <c r="M25" s="36">
        <v>0.33176486878491906</v>
      </c>
      <c r="N25" s="36">
        <v>0.33270868921402297</v>
      </c>
      <c r="O25" s="36">
        <v>1.1430762664108844</v>
      </c>
      <c r="P25" s="36">
        <v>0.54576266273591889</v>
      </c>
      <c r="Q25" s="36">
        <v>0.74123063468384642</v>
      </c>
      <c r="R25" s="36">
        <v>1.094023620053524</v>
      </c>
      <c r="S25" s="36">
        <v>1.6822234152984392</v>
      </c>
      <c r="T25" s="36">
        <v>0.48704363537889156</v>
      </c>
      <c r="U25" s="36">
        <v>0.63034461129213504</v>
      </c>
      <c r="V25" s="36">
        <v>1.1611599302737992</v>
      </c>
      <c r="W25" s="36">
        <v>0.79153775368824009</v>
      </c>
      <c r="X25" s="36">
        <v>0.62848817925489375</v>
      </c>
      <c r="Y25" s="36">
        <v>1.046774521517736</v>
      </c>
      <c r="Z25" s="36">
        <v>0.53065490183944719</v>
      </c>
      <c r="AA25" s="36">
        <v>1.1028567338230379</v>
      </c>
      <c r="AB25" s="36">
        <v>0.22880420178791122</v>
      </c>
      <c r="AC25" s="36">
        <v>0.87577002306503793</v>
      </c>
      <c r="AD25" s="36">
        <v>1.0735679892497298</v>
      </c>
      <c r="AE25" s="36">
        <v>0.49802658664084815</v>
      </c>
      <c r="AF25" s="36">
        <v>0.58815502310551904</v>
      </c>
      <c r="AG25" s="36">
        <v>0.98361129845329509</v>
      </c>
      <c r="AH25" s="36">
        <v>0.75907381319601352</v>
      </c>
      <c r="AI25" s="36">
        <v>0.48366899744794506</v>
      </c>
      <c r="AJ25" s="36">
        <v>0.57760433265739963</v>
      </c>
      <c r="AK25" s="36">
        <v>0.66683764019587999</v>
      </c>
      <c r="AL25" s="36">
        <v>0.28856777475044892</v>
      </c>
      <c r="AM25" s="36">
        <v>0.85286554515879931</v>
      </c>
      <c r="AN25" s="36">
        <v>0.45619639138454321</v>
      </c>
      <c r="AO25" s="36">
        <v>0.66754145404823562</v>
      </c>
      <c r="AP25" s="36">
        <v>1.8055334599491357</v>
      </c>
      <c r="AQ25" s="36">
        <v>0.79574499039320623</v>
      </c>
      <c r="AR25" s="36">
        <v>2.138740767238692</v>
      </c>
      <c r="AS25" s="36">
        <v>0.59338630774588441</v>
      </c>
      <c r="AT25" s="36">
        <v>0.66906210192052429</v>
      </c>
      <c r="AU25" s="36">
        <v>0.51269631831694484</v>
      </c>
      <c r="AV25" s="36">
        <v>0.37687157157690249</v>
      </c>
      <c r="AW25" s="36">
        <v>0.93951563930664861</v>
      </c>
      <c r="AX25" s="36">
        <v>0.2740741471382302</v>
      </c>
      <c r="AY25" s="36">
        <v>0.7781621803890294</v>
      </c>
      <c r="AZ25" s="36">
        <v>0.66104184402027666</v>
      </c>
      <c r="BA25" s="36">
        <v>0.64833702979190666</v>
      </c>
      <c r="BB25" s="36">
        <v>0.77480734547104613</v>
      </c>
      <c r="BC25" s="36">
        <v>0.52402399874817496</v>
      </c>
      <c r="BD25" s="36">
        <v>0.79770887488245079</v>
      </c>
      <c r="BE25" s="36">
        <v>0.37603603575723193</v>
      </c>
      <c r="BF25" s="36">
        <v>0.53188304918232832</v>
      </c>
      <c r="BG25" s="36">
        <v>0.61293245719215195</v>
      </c>
      <c r="BH25" s="36">
        <v>0.70537070056238227</v>
      </c>
      <c r="BI25" s="36">
        <v>1.0016234194554154</v>
      </c>
      <c r="BJ25" s="36">
        <v>0.50075139053383066</v>
      </c>
      <c r="BK25" s="36">
        <v>0.5666383967525731</v>
      </c>
      <c r="BL25" s="36">
        <v>0.6391419211552043</v>
      </c>
      <c r="BM25" s="36">
        <v>1.007799432312974</v>
      </c>
      <c r="BN25" s="36">
        <v>1.0448650986993551</v>
      </c>
      <c r="BO25" s="36">
        <v>0.20287813658421183</v>
      </c>
      <c r="BP25" s="36">
        <v>2.6629068773169471</v>
      </c>
      <c r="BQ25" s="36">
        <v>1.7116993352953853</v>
      </c>
      <c r="BR25" s="36">
        <v>0.4174337206295326</v>
      </c>
      <c r="BS25" s="36">
        <v>0.4025790046171549</v>
      </c>
      <c r="BT25" s="36">
        <v>0.38384355088760791</v>
      </c>
      <c r="BU25" s="36">
        <v>1.1403273066137116</v>
      </c>
      <c r="BV25" s="36">
        <v>1.2216348484492039</v>
      </c>
      <c r="BW25" s="36">
        <v>0.58763344600575096</v>
      </c>
      <c r="BX25" s="36">
        <v>1.0371140921115316</v>
      </c>
      <c r="BY25" s="36">
        <v>0.47467279975733034</v>
      </c>
      <c r="BZ25" s="36">
        <v>1.3707105435833251</v>
      </c>
      <c r="CA25" s="36">
        <v>0.8823181287488312</v>
      </c>
      <c r="CB25" s="36">
        <v>0.47749865226613342</v>
      </c>
      <c r="CC25" s="36">
        <v>1.0442850055969553</v>
      </c>
      <c r="CD25" s="36">
        <v>1.4048952724701071</v>
      </c>
      <c r="CE25" s="36">
        <v>0.87791979428432643</v>
      </c>
      <c r="CF25" s="36">
        <v>1.0348482939931234</v>
      </c>
      <c r="CG25" s="36">
        <v>0.50113792617389252</v>
      </c>
      <c r="CH25" s="36">
        <v>0.62396426905264424</v>
      </c>
      <c r="CI25" s="36">
        <v>0.90226312897248928</v>
      </c>
      <c r="CJ25" s="36">
        <v>0.41199296416274861</v>
      </c>
      <c r="CK25" s="36">
        <v>0.22119752646065857</v>
      </c>
      <c r="CL25" s="36">
        <v>0.64832861310131862</v>
      </c>
      <c r="CM25" s="36">
        <v>0.97402350695616613</v>
      </c>
      <c r="CN25" s="36">
        <v>1.4639884206999594</v>
      </c>
      <c r="CO25" s="36">
        <v>0.8633827029321105</v>
      </c>
      <c r="CP25" s="36">
        <v>0.83400283717525703</v>
      </c>
      <c r="CQ25" s="36">
        <v>1.2598242383655758</v>
      </c>
      <c r="CR25" s="36">
        <v>0.55585532323212039</v>
      </c>
      <c r="CS25" s="36">
        <v>0.69346858710840698</v>
      </c>
      <c r="CT25" s="36">
        <v>1.3358675186116129</v>
      </c>
      <c r="CU25" s="36">
        <v>2.8097685988383914</v>
      </c>
      <c r="CV25" s="36">
        <v>0.72924411356088537</v>
      </c>
      <c r="CW25" s="36">
        <v>0.48766088140971603</v>
      </c>
      <c r="CX25" s="36">
        <v>1.4388373700549857</v>
      </c>
      <c r="CY25" s="36">
        <v>0.73759183922593519</v>
      </c>
      <c r="CZ25" s="36">
        <v>0.47774342412486553</v>
      </c>
      <c r="DA25" s="36">
        <v>0.67666507960208833</v>
      </c>
      <c r="DB25" s="36">
        <v>0.89882763852491532</v>
      </c>
      <c r="DC25" s="36">
        <v>0.32836828144950087</v>
      </c>
      <c r="DD25" s="36">
        <v>0.34588832031822608</v>
      </c>
      <c r="DE25" s="36">
        <v>0.79760851652024667</v>
      </c>
      <c r="DF25" s="36">
        <v>0.40369905747308998</v>
      </c>
      <c r="DG25" s="36">
        <v>0.61981209851337549</v>
      </c>
      <c r="DH25" s="36">
        <v>1.9628911020006066</v>
      </c>
      <c r="DI25" s="36">
        <v>1.3860713517858334</v>
      </c>
      <c r="DJ25" s="36">
        <v>0.58115643358215097</v>
      </c>
      <c r="DK25" s="36">
        <v>0.84855617447750165</v>
      </c>
      <c r="DL25" s="36">
        <v>0.70610406387481761</v>
      </c>
      <c r="DM25" s="36">
        <v>0.86439636260562702</v>
      </c>
      <c r="DN25" s="36">
        <v>0.77187127322074112</v>
      </c>
      <c r="DO25" s="36">
        <v>0.54353872338023923</v>
      </c>
      <c r="DP25" s="36">
        <v>1.1565702545344447</v>
      </c>
      <c r="DQ25" s="36">
        <v>0.41507964446791334</v>
      </c>
      <c r="DR25" s="36">
        <v>0.66049488254102262</v>
      </c>
      <c r="DS25" s="36">
        <v>2.0651116572726296</v>
      </c>
      <c r="DT25" s="36">
        <v>0.37327951267394233</v>
      </c>
      <c r="DU25" s="36">
        <v>2.7105930990464335</v>
      </c>
      <c r="DV25" s="36">
        <v>0.95177371335804006</v>
      </c>
      <c r="DW25" s="36">
        <v>0.6168733065317159</v>
      </c>
      <c r="DX25" s="36">
        <v>0.5468790428261201</v>
      </c>
      <c r="DY25" s="36">
        <v>0.63650543130430537</v>
      </c>
      <c r="DZ25" s="36">
        <v>0.67410319846094147</v>
      </c>
      <c r="EA25" s="36">
        <v>0.57079794849191712</v>
      </c>
      <c r="EB25" s="36">
        <v>0.63838814428011592</v>
      </c>
      <c r="EC25" s="36">
        <v>0.37526110574631732</v>
      </c>
      <c r="ED25" s="36">
        <v>0.8043936775337468</v>
      </c>
      <c r="EE25" s="36">
        <v>1.5454498824866103</v>
      </c>
      <c r="EF25" s="36">
        <v>0.33777800149481269</v>
      </c>
      <c r="EG25" s="36">
        <v>0.88012309483669915</v>
      </c>
      <c r="EH25" s="36">
        <v>1.9285450805494773</v>
      </c>
      <c r="EI25" s="36">
        <v>1.3271032924832806</v>
      </c>
      <c r="EJ25" s="36">
        <v>2.4009078317574377</v>
      </c>
      <c r="EK25" s="36">
        <v>0.90006005817439061</v>
      </c>
      <c r="EL25" s="36">
        <v>0.89993869958900363</v>
      </c>
      <c r="EM25" s="36">
        <v>0.96098746456697681</v>
      </c>
      <c r="EN25" s="36">
        <v>0.49840765892904065</v>
      </c>
      <c r="EO25" s="36">
        <v>0.41568542986676305</v>
      </c>
      <c r="EP25" s="36">
        <v>2.7555793733890437</v>
      </c>
      <c r="EQ25" s="36">
        <v>0.29103669348129868</v>
      </c>
      <c r="ER25" s="36">
        <v>0.637713403315606</v>
      </c>
      <c r="ES25" s="36">
        <v>0.50302961508883515</v>
      </c>
      <c r="ET25" s="36">
        <v>1.544244926454269</v>
      </c>
      <c r="EU25" s="36">
        <v>0.58327797849259055</v>
      </c>
      <c r="EV25" s="36">
        <v>0.91407820507835069</v>
      </c>
      <c r="EW25" s="36">
        <v>0.89403154756068293</v>
      </c>
      <c r="EX25" s="82">
        <v>0.72924411356088537</v>
      </c>
      <c r="EY25" s="25">
        <v>2025</v>
      </c>
      <c r="EZ25" s="25" t="s">
        <v>873</v>
      </c>
      <c r="FA25" s="100" t="s">
        <v>1007</v>
      </c>
      <c r="FB25" s="55" t="s">
        <v>929</v>
      </c>
    </row>
    <row r="26" spans="2:158" ht="15" customHeight="1" x14ac:dyDescent="0.35">
      <c r="B26" s="18" t="s">
        <v>865</v>
      </c>
      <c r="C26" s="14">
        <v>481000</v>
      </c>
      <c r="D26" s="9" t="s">
        <v>966</v>
      </c>
      <c r="E26" s="17">
        <v>1.6909594793116556</v>
      </c>
      <c r="F26" s="17">
        <v>1.0414257509613689</v>
      </c>
      <c r="G26" s="17">
        <v>1.3555532454755308</v>
      </c>
      <c r="H26" s="17">
        <v>1.8370350503015729</v>
      </c>
      <c r="I26" s="17">
        <v>1.9150347280825777</v>
      </c>
      <c r="J26" s="17">
        <v>1.434414099987483</v>
      </c>
      <c r="K26" s="17">
        <v>1.380268820442428</v>
      </c>
      <c r="L26" s="17">
        <v>1.0087195754526108</v>
      </c>
      <c r="M26" s="17">
        <v>0.55362612672270883</v>
      </c>
      <c r="N26" s="17">
        <v>1.1001600317990028</v>
      </c>
      <c r="O26" s="17">
        <v>1.9158114244425597</v>
      </c>
      <c r="P26" s="17">
        <v>0.91147141495942952</v>
      </c>
      <c r="Q26" s="17">
        <v>1.2326913723018622</v>
      </c>
      <c r="R26" s="17">
        <v>0.91052009473254125</v>
      </c>
      <c r="S26" s="17">
        <v>2.8561607820221457</v>
      </c>
      <c r="T26" s="17">
        <v>0.81470802168312517</v>
      </c>
      <c r="U26" s="17">
        <v>1.0592675612282814</v>
      </c>
      <c r="V26" s="17">
        <v>1.9430665874713855</v>
      </c>
      <c r="W26" s="17">
        <v>1.542286181760173</v>
      </c>
      <c r="X26" s="17">
        <v>1.0527323694766155</v>
      </c>
      <c r="Y26" s="17">
        <v>1.7665322332242481</v>
      </c>
      <c r="Z26" s="17">
        <v>0.88921381747412942</v>
      </c>
      <c r="AA26" s="17">
        <v>2.3511584610581058</v>
      </c>
      <c r="AB26" s="17">
        <v>0.99758572036790671</v>
      </c>
      <c r="AC26" s="17">
        <v>2.2635480122831311</v>
      </c>
      <c r="AD26" s="17">
        <v>1.4820555077332034</v>
      </c>
      <c r="AE26" s="17">
        <v>0.82807149331502361</v>
      </c>
      <c r="AF26" s="17">
        <v>0.97902965271548537</v>
      </c>
      <c r="AG26" s="17">
        <v>1.656068123563315</v>
      </c>
      <c r="AH26" s="17">
        <v>1.3255032856987354</v>
      </c>
      <c r="AI26" s="17">
        <v>0.53186609342134927</v>
      </c>
      <c r="AJ26" s="17">
        <v>1.433955951809655</v>
      </c>
      <c r="AK26" s="17">
        <v>0.9428614896303309</v>
      </c>
      <c r="AL26" s="17">
        <v>1.3228418390003052</v>
      </c>
      <c r="AM26" s="17">
        <v>1.4403221847882222</v>
      </c>
      <c r="AN26" s="17">
        <v>0.98662490992850771</v>
      </c>
      <c r="AO26" s="17">
        <v>1.1136496873713921</v>
      </c>
      <c r="AP26" s="17">
        <v>3.0196971011973721</v>
      </c>
      <c r="AQ26" s="17">
        <v>1.3273901131543893</v>
      </c>
      <c r="AR26" s="17">
        <v>3.5724081048786047</v>
      </c>
      <c r="AS26" s="17">
        <v>1.5001251640850879</v>
      </c>
      <c r="AT26" s="17">
        <v>0.54344915873588628</v>
      </c>
      <c r="AU26" s="17">
        <v>0.85550414923573137</v>
      </c>
      <c r="AV26" s="17">
        <v>1.1988201643942584</v>
      </c>
      <c r="AW26" s="17">
        <v>1.5841427612120023</v>
      </c>
      <c r="AX26" s="17">
        <v>1.1625961908433065</v>
      </c>
      <c r="AY26" s="17">
        <v>1.2968881042021543</v>
      </c>
      <c r="AZ26" s="17">
        <v>2.1279247477365861</v>
      </c>
      <c r="BA26" s="17">
        <v>1.0890847602792275</v>
      </c>
      <c r="BB26" s="17">
        <v>1.2991079846589502</v>
      </c>
      <c r="BC26" s="17">
        <v>0.87466570978839708</v>
      </c>
      <c r="BD26" s="17">
        <v>1.3389254584785537</v>
      </c>
      <c r="BE26" s="17">
        <v>1.0689154366014546</v>
      </c>
      <c r="BF26" s="17">
        <v>0.89149123921834761</v>
      </c>
      <c r="BG26" s="17">
        <v>1.0229776895753355</v>
      </c>
      <c r="BH26" s="17">
        <v>1.5528042646755065</v>
      </c>
      <c r="BI26" s="17">
        <v>1.6917506433015868</v>
      </c>
      <c r="BJ26" s="17">
        <v>0.63560805371894069</v>
      </c>
      <c r="BK26" s="17">
        <v>0.94167831073054686</v>
      </c>
      <c r="BL26" s="17">
        <v>1.6062358012469646</v>
      </c>
      <c r="BM26" s="17">
        <v>0.9295772502303441</v>
      </c>
      <c r="BN26" s="17">
        <v>2.6643648501269772</v>
      </c>
      <c r="BO26" s="17">
        <v>3.7511745124300235</v>
      </c>
      <c r="BP26" s="17">
        <v>4.4559248340490711</v>
      </c>
      <c r="BQ26" s="17">
        <v>2.8448299468797673</v>
      </c>
      <c r="BR26" s="17">
        <v>1.2404313519725363</v>
      </c>
      <c r="BS26" s="17">
        <v>0.64324532853010907</v>
      </c>
      <c r="BT26" s="17">
        <v>0.96935941983898954</v>
      </c>
      <c r="BU26" s="17">
        <v>1.9225888084978724</v>
      </c>
      <c r="BV26" s="17">
        <v>2.0590437774619916</v>
      </c>
      <c r="BW26" s="17">
        <v>0.37404462567548258</v>
      </c>
      <c r="BX26" s="17">
        <v>1.5017426094556776</v>
      </c>
      <c r="BY26" s="17">
        <v>0.79127119882102059</v>
      </c>
      <c r="BZ26" s="17">
        <v>2.791063286752733</v>
      </c>
      <c r="CA26" s="17">
        <v>1.4914618943318432</v>
      </c>
      <c r="CB26" s="17">
        <v>0.79910627633328135</v>
      </c>
      <c r="CC26" s="17">
        <v>1.8308740931614758</v>
      </c>
      <c r="CD26" s="17">
        <v>2.3508185029274657</v>
      </c>
      <c r="CE26" s="17">
        <v>1.8534233902022554</v>
      </c>
      <c r="CF26" s="17">
        <v>1.7409733016388358</v>
      </c>
      <c r="CG26" s="17">
        <v>0.83843794328361021</v>
      </c>
      <c r="CH26" s="17">
        <v>1.0412894838692421</v>
      </c>
      <c r="CI26" s="17">
        <v>1.525315515105407</v>
      </c>
      <c r="CJ26" s="17">
        <v>0.39960180926668465</v>
      </c>
      <c r="CK26" s="17">
        <v>1.0168065638581927</v>
      </c>
      <c r="CL26" s="17">
        <v>0.90196171185097318</v>
      </c>
      <c r="CM26" s="17">
        <v>2.4922700620978748</v>
      </c>
      <c r="CN26" s="17">
        <v>2.4712129511817089</v>
      </c>
      <c r="CO26" s="17">
        <v>1.4589144565169647</v>
      </c>
      <c r="CP26" s="17">
        <v>1.1088941390148912</v>
      </c>
      <c r="CQ26" s="17">
        <v>2.1354787012716305</v>
      </c>
      <c r="CR26" s="17">
        <v>0.92966141679144798</v>
      </c>
      <c r="CS26" s="17">
        <v>1.5403006174060911</v>
      </c>
      <c r="CT26" s="17">
        <v>1.1210220468292142</v>
      </c>
      <c r="CU26" s="17">
        <v>4.7723512196490212</v>
      </c>
      <c r="CV26" s="17">
        <v>1.2260413847684701</v>
      </c>
      <c r="CW26" s="17">
        <v>0.81744700457453179</v>
      </c>
      <c r="CX26" s="17">
        <v>2.005170831061621</v>
      </c>
      <c r="CY26" s="17">
        <v>1.2378781002201769</v>
      </c>
      <c r="CZ26" s="17">
        <v>0.79357077670085363</v>
      </c>
      <c r="DA26" s="17">
        <v>1.122451064089776</v>
      </c>
      <c r="DB26" s="17">
        <v>1.5140639101167288</v>
      </c>
      <c r="DC26" s="17">
        <v>1.1301181587130724</v>
      </c>
      <c r="DD26" s="17">
        <v>1.4030991922396374</v>
      </c>
      <c r="DE26" s="17">
        <v>1.3399042466389948</v>
      </c>
      <c r="DF26" s="17">
        <v>0.67067657608003606</v>
      </c>
      <c r="DG26" s="17">
        <v>1.3803740282336345</v>
      </c>
      <c r="DH26" s="17">
        <v>3.3009180017996913</v>
      </c>
      <c r="DI26" s="17">
        <v>2.3080934598806446</v>
      </c>
      <c r="DJ26" s="17">
        <v>0.91913748743105239</v>
      </c>
      <c r="DK26" s="17">
        <v>1.791751413406325</v>
      </c>
      <c r="DL26" s="17">
        <v>1.1859300005050206</v>
      </c>
      <c r="DM26" s="17">
        <v>0.94772774220861655</v>
      </c>
      <c r="DN26" s="17">
        <v>1.1917284345181938</v>
      </c>
      <c r="DO26" s="17">
        <v>0.9101665530866635</v>
      </c>
      <c r="DP26" s="17">
        <v>1.9252466456719337</v>
      </c>
      <c r="DQ26" s="17">
        <v>1.0194714461675456</v>
      </c>
      <c r="DR26" s="17">
        <v>1.5003379564846082</v>
      </c>
      <c r="DS26" s="17">
        <v>2.0738308218791488</v>
      </c>
      <c r="DT26" s="17">
        <v>0.6231346000114949</v>
      </c>
      <c r="DU26" s="17">
        <v>1.6511644632964004</v>
      </c>
      <c r="DV26" s="17">
        <v>1.5955328177113279</v>
      </c>
      <c r="DW26" s="17">
        <v>1.5845137339073363</v>
      </c>
      <c r="DX26" s="17">
        <v>0.91732433157095006</v>
      </c>
      <c r="DY26" s="17">
        <v>1.0665361738772303</v>
      </c>
      <c r="DZ26" s="17">
        <v>1.1328798036204033</v>
      </c>
      <c r="EA26" s="17">
        <v>0.49942768041500812</v>
      </c>
      <c r="EB26" s="17">
        <v>0.74231448455156357</v>
      </c>
      <c r="EC26" s="17">
        <v>1.162459666599913</v>
      </c>
      <c r="ED26" s="17">
        <v>1.3521068639511944</v>
      </c>
      <c r="EE26" s="17">
        <v>2.6338837446960213</v>
      </c>
      <c r="EF26" s="17">
        <v>0.56031858402920953</v>
      </c>
      <c r="EG26" s="17">
        <v>1.4726740334154831</v>
      </c>
      <c r="EH26" s="17">
        <v>2.1625917102928423</v>
      </c>
      <c r="EI26" s="17">
        <v>2.2441615500329632</v>
      </c>
      <c r="EJ26" s="17">
        <v>4.0416097215261599</v>
      </c>
      <c r="EK26" s="17">
        <v>2.3862701312359933</v>
      </c>
      <c r="EL26" s="17">
        <v>2.3281911592194606</v>
      </c>
      <c r="EM26" s="17">
        <v>1.9174664909012347</v>
      </c>
      <c r="EN26" s="17">
        <v>0.82506473074861397</v>
      </c>
      <c r="EO26" s="17">
        <v>0.69325892444166981</v>
      </c>
      <c r="EP26" s="17">
        <v>4.6598063690391607</v>
      </c>
      <c r="EQ26" s="17">
        <v>0.48510874055644393</v>
      </c>
      <c r="ER26" s="17">
        <v>0.97109684765906557</v>
      </c>
      <c r="ES26" s="17">
        <v>0.84273300820939556</v>
      </c>
      <c r="ET26" s="17">
        <v>2.2432153744720962</v>
      </c>
      <c r="EU26" s="17">
        <v>0.97916416700070275</v>
      </c>
      <c r="EV26" s="17">
        <v>1.5388221737251664</v>
      </c>
      <c r="EW26" s="17">
        <v>1.8591050867283501</v>
      </c>
      <c r="EX26" s="90">
        <v>1.3255032856987354</v>
      </c>
      <c r="EY26" s="14">
        <v>2025</v>
      </c>
      <c r="EZ26" s="14" t="s">
        <v>873</v>
      </c>
      <c r="FA26" s="48" t="s">
        <v>1007</v>
      </c>
      <c r="FB26" s="9" t="s">
        <v>929</v>
      </c>
    </row>
    <row r="27" spans="2:158" ht="15" customHeight="1" x14ac:dyDescent="0.35">
      <c r="B27" s="18" t="s">
        <v>865</v>
      </c>
      <c r="C27" s="14">
        <v>483000</v>
      </c>
      <c r="D27" s="9" t="s">
        <v>968</v>
      </c>
      <c r="E27" s="17">
        <v>1.128240851938102</v>
      </c>
      <c r="F27" s="17">
        <v>0.69146149753877573</v>
      </c>
      <c r="G27" s="17">
        <v>0.91209797072671284</v>
      </c>
      <c r="H27" s="17">
        <v>1.2472134081626991</v>
      </c>
      <c r="I27" s="17">
        <v>1.8623257458065101</v>
      </c>
      <c r="J27" s="17">
        <v>0.99255145095109309</v>
      </c>
      <c r="K27" s="17">
        <v>0.82419911579323546</v>
      </c>
      <c r="L27" s="17">
        <v>0.91524687101590052</v>
      </c>
      <c r="M27" s="17">
        <v>0.3828711705123144</v>
      </c>
      <c r="N27" s="17">
        <v>3.2022216606312783</v>
      </c>
      <c r="O27" s="17">
        <v>1.2565192382991992</v>
      </c>
      <c r="P27" s="17">
        <v>0.61406738323371912</v>
      </c>
      <c r="Q27" s="17">
        <v>0.80919182467240502</v>
      </c>
      <c r="R27" s="17">
        <v>1.7513952694755344</v>
      </c>
      <c r="S27" s="17">
        <v>1.911896353675427</v>
      </c>
      <c r="T27" s="17">
        <v>0.55997037927762339</v>
      </c>
      <c r="U27" s="17">
        <v>0.73531927393980356</v>
      </c>
      <c r="V27" s="17">
        <v>1.2695860185296728</v>
      </c>
      <c r="W27" s="17">
        <v>1.811327904351544</v>
      </c>
      <c r="X27" s="17">
        <v>0.71216357020407584</v>
      </c>
      <c r="Y27" s="17">
        <v>1.1855048688458487</v>
      </c>
      <c r="Z27" s="17">
        <v>0.61568322421787625</v>
      </c>
      <c r="AA27" s="17">
        <v>2.3448669976344472</v>
      </c>
      <c r="AB27" s="17">
        <v>0.56214969378070734</v>
      </c>
      <c r="AC27" s="17">
        <v>2.3498876348712958</v>
      </c>
      <c r="AD27" s="17">
        <v>1.1977947416445416</v>
      </c>
      <c r="AE27" s="17">
        <v>0.5513961503522512</v>
      </c>
      <c r="AF27" s="17">
        <v>0.64528879591408161</v>
      </c>
      <c r="AG27" s="17">
        <v>1.1091335974765737</v>
      </c>
      <c r="AH27" s="17">
        <v>1.5523255670074572</v>
      </c>
      <c r="AI27" s="17">
        <v>1.8404151349169566</v>
      </c>
      <c r="AJ27" s="17">
        <v>0.31901631588049689</v>
      </c>
      <c r="AK27" s="17">
        <v>1.7453557733981842</v>
      </c>
      <c r="AL27" s="17">
        <v>0.68782848463809432</v>
      </c>
      <c r="AM27" s="17">
        <v>1.0050706346242444</v>
      </c>
      <c r="AN27" s="17">
        <v>1.1812059696227402</v>
      </c>
      <c r="AO27" s="17">
        <v>0.73850216495956766</v>
      </c>
      <c r="AP27" s="17">
        <v>1.9580779123491332</v>
      </c>
      <c r="AQ27" s="17">
        <v>0.86856862093962428</v>
      </c>
      <c r="AR27" s="17">
        <v>2.3064124327520998</v>
      </c>
      <c r="AS27" s="17">
        <v>4.1930432665626665</v>
      </c>
      <c r="AT27" s="17">
        <v>1.4047804638943333</v>
      </c>
      <c r="AU27" s="17">
        <v>0.56709703599090111</v>
      </c>
      <c r="AV27" s="17">
        <v>1.3763539374284306</v>
      </c>
      <c r="AW27" s="17">
        <v>1.0711195437830447</v>
      </c>
      <c r="AX27" s="17">
        <v>0.97414268863626041</v>
      </c>
      <c r="AY27" s="17">
        <v>0.84820385119052699</v>
      </c>
      <c r="AZ27" s="17">
        <v>1.7552661036305053</v>
      </c>
      <c r="BA27" s="17">
        <v>0.74564573100708109</v>
      </c>
      <c r="BB27" s="17">
        <v>0.87155306061714433</v>
      </c>
      <c r="BC27" s="17">
        <v>0.58864325674155016</v>
      </c>
      <c r="BD27" s="17">
        <v>0.9001118663271892</v>
      </c>
      <c r="BE27" s="17">
        <v>2.5373927278911883</v>
      </c>
      <c r="BF27" s="17">
        <v>0.61623732903816075</v>
      </c>
      <c r="BG27" s="17">
        <v>0.68105076732927416</v>
      </c>
      <c r="BH27" s="17">
        <v>2.4746963064453231</v>
      </c>
      <c r="BI27" s="17">
        <v>1.1483930932304269</v>
      </c>
      <c r="BJ27" s="17">
        <v>2.8532295299271704</v>
      </c>
      <c r="BK27" s="17">
        <v>0.63860771167113795</v>
      </c>
      <c r="BL27" s="17">
        <v>2.220767192058275</v>
      </c>
      <c r="BM27" s="17">
        <v>3.0664780096243209</v>
      </c>
      <c r="BN27" s="17">
        <v>2.3087842209053946</v>
      </c>
      <c r="BO27" s="17">
        <v>1.1913975865421047</v>
      </c>
      <c r="BP27" s="17">
        <v>2.872830026139698</v>
      </c>
      <c r="BQ27" s="17">
        <v>1.8395847388538751</v>
      </c>
      <c r="BR27" s="17">
        <v>1.2479049318494577</v>
      </c>
      <c r="BS27" s="17">
        <v>1.1920381090291543</v>
      </c>
      <c r="BT27" s="17">
        <v>2.0328557835055552</v>
      </c>
      <c r="BU27" s="17">
        <v>1.2830456281647515</v>
      </c>
      <c r="BV27" s="17">
        <v>1.3731492856976191</v>
      </c>
      <c r="BW27" s="17">
        <v>2.6014199374104519</v>
      </c>
      <c r="BX27" s="17">
        <v>0.75172586583002043</v>
      </c>
      <c r="BY27" s="17">
        <v>0.52538692661588704</v>
      </c>
      <c r="BZ27" s="17">
        <v>1.5080253431380095</v>
      </c>
      <c r="CA27" s="17">
        <v>1.0480947057265757</v>
      </c>
      <c r="CB27" s="17">
        <v>0.55714001297185622</v>
      </c>
      <c r="CC27" s="17">
        <v>2.8234688781575836</v>
      </c>
      <c r="CD27" s="17">
        <v>1.5503154777425692</v>
      </c>
      <c r="CE27" s="17">
        <v>5.4082199035460148</v>
      </c>
      <c r="CF27" s="17">
        <v>1.1612276261336141</v>
      </c>
      <c r="CG27" s="17">
        <v>0.5823445767100478</v>
      </c>
      <c r="CH27" s="17">
        <v>0.69465167967641817</v>
      </c>
      <c r="CI27" s="17">
        <v>1.0793766088040884</v>
      </c>
      <c r="CJ27" s="17">
        <v>1.4706217712157661</v>
      </c>
      <c r="CK27" s="17">
        <v>1.2164188888683951</v>
      </c>
      <c r="CL27" s="17">
        <v>0.63433308327409776</v>
      </c>
      <c r="CM27" s="17">
        <v>1.5751693719392763</v>
      </c>
      <c r="CN27" s="17">
        <v>1.6409241358945539</v>
      </c>
      <c r="CO27" s="17">
        <v>1.0231145710570404</v>
      </c>
      <c r="CP27" s="17">
        <v>1.9189171193857084</v>
      </c>
      <c r="CQ27" s="17">
        <v>1.4481229978315744</v>
      </c>
      <c r="CR27" s="17">
        <v>0.62901627525887127</v>
      </c>
      <c r="CS27" s="17">
        <v>5.8928164023660221</v>
      </c>
      <c r="CT27" s="17">
        <v>2.0413329105373084</v>
      </c>
      <c r="CU27" s="17">
        <v>3.1424472797382501</v>
      </c>
      <c r="CV27" s="17">
        <v>0.8394300260183426</v>
      </c>
      <c r="CW27" s="17">
        <v>0.56881397911898524</v>
      </c>
      <c r="CX27" s="17">
        <v>0.76808171356250343</v>
      </c>
      <c r="CY27" s="17">
        <v>0.83758983862172998</v>
      </c>
      <c r="CZ27" s="17">
        <v>0.53291950594074788</v>
      </c>
      <c r="DA27" s="17">
        <v>0.73266762229097493</v>
      </c>
      <c r="DB27" s="17">
        <v>1.0214691287517299</v>
      </c>
      <c r="DC27" s="17">
        <v>1.6666815121615015</v>
      </c>
      <c r="DD27" s="17">
        <v>1.7232819137453086</v>
      </c>
      <c r="DE27" s="17">
        <v>0.89643309464379073</v>
      </c>
      <c r="DF27" s="17">
        <v>0.50764103527658122</v>
      </c>
      <c r="DG27" s="17">
        <v>1.5016167057946328</v>
      </c>
      <c r="DH27" s="17">
        <v>2.1555200987276448</v>
      </c>
      <c r="DI27" s="17">
        <v>1.4879766168425161</v>
      </c>
      <c r="DJ27" s="17">
        <v>1.8139676955547546</v>
      </c>
      <c r="DK27" s="17">
        <v>3.0175170780989964</v>
      </c>
      <c r="DL27" s="17">
        <v>0.80466765067602886</v>
      </c>
      <c r="DM27" s="17">
        <v>0.95675358671684241</v>
      </c>
      <c r="DN27" s="17">
        <v>2.0040582336023012</v>
      </c>
      <c r="DO27" s="17">
        <v>0.61633306229114992</v>
      </c>
      <c r="DP27" s="17">
        <v>1.2667016667701911</v>
      </c>
      <c r="DQ27" s="17">
        <v>0.56350289828221878</v>
      </c>
      <c r="DR27" s="17">
        <v>1.3369398801111791</v>
      </c>
      <c r="DS27" s="17">
        <v>3.6067139946230253</v>
      </c>
      <c r="DT27" s="17">
        <v>0.43243619106547326</v>
      </c>
      <c r="DU27" s="17">
        <v>2.812805192531489</v>
      </c>
      <c r="DV27" s="17">
        <v>1.0578738673175521</v>
      </c>
      <c r="DW27" s="17">
        <v>2.9051888156984145</v>
      </c>
      <c r="DX27" s="17">
        <v>0.63452945249889203</v>
      </c>
      <c r="DY27" s="17">
        <v>0.7203821873667865</v>
      </c>
      <c r="DZ27" s="17">
        <v>0.77128563333779976</v>
      </c>
      <c r="EA27" s="17">
        <v>0.6947680996630955</v>
      </c>
      <c r="EB27" s="17">
        <v>3.6437414398897223</v>
      </c>
      <c r="EC27" s="17">
        <v>2.4678240928496074</v>
      </c>
      <c r="ED27" s="17">
        <v>0.90876235671843208</v>
      </c>
      <c r="EE27" s="17">
        <v>1.8067544913812394</v>
      </c>
      <c r="EF27" s="17">
        <v>0.3963557841461362</v>
      </c>
      <c r="EG27" s="17">
        <v>0.97193553857863102</v>
      </c>
      <c r="EH27" s="17">
        <v>2.1265310874083525</v>
      </c>
      <c r="EI27" s="17">
        <v>1.5004601751397655</v>
      </c>
      <c r="EJ27" s="17">
        <v>2.6326682702307003</v>
      </c>
      <c r="EK27" s="17">
        <v>0.86625000384962914</v>
      </c>
      <c r="EL27" s="17">
        <v>1.2445351735271906</v>
      </c>
      <c r="EM27" s="17">
        <v>1.9805510412873377</v>
      </c>
      <c r="EN27" s="17">
        <v>0.54451964936721531</v>
      </c>
      <c r="EO27" s="17">
        <v>0.46255826841581493</v>
      </c>
      <c r="EP27" s="17">
        <v>3.0429827498993447</v>
      </c>
      <c r="EQ27" s="17">
        <v>0.33020463125836708</v>
      </c>
      <c r="ER27" s="17">
        <v>0.87358345730453302</v>
      </c>
      <c r="ES27" s="17">
        <v>0.58503352876767145</v>
      </c>
      <c r="ET27" s="17">
        <v>4.0328018069286964</v>
      </c>
      <c r="EU27" s="17">
        <v>0.68746212181545219</v>
      </c>
      <c r="EV27" s="17">
        <v>1.0355414951400128</v>
      </c>
      <c r="EW27" s="17">
        <v>7.6261576986001565</v>
      </c>
      <c r="EX27" s="90">
        <v>1.1612276261336141</v>
      </c>
      <c r="EY27" s="14">
        <v>2025</v>
      </c>
      <c r="EZ27" s="14" t="s">
        <v>873</v>
      </c>
      <c r="FA27" s="48" t="s">
        <v>1007</v>
      </c>
      <c r="FB27" s="9" t="s">
        <v>929</v>
      </c>
    </row>
    <row r="28" spans="2:158" ht="15" customHeight="1" x14ac:dyDescent="0.35">
      <c r="B28" s="18" t="s">
        <v>865</v>
      </c>
      <c r="C28" s="14">
        <v>493000</v>
      </c>
      <c r="D28" s="9" t="s">
        <v>971</v>
      </c>
      <c r="E28" s="17">
        <v>0.42698600792951935</v>
      </c>
      <c r="F28" s="17">
        <v>0.31526425336211927</v>
      </c>
      <c r="G28" s="17">
        <v>0.33825929582322162</v>
      </c>
      <c r="H28" s="17">
        <v>0.47164298871653848</v>
      </c>
      <c r="I28" s="17">
        <v>0.53124474919510312</v>
      </c>
      <c r="J28" s="17">
        <v>0.41444613110381939</v>
      </c>
      <c r="K28" s="17">
        <v>0.20279177509560423</v>
      </c>
      <c r="L28" s="17">
        <v>0.11174511818551862</v>
      </c>
      <c r="M28" s="17">
        <v>0.18417819298103452</v>
      </c>
      <c r="N28" s="17">
        <v>0.18956719455576784</v>
      </c>
      <c r="O28" s="17">
        <v>0.4006182400689618</v>
      </c>
      <c r="P28" s="17">
        <v>0.25449146544046786</v>
      </c>
      <c r="Q28" s="17">
        <v>0.30465733246335774</v>
      </c>
      <c r="R28" s="17">
        <v>0.3585189579626199</v>
      </c>
      <c r="S28" s="17">
        <v>0.575269787856868</v>
      </c>
      <c r="T28" s="17">
        <v>0.25505929034083946</v>
      </c>
      <c r="U28" s="17">
        <v>0.33384407329226867</v>
      </c>
      <c r="V28" s="17">
        <v>0.40427548796997403</v>
      </c>
      <c r="W28" s="17">
        <v>0.12962178553369008</v>
      </c>
      <c r="X28" s="17">
        <v>0.28959343233646817</v>
      </c>
      <c r="Y28" s="17">
        <v>0.40107021109826535</v>
      </c>
      <c r="Z28" s="17">
        <v>0.28579010583202652</v>
      </c>
      <c r="AA28" s="17">
        <v>0.31978050313925466</v>
      </c>
      <c r="AB28" s="17">
        <v>0.20076085899653698</v>
      </c>
      <c r="AC28" s="17">
        <v>0.14809109815227273</v>
      </c>
      <c r="AD28" s="17">
        <v>1.0603881537837216</v>
      </c>
      <c r="AE28" s="17">
        <v>0.22845394412659176</v>
      </c>
      <c r="AF28" s="17">
        <v>0.2421831427866924</v>
      </c>
      <c r="AG28" s="17">
        <v>0.38701785086577872</v>
      </c>
      <c r="AH28" s="17">
        <v>0.13384263742004757</v>
      </c>
      <c r="AI28" s="17">
        <v>0.2012321929637213</v>
      </c>
      <c r="AJ28" s="17">
        <v>0.27705744350571643</v>
      </c>
      <c r="AK28" s="17">
        <v>0.35085740204224586</v>
      </c>
      <c r="AL28" s="17">
        <v>0.18926553442422103</v>
      </c>
      <c r="AM28" s="17">
        <v>0.44139166514427614</v>
      </c>
      <c r="AN28" s="17">
        <v>0.10664471159294797</v>
      </c>
      <c r="AO28" s="17">
        <v>0.28066253362570753</v>
      </c>
      <c r="AP28" s="17">
        <v>0.60001486740651166</v>
      </c>
      <c r="AQ28" s="17">
        <v>0.29491042559429037</v>
      </c>
      <c r="AR28" s="17">
        <v>0.69756154635330714</v>
      </c>
      <c r="AS28" s="17">
        <v>0.2250355992104579</v>
      </c>
      <c r="AT28" s="17">
        <v>0.45766259702376072</v>
      </c>
      <c r="AU28" s="17">
        <v>0.20880720406412107</v>
      </c>
      <c r="AV28" s="17">
        <v>0.20042596878876504</v>
      </c>
      <c r="AW28" s="17">
        <v>0.39175622278420252</v>
      </c>
      <c r="AX28" s="17">
        <v>9.2857979982949687E-2</v>
      </c>
      <c r="AY28" s="17">
        <v>0.29283114424386447</v>
      </c>
      <c r="AZ28" s="17">
        <v>0.13121009415688081</v>
      </c>
      <c r="BA28" s="17">
        <v>0.31263574250025034</v>
      </c>
      <c r="BB28" s="17">
        <v>0.33145929275641189</v>
      </c>
      <c r="BC28" s="17">
        <v>0.24413335426540259</v>
      </c>
      <c r="BD28" s="17">
        <v>0.34116626744311879</v>
      </c>
      <c r="BE28" s="17">
        <v>0.36201370531774957</v>
      </c>
      <c r="BF28" s="17">
        <v>0.2819363551276724</v>
      </c>
      <c r="BG28" s="17">
        <v>0.26316610682613406</v>
      </c>
      <c r="BH28" s="17">
        <v>0.80179948776733923</v>
      </c>
      <c r="BI28" s="17">
        <v>0.42125228976821499</v>
      </c>
      <c r="BJ28" s="17">
        <v>0.34155207831056883</v>
      </c>
      <c r="BK28" s="17">
        <v>0.30680882454126857</v>
      </c>
      <c r="BL28" s="17">
        <v>0.2646911968871094</v>
      </c>
      <c r="BM28" s="17">
        <v>0.63707465440476341</v>
      </c>
      <c r="BN28" s="17">
        <v>1.1385671292388413</v>
      </c>
      <c r="BO28" s="17">
        <v>0.15433727960585916</v>
      </c>
      <c r="BP28" s="17">
        <v>0.82229321427188318</v>
      </c>
      <c r="BQ28" s="17">
        <v>0.63830636071122338</v>
      </c>
      <c r="BR28" s="17">
        <v>0.14888541111951939</v>
      </c>
      <c r="BS28" s="17">
        <v>0.14436759895429774</v>
      </c>
      <c r="BT28" s="17">
        <v>0.19332992807278154</v>
      </c>
      <c r="BU28" s="17">
        <v>0.42525219873110504</v>
      </c>
      <c r="BV28" s="17">
        <v>0.46042143663027241</v>
      </c>
      <c r="BW28" s="17">
        <v>0.16288492225327855</v>
      </c>
      <c r="BX28" s="17">
        <v>0.35432913158916274</v>
      </c>
      <c r="BY28" s="17">
        <v>0.19983763405796259</v>
      </c>
      <c r="BZ28" s="17">
        <v>0.35996159099089681</v>
      </c>
      <c r="CA28" s="17">
        <v>0.47176881458117637</v>
      </c>
      <c r="CB28" s="17">
        <v>0.27303611608025252</v>
      </c>
      <c r="CC28" s="17">
        <v>0.54132506645931433</v>
      </c>
      <c r="CD28" s="17">
        <v>0.5658758015468246</v>
      </c>
      <c r="CE28" s="17">
        <v>1.3529521414469494</v>
      </c>
      <c r="CF28" s="17">
        <v>0.39946677656450474</v>
      </c>
      <c r="CG28" s="17">
        <v>0.28192974888962968</v>
      </c>
      <c r="CH28" s="17">
        <v>0.27415153187273483</v>
      </c>
      <c r="CI28" s="17">
        <v>0.50323631251975975</v>
      </c>
      <c r="CJ28" s="17">
        <v>0.15329564820754712</v>
      </c>
      <c r="CK28" s="17">
        <v>0.21090138988190688</v>
      </c>
      <c r="CL28" s="17">
        <v>0.20408207714845708</v>
      </c>
      <c r="CM28" s="17">
        <v>0.38835601385548579</v>
      </c>
      <c r="CN28" s="17">
        <v>0.51716183997052967</v>
      </c>
      <c r="CO28" s="17">
        <v>0.45771553856672031</v>
      </c>
      <c r="CP28" s="17">
        <v>0.25453491543804052</v>
      </c>
      <c r="CQ28" s="17">
        <v>0.49869970477047482</v>
      </c>
      <c r="CR28" s="17">
        <v>0.26141639862959992</v>
      </c>
      <c r="CS28" s="17">
        <v>0.51548545596104034</v>
      </c>
      <c r="CT28" s="17">
        <v>0.65969856962677653</v>
      </c>
      <c r="CU28" s="17">
        <v>0.8083098992064891</v>
      </c>
      <c r="CV28" s="17">
        <v>0.35042071421968951</v>
      </c>
      <c r="CW28" s="17">
        <v>0.2681373681213573</v>
      </c>
      <c r="CX28" s="17">
        <v>0.77553307987163878</v>
      </c>
      <c r="CY28" s="17">
        <v>0.33282476234235647</v>
      </c>
      <c r="CZ28" s="17">
        <v>0.23903451056442709</v>
      </c>
      <c r="DA28" s="17">
        <v>0.27597201972378638</v>
      </c>
      <c r="DB28" s="17">
        <v>0.37260220604867633</v>
      </c>
      <c r="DC28" s="17">
        <v>0.12753602352033871</v>
      </c>
      <c r="DD28" s="17">
        <v>0.26651140055774336</v>
      </c>
      <c r="DE28" s="17">
        <v>0.31833201128153155</v>
      </c>
      <c r="DF28" s="17">
        <v>0.36702975705191287</v>
      </c>
      <c r="DG28" s="17">
        <v>0.1151810035387543</v>
      </c>
      <c r="DH28" s="17">
        <v>0.6315140977844772</v>
      </c>
      <c r="DI28" s="17">
        <v>0.46275117850864195</v>
      </c>
      <c r="DJ28" s="17">
        <v>0.22793067200896414</v>
      </c>
      <c r="DK28" s="17">
        <v>0.4041526417702464</v>
      </c>
      <c r="DL28" s="17">
        <v>0.31968759708866368</v>
      </c>
      <c r="DM28" s="17">
        <v>0.41684870433473198</v>
      </c>
      <c r="DN28" s="17">
        <v>0.13428044695970956</v>
      </c>
      <c r="DO28" s="17">
        <v>0.25047102670819504</v>
      </c>
      <c r="DP28" s="17">
        <v>0.498155071892392</v>
      </c>
      <c r="DQ28" s="17">
        <v>0.22406799459549603</v>
      </c>
      <c r="DR28" s="17">
        <v>0.14565704816379241</v>
      </c>
      <c r="DS28" s="17">
        <v>0.74451388490009407</v>
      </c>
      <c r="DT28" s="17">
        <v>0.21222979396300626</v>
      </c>
      <c r="DU28" s="17">
        <v>0.59424883686428542</v>
      </c>
      <c r="DV28" s="17">
        <v>0.37053631521507957</v>
      </c>
      <c r="DW28" s="17">
        <v>0.38436427613697099</v>
      </c>
      <c r="DX28" s="17">
        <v>0.2880300530426409</v>
      </c>
      <c r="DY28" s="17">
        <v>0.28755487800753693</v>
      </c>
      <c r="DZ28" s="17">
        <v>0.30863715534889891</v>
      </c>
      <c r="EA28" s="17">
        <v>0.26300123183302709</v>
      </c>
      <c r="EB28" s="17">
        <v>0.32557360795871648</v>
      </c>
      <c r="EC28" s="17">
        <v>0.20806766722482634</v>
      </c>
      <c r="ED28" s="17">
        <v>0.33230612723950215</v>
      </c>
      <c r="EE28" s="17">
        <v>0.61543016195697897</v>
      </c>
      <c r="EF28" s="17">
        <v>0.23489330018975588</v>
      </c>
      <c r="EG28" s="17">
        <v>0.33714185753622911</v>
      </c>
      <c r="EH28" s="17">
        <v>0.95505591323655215</v>
      </c>
      <c r="EI28" s="17">
        <v>0.47972192843212824</v>
      </c>
      <c r="EJ28" s="17">
        <v>0.73922614782493223</v>
      </c>
      <c r="EK28" s="17">
        <v>0.23056887783381166</v>
      </c>
      <c r="EL28" s="17">
        <v>0.311365063497971</v>
      </c>
      <c r="EM28" s="17">
        <v>0.29996743415140575</v>
      </c>
      <c r="EN28" s="17">
        <v>0.23174495345703128</v>
      </c>
      <c r="EO28" s="17">
        <v>0.1794476211202321</v>
      </c>
      <c r="EP28" s="17">
        <v>0.78326798142853638</v>
      </c>
      <c r="EQ28" s="17">
        <v>0.14636878919761193</v>
      </c>
      <c r="ER28" s="17">
        <v>0.19477120454740662</v>
      </c>
      <c r="ES28" s="17">
        <v>0.27565413562948199</v>
      </c>
      <c r="ET28" s="17">
        <v>0.57002738913902062</v>
      </c>
      <c r="EU28" s="17">
        <v>0.33652850989358751</v>
      </c>
      <c r="EV28" s="17">
        <v>0.37545015232839551</v>
      </c>
      <c r="EW28" s="17">
        <v>0.63440466981771582</v>
      </c>
      <c r="EX28" s="90">
        <v>0.31833201128153155</v>
      </c>
      <c r="EY28" s="14">
        <v>2025</v>
      </c>
      <c r="EZ28" s="14" t="s">
        <v>873</v>
      </c>
      <c r="FA28" s="48" t="s">
        <v>1007</v>
      </c>
      <c r="FB28" s="9" t="s">
        <v>929</v>
      </c>
    </row>
    <row r="29" spans="2:158" ht="15" customHeight="1" x14ac:dyDescent="0.35">
      <c r="B29" s="22" t="s">
        <v>858</v>
      </c>
      <c r="C29" s="95" t="s">
        <v>926</v>
      </c>
      <c r="D29" s="9" t="s">
        <v>927</v>
      </c>
      <c r="E29" s="36">
        <v>1.0196982677088122</v>
      </c>
      <c r="F29" s="36">
        <v>0.61653521448242832</v>
      </c>
      <c r="G29" s="36">
        <v>0.80856946040476274</v>
      </c>
      <c r="H29" s="36">
        <v>1.1091899491686941</v>
      </c>
      <c r="I29" s="36">
        <v>0.99658719314433963</v>
      </c>
      <c r="J29" s="36">
        <v>0.84976761110955945</v>
      </c>
      <c r="K29" s="36">
        <v>0.81234050166845462</v>
      </c>
      <c r="L29" s="36">
        <v>0.49990906618557701</v>
      </c>
      <c r="M29" s="36">
        <v>0.31797116104088174</v>
      </c>
      <c r="N29" s="36">
        <v>0.87704368580032843</v>
      </c>
      <c r="O29" s="36">
        <v>1.1533717675543647</v>
      </c>
      <c r="P29" s="36">
        <v>0.53642684232781179</v>
      </c>
      <c r="Q29" s="36">
        <v>0.73181787452887292</v>
      </c>
      <c r="R29" s="36">
        <v>0.75336114734838411</v>
      </c>
      <c r="S29" s="36">
        <v>1.7550147112322785</v>
      </c>
      <c r="T29" s="36">
        <v>0.47468608076463137</v>
      </c>
      <c r="U29" s="36">
        <v>0.61958646915423599</v>
      </c>
      <c r="V29" s="36">
        <v>1.1681604186887982</v>
      </c>
      <c r="W29" s="36">
        <v>0.79585785624446892</v>
      </c>
      <c r="X29" s="36">
        <v>0.62191043829327208</v>
      </c>
      <c r="Y29" s="36">
        <v>1.0641477808208326</v>
      </c>
      <c r="Z29" s="36">
        <v>0.51779411167956291</v>
      </c>
      <c r="AA29" s="36">
        <v>1.3488811498106335</v>
      </c>
      <c r="AB29" s="36">
        <v>0.18746750482807301</v>
      </c>
      <c r="AC29" s="36">
        <v>0.51335212397733843</v>
      </c>
      <c r="AD29" s="36">
        <v>0.68378645435035112</v>
      </c>
      <c r="AE29" s="36">
        <v>0.48667658349380749</v>
      </c>
      <c r="AF29" s="36">
        <v>0.57796168942861847</v>
      </c>
      <c r="AG29" s="36">
        <v>0.99574719831616887</v>
      </c>
      <c r="AH29" s="36">
        <v>0.30383135682174428</v>
      </c>
      <c r="AI29" s="36">
        <v>0.43275136574421741</v>
      </c>
      <c r="AJ29" s="36">
        <v>0.48186387505701717</v>
      </c>
      <c r="AK29" s="36">
        <v>0.70692959168753322</v>
      </c>
      <c r="AL29" s="36">
        <v>0.66171656811824719</v>
      </c>
      <c r="AM29" s="36">
        <v>0.84944440768365415</v>
      </c>
      <c r="AN29" s="36">
        <v>0.512385504538592</v>
      </c>
      <c r="AO29" s="36">
        <v>0.66039605370141374</v>
      </c>
      <c r="AP29" s="36">
        <v>1.829699651968216</v>
      </c>
      <c r="AQ29" s="36">
        <v>0.78925772147905882</v>
      </c>
      <c r="AR29" s="36">
        <v>2.1629234085465385</v>
      </c>
      <c r="AS29" s="36">
        <v>0.48646992489241453</v>
      </c>
      <c r="AT29" s="36">
        <v>0.97033976280565448</v>
      </c>
      <c r="AU29" s="36">
        <v>0.50329643617153463</v>
      </c>
      <c r="AV29" s="36">
        <v>0.51059979183535931</v>
      </c>
      <c r="AW29" s="36">
        <v>0.94990658483759016</v>
      </c>
      <c r="AX29" s="36">
        <v>0.51579780786542295</v>
      </c>
      <c r="AY29" s="36">
        <v>0.77042070184487466</v>
      </c>
      <c r="AZ29" s="36">
        <v>0.86231376464723675</v>
      </c>
      <c r="BA29" s="36">
        <v>0.64154546298673154</v>
      </c>
      <c r="BB29" s="36">
        <v>0.774383318169788</v>
      </c>
      <c r="BC29" s="36">
        <v>0.51418087891427222</v>
      </c>
      <c r="BD29" s="36">
        <v>0.79877857769819594</v>
      </c>
      <c r="BE29" s="36">
        <v>0.3857984695226222</v>
      </c>
      <c r="BF29" s="36">
        <v>0.51948225089177003</v>
      </c>
      <c r="BG29" s="36">
        <v>0.60501020887194834</v>
      </c>
      <c r="BH29" s="36">
        <v>0.42193725872347199</v>
      </c>
      <c r="BI29" s="36">
        <v>1.0163353774973716</v>
      </c>
      <c r="BJ29" s="36">
        <v>0.87619771581294781</v>
      </c>
      <c r="BK29" s="36">
        <v>0.55547002548301627</v>
      </c>
      <c r="BL29" s="36">
        <v>0.77151705544266669</v>
      </c>
      <c r="BM29" s="36">
        <v>0.29114142137670312</v>
      </c>
      <c r="BN29" s="36">
        <v>0.48253252061266383</v>
      </c>
      <c r="BO29" s="36">
        <v>0.43947992303162259</v>
      </c>
      <c r="BP29" s="36">
        <v>2.7093307748666668</v>
      </c>
      <c r="BQ29" s="36">
        <v>1.7115777328612296</v>
      </c>
      <c r="BR29" s="36">
        <v>0.32082912805535413</v>
      </c>
      <c r="BS29" s="36">
        <v>0.40687075142095802</v>
      </c>
      <c r="BT29" s="36">
        <v>0.54956739549054701</v>
      </c>
      <c r="BU29" s="36">
        <v>1.1625145353875537</v>
      </c>
      <c r="BV29" s="36">
        <v>1.2492481175737811</v>
      </c>
      <c r="BW29" s="36">
        <v>0.76878069315938236</v>
      </c>
      <c r="BX29" s="36">
        <v>0.84884983548380233</v>
      </c>
      <c r="BY29" s="36">
        <v>0.46450755458661908</v>
      </c>
      <c r="BZ29" s="36">
        <v>0.37117490922266699</v>
      </c>
      <c r="CA29" s="36">
        <v>0.87617454573129883</v>
      </c>
      <c r="CB29" s="36">
        <v>0.46210738115333116</v>
      </c>
      <c r="CC29" s="36">
        <v>2.2156826359671591</v>
      </c>
      <c r="CD29" s="36">
        <v>1.4332692655737287</v>
      </c>
      <c r="CE29" s="36">
        <v>0.33757097944714837</v>
      </c>
      <c r="CF29" s="36">
        <v>1.0489853599017505</v>
      </c>
      <c r="CG29" s="36">
        <v>0.48681258546872108</v>
      </c>
      <c r="CH29" s="36">
        <v>0.61625523446643893</v>
      </c>
      <c r="CI29" s="36">
        <v>0.89166068974485024</v>
      </c>
      <c r="CJ29" s="36">
        <v>0.51027441092497905</v>
      </c>
      <c r="CK29" s="36">
        <v>0.55389618670809393</v>
      </c>
      <c r="CL29" s="36">
        <v>0.74235216861896602</v>
      </c>
      <c r="CM29" s="36">
        <v>0.76548318992475561</v>
      </c>
      <c r="CN29" s="36">
        <v>1.508853210052195</v>
      </c>
      <c r="CO29" s="36">
        <v>0.85769845272609113</v>
      </c>
      <c r="CP29" s="36">
        <v>0.82588293166320703</v>
      </c>
      <c r="CQ29" s="36">
        <v>1.2956300888024483</v>
      </c>
      <c r="CR29" s="36">
        <v>0.54686595793107429</v>
      </c>
      <c r="CS29" s="36">
        <v>0.50605422826434332</v>
      </c>
      <c r="CT29" s="36">
        <v>0.51805708970464182</v>
      </c>
      <c r="CU29" s="36">
        <v>2.9741907297866694</v>
      </c>
      <c r="CV29" s="36">
        <v>0.72581110073757527</v>
      </c>
      <c r="CW29" s="36">
        <v>0.47313389652386528</v>
      </c>
      <c r="CX29" s="36">
        <v>0.49363563654760245</v>
      </c>
      <c r="CY29" s="36">
        <v>0.73567329354469124</v>
      </c>
      <c r="CZ29" s="36">
        <v>0.46558513973209331</v>
      </c>
      <c r="DA29" s="36">
        <v>0.66308086118066489</v>
      </c>
      <c r="DB29" s="36">
        <v>0.90651153013322983</v>
      </c>
      <c r="DC29" s="36">
        <v>0.78540434259693503</v>
      </c>
      <c r="DD29" s="36">
        <v>0.48941705829503901</v>
      </c>
      <c r="DE29" s="36">
        <v>0.79896266056598697</v>
      </c>
      <c r="DF29" s="36">
        <v>0.35628539469721393</v>
      </c>
      <c r="DG29" s="36">
        <v>0.40782084816697878</v>
      </c>
      <c r="DH29" s="36">
        <v>2.0199258336065293</v>
      </c>
      <c r="DI29" s="36">
        <v>1.3788457744177312</v>
      </c>
      <c r="DJ29" s="36">
        <v>0.14191428876506704</v>
      </c>
      <c r="DK29" s="36">
        <v>0.21251846520150691</v>
      </c>
      <c r="DL29" s="36">
        <v>0.70285314324460668</v>
      </c>
      <c r="DM29" s="36">
        <v>1.4576821476303772</v>
      </c>
      <c r="DN29" s="36">
        <v>0.60220853749351655</v>
      </c>
      <c r="DO29" s="36">
        <v>0.5346195049393434</v>
      </c>
      <c r="DP29" s="36">
        <v>1.1629383363089221</v>
      </c>
      <c r="DQ29" s="36">
        <v>0.53191317593089615</v>
      </c>
      <c r="DR29" s="36">
        <v>0.55980486368016436</v>
      </c>
      <c r="DS29" s="36">
        <v>1.0959755430289759</v>
      </c>
      <c r="DT29" s="36">
        <v>0.35852323631981348</v>
      </c>
      <c r="DU29" s="36">
        <v>0.59846753636648253</v>
      </c>
      <c r="DV29" s="36">
        <v>0.9578146558448084</v>
      </c>
      <c r="DW29" s="36">
        <v>0.29311878862391505</v>
      </c>
      <c r="DX29" s="36">
        <v>0.5347486174174223</v>
      </c>
      <c r="DY29" s="36">
        <v>0.63043709169758744</v>
      </c>
      <c r="DZ29" s="36">
        <v>0.66934141152404369</v>
      </c>
      <c r="EA29" s="36">
        <v>0.39805226065990601</v>
      </c>
      <c r="EB29" s="36">
        <v>0.67757055925016685</v>
      </c>
      <c r="EC29" s="36">
        <v>0.38065698162996126</v>
      </c>
      <c r="ED29" s="36">
        <v>0.80636795829906494</v>
      </c>
      <c r="EE29" s="36">
        <v>1.6055259738746377</v>
      </c>
      <c r="EF29" s="36">
        <v>0.31894607207518449</v>
      </c>
      <c r="EG29" s="36">
        <v>0.88064091131000111</v>
      </c>
      <c r="EH29" s="36">
        <v>0.87704223166613215</v>
      </c>
      <c r="EI29" s="36">
        <v>1.3653811344840232</v>
      </c>
      <c r="EJ29" s="36">
        <v>2.4842311901183822</v>
      </c>
      <c r="EK29" s="36">
        <v>1.3052430549021437</v>
      </c>
      <c r="EL29" s="36">
        <v>0.94418101578293523</v>
      </c>
      <c r="EM29" s="36">
        <v>0.41497863830748005</v>
      </c>
      <c r="EN29" s="36">
        <v>0.48450140630624616</v>
      </c>
      <c r="EO29" s="36">
        <v>0.40533237510787246</v>
      </c>
      <c r="EP29" s="36">
        <v>2.8820136502734917</v>
      </c>
      <c r="EQ29" s="36">
        <v>0.27962036142756064</v>
      </c>
      <c r="ER29" s="36">
        <v>1.4026131935803863</v>
      </c>
      <c r="ES29" s="36">
        <v>0.4891148698815892</v>
      </c>
      <c r="ET29" s="36">
        <v>1.140823962033324</v>
      </c>
      <c r="EU29" s="36">
        <v>0.56742577526262894</v>
      </c>
      <c r="EV29" s="36">
        <v>0.92241356487546711</v>
      </c>
      <c r="EW29" s="36">
        <v>1.8740990064280136</v>
      </c>
      <c r="EX29" s="82">
        <v>0.67757055925016685</v>
      </c>
      <c r="EY29" s="25">
        <v>2025</v>
      </c>
      <c r="EZ29" s="25" t="s">
        <v>873</v>
      </c>
      <c r="FA29" s="100" t="s">
        <v>1007</v>
      </c>
      <c r="FB29" s="55" t="s">
        <v>929</v>
      </c>
    </row>
    <row r="30" spans="2:158" ht="15" customHeight="1" x14ac:dyDescent="0.35">
      <c r="B30" s="18" t="s">
        <v>858</v>
      </c>
      <c r="C30" s="95" t="s">
        <v>930</v>
      </c>
      <c r="D30" s="9" t="s">
        <v>931</v>
      </c>
      <c r="E30" s="17">
        <v>1.9265158146743391</v>
      </c>
      <c r="F30" s="17">
        <v>1.1068439026553119</v>
      </c>
      <c r="G30" s="17">
        <v>1.4990069950462717</v>
      </c>
      <c r="H30" s="17">
        <v>2.0548498654522702</v>
      </c>
      <c r="I30" s="17">
        <v>1.821312662936458</v>
      </c>
      <c r="J30" s="17">
        <v>1.467146624582597</v>
      </c>
      <c r="K30" s="17">
        <v>1.4309896217278832</v>
      </c>
      <c r="L30" s="17">
        <v>0.88055822999233824</v>
      </c>
      <c r="M30" s="17">
        <v>0.50610413117994757</v>
      </c>
      <c r="N30" s="17">
        <v>1.46735671010562</v>
      </c>
      <c r="O30" s="17">
        <v>2.2858466903127925</v>
      </c>
      <c r="P30" s="17">
        <v>0.95533854222225023</v>
      </c>
      <c r="Q30" s="17">
        <v>1.3920134155100492</v>
      </c>
      <c r="R30" s="17">
        <v>1.3199554767741766</v>
      </c>
      <c r="S30" s="17">
        <v>3.5010731116630436</v>
      </c>
      <c r="T30" s="17">
        <v>0.79101129386671942</v>
      </c>
      <c r="U30" s="17">
        <v>1.0232156516771593</v>
      </c>
      <c r="V30" s="17">
        <v>2.3230899709205026</v>
      </c>
      <c r="W30" s="17">
        <v>1.2687609154593404</v>
      </c>
      <c r="X30" s="17">
        <v>1.1105383245098337</v>
      </c>
      <c r="Y30" s="17">
        <v>2.034774283135329</v>
      </c>
      <c r="Z30" s="17">
        <v>0.84765091914217161</v>
      </c>
      <c r="AA30" s="17">
        <v>2.6161157060768052</v>
      </c>
      <c r="AB30" s="17">
        <v>0.21770216609736756</v>
      </c>
      <c r="AC30" s="17">
        <v>0.84464835784735093</v>
      </c>
      <c r="AD30" s="17">
        <v>0.96005369883508851</v>
      </c>
      <c r="AE30" s="17">
        <v>0.8810550963183682</v>
      </c>
      <c r="AF30" s="17">
        <v>1.0875021154757119</v>
      </c>
      <c r="AG30" s="17">
        <v>1.8944788059905964</v>
      </c>
      <c r="AH30" s="17">
        <v>0.39607891763845854</v>
      </c>
      <c r="AI30" s="17">
        <v>0.76674836184255291</v>
      </c>
      <c r="AJ30" s="17">
        <v>0.78029333351272123</v>
      </c>
      <c r="AK30" s="17">
        <v>1.2502306827907217</v>
      </c>
      <c r="AL30" s="17">
        <v>1.1840824370802037</v>
      </c>
      <c r="AM30" s="17">
        <v>1.4219249886654726</v>
      </c>
      <c r="AN30" s="17">
        <v>0.90840320390512996</v>
      </c>
      <c r="AO30" s="17">
        <v>1.2347180908977549</v>
      </c>
      <c r="AP30" s="17">
        <v>3.718228738295335</v>
      </c>
      <c r="AQ30" s="17">
        <v>1.5356188422132508</v>
      </c>
      <c r="AR30" s="17">
        <v>4.4225137192083102</v>
      </c>
      <c r="AS30" s="17">
        <v>0.82116428094840999</v>
      </c>
      <c r="AT30" s="17">
        <v>1.6274172850830033</v>
      </c>
      <c r="AU30" s="17">
        <v>0.93899014576074968</v>
      </c>
      <c r="AV30" s="17">
        <v>0.9548299776326864</v>
      </c>
      <c r="AW30" s="17">
        <v>1.7656663217219617</v>
      </c>
      <c r="AX30" s="17">
        <v>0.90727819446986213</v>
      </c>
      <c r="AY30" s="17">
        <v>1.4948240999376003</v>
      </c>
      <c r="AZ30" s="17">
        <v>2.1138106899010731</v>
      </c>
      <c r="BA30" s="17">
        <v>1.1144422211613063</v>
      </c>
      <c r="BB30" s="17">
        <v>1.4330002054617761</v>
      </c>
      <c r="BC30" s="17">
        <v>0.91582577739286342</v>
      </c>
      <c r="BD30" s="17">
        <v>1.476539275792218</v>
      </c>
      <c r="BE30" s="17">
        <v>0.56924718879686687</v>
      </c>
      <c r="BF30" s="17">
        <v>0.8570062607338349</v>
      </c>
      <c r="BG30" s="17">
        <v>1.1182158077361017</v>
      </c>
      <c r="BH30" s="17">
        <v>0.4082546524675445</v>
      </c>
      <c r="BI30" s="17">
        <v>1.8831634224600919</v>
      </c>
      <c r="BJ30" s="17">
        <v>1.5524301341425188</v>
      </c>
      <c r="BK30" s="17">
        <v>0.94723588418883353</v>
      </c>
      <c r="BL30" s="17">
        <v>1.2839529617430885</v>
      </c>
      <c r="BM30" s="17">
        <v>0.40807705125598598</v>
      </c>
      <c r="BN30" s="17">
        <v>0.75274010940187708</v>
      </c>
      <c r="BO30" s="17">
        <v>0.70706951220399639</v>
      </c>
      <c r="BP30" s="17">
        <v>5.6074511232997324</v>
      </c>
      <c r="BQ30" s="17">
        <v>3.4084427810712423</v>
      </c>
      <c r="BR30" s="17">
        <v>0.52204812468546946</v>
      </c>
      <c r="BS30" s="17">
        <v>0.53035878503311962</v>
      </c>
      <c r="BT30" s="17">
        <v>0.98833954054821238</v>
      </c>
      <c r="BU30" s="17">
        <v>2.2540946092903997</v>
      </c>
      <c r="BV30" s="17">
        <v>2.4283375863823164</v>
      </c>
      <c r="BW30" s="17">
        <v>1.0626091894562102</v>
      </c>
      <c r="BX30" s="17">
        <v>1.5227477378363197</v>
      </c>
      <c r="BY30" s="17">
        <v>0.85756146685696588</v>
      </c>
      <c r="BZ30" s="17">
        <v>0.60242069833128054</v>
      </c>
      <c r="CA30" s="17">
        <v>1.4337086304569462</v>
      </c>
      <c r="CB30" s="17">
        <v>0.72827095111805018</v>
      </c>
      <c r="CC30" s="17">
        <v>1.3240640148226266</v>
      </c>
      <c r="CD30" s="17">
        <v>2.7966456032329892</v>
      </c>
      <c r="CE30" s="17">
        <v>0.477013336714949</v>
      </c>
      <c r="CF30" s="17">
        <v>2.0150677728133526</v>
      </c>
      <c r="CG30" s="17">
        <v>0.77973766499976582</v>
      </c>
      <c r="CH30" s="17">
        <v>1.1318736934091946</v>
      </c>
      <c r="CI30" s="17">
        <v>1.4181049720490411</v>
      </c>
      <c r="CJ30" s="17">
        <v>0.81223392721776522</v>
      </c>
      <c r="CK30" s="17">
        <v>0.94528138455924327</v>
      </c>
      <c r="CL30" s="17">
        <v>1.3759072819941796</v>
      </c>
      <c r="CM30" s="17">
        <v>1.3607933906031724</v>
      </c>
      <c r="CN30" s="17">
        <v>2.9954827023445301</v>
      </c>
      <c r="CO30" s="17">
        <v>1.4117248814302858</v>
      </c>
      <c r="CP30" s="17">
        <v>1.4345414681678441</v>
      </c>
      <c r="CQ30" s="17">
        <v>2.4600101536033376</v>
      </c>
      <c r="CR30" s="17">
        <v>0.96660342031202462</v>
      </c>
      <c r="CS30" s="17">
        <v>0.75929089032866848</v>
      </c>
      <c r="CT30" s="17">
        <v>0.79410750535425378</v>
      </c>
      <c r="CU30" s="17">
        <v>6.2385258450562544</v>
      </c>
      <c r="CV30" s="17">
        <v>1.2702179839441108</v>
      </c>
      <c r="CW30" s="17">
        <v>0.75819048693141178</v>
      </c>
      <c r="CX30" s="17">
        <v>0.6285068735018704</v>
      </c>
      <c r="CY30" s="17">
        <v>1.3293524375631036</v>
      </c>
      <c r="CZ30" s="17">
        <v>0.81568985357545332</v>
      </c>
      <c r="DA30" s="17">
        <v>1.265797124191314</v>
      </c>
      <c r="DB30" s="17">
        <v>1.687518711786852</v>
      </c>
      <c r="DC30" s="17">
        <v>1.4436801751513411</v>
      </c>
      <c r="DD30" s="17">
        <v>0.84196797505459453</v>
      </c>
      <c r="DE30" s="17">
        <v>1.5035138973855435</v>
      </c>
      <c r="DF30" s="17">
        <v>0.29672025028487031</v>
      </c>
      <c r="DG30" s="17">
        <v>0.71592242605445811</v>
      </c>
      <c r="DH30" s="17">
        <v>4.1338489118476192</v>
      </c>
      <c r="DI30" s="17">
        <v>2.7816118532197871</v>
      </c>
      <c r="DJ30" s="17">
        <v>0.24106056225775416</v>
      </c>
      <c r="DK30" s="17">
        <v>0.17901559449681026</v>
      </c>
      <c r="DL30" s="17">
        <v>1.2611543818053548</v>
      </c>
      <c r="DM30" s="17">
        <v>2.5382251755963843</v>
      </c>
      <c r="DN30" s="17">
        <v>0.9518447066656528</v>
      </c>
      <c r="DO30" s="17">
        <v>0.94687635599944953</v>
      </c>
      <c r="DP30" s="17">
        <v>2.2250167097299181</v>
      </c>
      <c r="DQ30" s="17">
        <v>0.84624353374744765</v>
      </c>
      <c r="DR30" s="17">
        <v>1.0271354299927853</v>
      </c>
      <c r="DS30" s="17">
        <v>1.7809515812831609</v>
      </c>
      <c r="DT30" s="17">
        <v>0.5650963347157566</v>
      </c>
      <c r="DU30" s="17">
        <v>0.96617661446955061</v>
      </c>
      <c r="DV30" s="17">
        <v>1.8405459912424071</v>
      </c>
      <c r="DW30" s="17">
        <v>0.34734019810659722</v>
      </c>
      <c r="DX30" s="17">
        <v>0.88369218336929278</v>
      </c>
      <c r="DY30" s="17">
        <v>1.133558685978564</v>
      </c>
      <c r="DZ30" s="17">
        <v>1.1890864871598004</v>
      </c>
      <c r="EA30" s="17">
        <v>0.64704457486076106</v>
      </c>
      <c r="EB30" s="17">
        <v>1.1792638184554567</v>
      </c>
      <c r="EC30" s="17">
        <v>0.68069514929160568</v>
      </c>
      <c r="ED30" s="17">
        <v>1.5007833600906755</v>
      </c>
      <c r="EE30" s="17">
        <v>3.0315524813626675</v>
      </c>
      <c r="EF30" s="17">
        <v>0.44356928959470054</v>
      </c>
      <c r="EG30" s="17">
        <v>1.6980991489155948</v>
      </c>
      <c r="EH30" s="17">
        <v>1.4474039058867205</v>
      </c>
      <c r="EI30" s="17">
        <v>2.6745826172584932</v>
      </c>
      <c r="EJ30" s="17">
        <v>5.1459271687641328</v>
      </c>
      <c r="EK30" s="17">
        <v>2.5510727279452796</v>
      </c>
      <c r="EL30" s="17">
        <v>1.411242524591777</v>
      </c>
      <c r="EM30" s="17">
        <v>0.4751686845879623</v>
      </c>
      <c r="EN30" s="17">
        <v>0.88423923710207619</v>
      </c>
      <c r="EO30" s="17">
        <v>0.73688199276550093</v>
      </c>
      <c r="EP30" s="17">
        <v>6.0500205792176134</v>
      </c>
      <c r="EQ30" s="17">
        <v>0.47016696171568806</v>
      </c>
      <c r="ER30" s="17">
        <v>2.8774260807294434</v>
      </c>
      <c r="ES30" s="17">
        <v>0.79010057299173508</v>
      </c>
      <c r="ET30" s="17">
        <v>1.5644296264033175</v>
      </c>
      <c r="EU30" s="17">
        <v>0.88713680260410788</v>
      </c>
      <c r="EV30" s="17">
        <v>1.7267907055246059</v>
      </c>
      <c r="EW30" s="17">
        <v>3.019613326661835</v>
      </c>
      <c r="EX30" s="90">
        <v>1.1890864871598004</v>
      </c>
      <c r="EY30" s="14">
        <v>2025</v>
      </c>
      <c r="EZ30" s="14" t="s">
        <v>873</v>
      </c>
      <c r="FA30" s="48" t="s">
        <v>1007</v>
      </c>
      <c r="FB30" s="9" t="s">
        <v>929</v>
      </c>
    </row>
    <row r="31" spans="2:158" ht="15" customHeight="1" x14ac:dyDescent="0.35">
      <c r="B31" s="18" t="s">
        <v>858</v>
      </c>
      <c r="C31" s="95">
        <v>111900</v>
      </c>
      <c r="D31" s="9" t="s">
        <v>932</v>
      </c>
      <c r="E31" s="17">
        <v>1.6924164897606533</v>
      </c>
      <c r="F31" s="17">
        <v>0.98236573613741418</v>
      </c>
      <c r="G31" s="17">
        <v>1.3339507340195167</v>
      </c>
      <c r="H31" s="17">
        <v>1.8404115261161336</v>
      </c>
      <c r="I31" s="17">
        <v>1.6578133561343942</v>
      </c>
      <c r="J31" s="17">
        <v>1.3659156159621668</v>
      </c>
      <c r="K31" s="17">
        <v>1.2787612738759202</v>
      </c>
      <c r="L31" s="17">
        <v>0.88796649328917387</v>
      </c>
      <c r="M31" s="17">
        <v>0.48619075234067993</v>
      </c>
      <c r="N31" s="17">
        <v>1.429109566621986</v>
      </c>
      <c r="O31" s="17">
        <v>1.9572848199811459</v>
      </c>
      <c r="P31" s="17">
        <v>0.86252235704123592</v>
      </c>
      <c r="Q31" s="17">
        <v>1.2066505389730287</v>
      </c>
      <c r="R31" s="17">
        <v>1.3170961722224752</v>
      </c>
      <c r="S31" s="17">
        <v>3.0307805793927853</v>
      </c>
      <c r="T31" s="17">
        <v>0.74253010745098025</v>
      </c>
      <c r="U31" s="17">
        <v>0.97111014952329444</v>
      </c>
      <c r="V31" s="17">
        <v>1.9822763010129214</v>
      </c>
      <c r="W31" s="17">
        <v>1.2246356162108771</v>
      </c>
      <c r="X31" s="17">
        <v>1.0047775571023663</v>
      </c>
      <c r="Y31" s="17">
        <v>1.7887821912165176</v>
      </c>
      <c r="Z31" s="17">
        <v>0.80559198608063065</v>
      </c>
      <c r="AA31" s="17">
        <v>2.4025814855134864</v>
      </c>
      <c r="AB31" s="17">
        <v>0.22214697372392453</v>
      </c>
      <c r="AC31" s="17">
        <v>0.81425521756566255</v>
      </c>
      <c r="AD31" s="17">
        <v>1.0609115183493425</v>
      </c>
      <c r="AE31" s="17">
        <v>0.78393256084281571</v>
      </c>
      <c r="AF31" s="17">
        <v>0.94956073524269713</v>
      </c>
      <c r="AG31" s="17">
        <v>1.665876553439346</v>
      </c>
      <c r="AH31" s="17">
        <v>0.43713810050924995</v>
      </c>
      <c r="AI31" s="17">
        <v>0.77021794233210283</v>
      </c>
      <c r="AJ31" s="17">
        <v>0.8697254043901097</v>
      </c>
      <c r="AK31" s="17">
        <v>1.2704715372794688</v>
      </c>
      <c r="AL31" s="17">
        <v>1.0989813305789775</v>
      </c>
      <c r="AM31" s="17">
        <v>1.3480827879519877</v>
      </c>
      <c r="AN31" s="17">
        <v>0.86032637572522397</v>
      </c>
      <c r="AO31" s="17">
        <v>1.0844445871575925</v>
      </c>
      <c r="AP31" s="17">
        <v>3.135041819181315</v>
      </c>
      <c r="AQ31" s="17">
        <v>1.3210086606210221</v>
      </c>
      <c r="AR31" s="17">
        <v>3.7118604921877396</v>
      </c>
      <c r="AS31" s="17">
        <v>0.79832157705075191</v>
      </c>
      <c r="AT31" s="17">
        <v>1.5789554042312062</v>
      </c>
      <c r="AU31" s="17">
        <v>0.82643605647374629</v>
      </c>
      <c r="AV31" s="17">
        <v>0.89307016469286005</v>
      </c>
      <c r="AW31" s="17">
        <v>1.5749061405321145</v>
      </c>
      <c r="AX31" s="17">
        <v>0.88764760368938234</v>
      </c>
      <c r="AY31" s="17">
        <v>1.2863393049098346</v>
      </c>
      <c r="AZ31" s="17">
        <v>1.5990702080146026</v>
      </c>
      <c r="BA31" s="17">
        <v>1.0272558646079484</v>
      </c>
      <c r="BB31" s="17">
        <v>1.273117342293355</v>
      </c>
      <c r="BC31" s="17">
        <v>0.82622297043009496</v>
      </c>
      <c r="BD31" s="17">
        <v>1.3141903626822697</v>
      </c>
      <c r="BE31" s="17">
        <v>0.54166045922259898</v>
      </c>
      <c r="BF31" s="17">
        <v>0.81110932515517353</v>
      </c>
      <c r="BG31" s="17">
        <v>0.98874222796204003</v>
      </c>
      <c r="BH31" s="17">
        <v>0.47566278807552298</v>
      </c>
      <c r="BI31" s="17">
        <v>1.6860804199603745</v>
      </c>
      <c r="BJ31" s="17">
        <v>1.4893625155219032</v>
      </c>
      <c r="BK31" s="17">
        <v>0.87056159216359408</v>
      </c>
      <c r="BL31" s="17">
        <v>1.2585989465114384</v>
      </c>
      <c r="BM31" s="17">
        <v>0.44376939629424245</v>
      </c>
      <c r="BN31" s="17">
        <v>0.76843055767457535</v>
      </c>
      <c r="BO31" s="17">
        <v>0.75568237202432664</v>
      </c>
      <c r="BP31" s="17">
        <v>4.6866376729051487</v>
      </c>
      <c r="BQ31" s="17">
        <v>2.8819034947228173</v>
      </c>
      <c r="BR31" s="17">
        <v>0.50696097766868431</v>
      </c>
      <c r="BS31" s="17">
        <v>0.572726928450774</v>
      </c>
      <c r="BT31" s="17">
        <v>0.95072831180273309</v>
      </c>
      <c r="BU31" s="17">
        <v>1.9651137689623126</v>
      </c>
      <c r="BV31" s="17">
        <v>2.11406793682375</v>
      </c>
      <c r="BW31" s="17">
        <v>1.1287928094056441</v>
      </c>
      <c r="BX31" s="17">
        <v>1.4787337449030951</v>
      </c>
      <c r="BY31" s="17">
        <v>0.75804637874720049</v>
      </c>
      <c r="BZ31" s="17">
        <v>0.56640334547617965</v>
      </c>
      <c r="CA31" s="17">
        <v>1.3788530087918764</v>
      </c>
      <c r="CB31" s="17">
        <v>0.70629073932885078</v>
      </c>
      <c r="CC31" s="17">
        <v>0.54408768666618113</v>
      </c>
      <c r="CD31" s="17">
        <v>2.4115396448911421</v>
      </c>
      <c r="CE31" s="17">
        <v>0.47036121264375763</v>
      </c>
      <c r="CF31" s="17">
        <v>1.7613771032200964</v>
      </c>
      <c r="CG31" s="17">
        <v>0.74898320454510781</v>
      </c>
      <c r="CH31" s="17">
        <v>1.0039972986790286</v>
      </c>
      <c r="CI31" s="17">
        <v>1.3872575441228894</v>
      </c>
      <c r="CJ31" s="17">
        <v>0.79466375735388017</v>
      </c>
      <c r="CK31" s="17">
        <v>0.90071963870211535</v>
      </c>
      <c r="CL31" s="17">
        <v>1.3033344751293952</v>
      </c>
      <c r="CM31" s="17">
        <v>1.2771986604006675</v>
      </c>
      <c r="CN31" s="17">
        <v>2.583112836126952</v>
      </c>
      <c r="CO31" s="17">
        <v>1.3523676894072949</v>
      </c>
      <c r="CP31" s="17">
        <v>1.4241165645216451</v>
      </c>
      <c r="CQ31" s="17">
        <v>2.1829958635584172</v>
      </c>
      <c r="CR31" s="17">
        <v>0.877867945774785</v>
      </c>
      <c r="CS31" s="17">
        <v>0.7666603244847473</v>
      </c>
      <c r="CT31" s="17">
        <v>0.77377915023989952</v>
      </c>
      <c r="CU31" s="17">
        <v>5.263245605025431</v>
      </c>
      <c r="CV31" s="17">
        <v>1.1675016427663816</v>
      </c>
      <c r="CW31" s="17">
        <v>0.7296236015021379</v>
      </c>
      <c r="CX31" s="17">
        <v>0.65527248857882758</v>
      </c>
      <c r="CY31" s="17">
        <v>1.1978023563219202</v>
      </c>
      <c r="CZ31" s="17">
        <v>0.73767171235214024</v>
      </c>
      <c r="DA31" s="17">
        <v>1.0917927740951556</v>
      </c>
      <c r="DB31" s="17">
        <v>1.5022272775244576</v>
      </c>
      <c r="DC31" s="17">
        <v>1.4303239911827879</v>
      </c>
      <c r="DD31" s="17">
        <v>0.82278215880350669</v>
      </c>
      <c r="DE31" s="17">
        <v>1.3265312967729914</v>
      </c>
      <c r="DF31" s="17">
        <v>0.4310935445676235</v>
      </c>
      <c r="DG31" s="17">
        <v>0.70130462175328767</v>
      </c>
      <c r="DH31" s="17">
        <v>3.4938218362503153</v>
      </c>
      <c r="DI31" s="17">
        <v>2.3439643858955383</v>
      </c>
      <c r="DJ31" s="17">
        <v>0.24101844288688185</v>
      </c>
      <c r="DK31" s="17">
        <v>0.25116369767594621</v>
      </c>
      <c r="DL31" s="17">
        <v>1.1416216061458559</v>
      </c>
      <c r="DM31" s="17">
        <v>2.481550229498779</v>
      </c>
      <c r="DN31" s="17">
        <v>0.96335913854951094</v>
      </c>
      <c r="DO31" s="17">
        <v>0.86029221613075835</v>
      </c>
      <c r="DP31" s="17">
        <v>1.9254248277070432</v>
      </c>
      <c r="DQ31" s="17">
        <v>0.88186474383971625</v>
      </c>
      <c r="DR31" s="17">
        <v>0.95218916949864996</v>
      </c>
      <c r="DS31" s="17">
        <v>1.8684997251794491</v>
      </c>
      <c r="DT31" s="17">
        <v>0.54612484860517563</v>
      </c>
      <c r="DU31" s="17">
        <v>1.005325098667861</v>
      </c>
      <c r="DV31" s="17">
        <v>1.6021389103816328</v>
      </c>
      <c r="DW31" s="17">
        <v>0.34946114451141397</v>
      </c>
      <c r="DX31" s="17">
        <v>0.83631435232409446</v>
      </c>
      <c r="DY31" s="17">
        <v>1.0221518224908532</v>
      </c>
      <c r="DZ31" s="17">
        <v>1.0829948612044566</v>
      </c>
      <c r="EA31" s="17">
        <v>0.66982512394563121</v>
      </c>
      <c r="EB31" s="17">
        <v>1.075701868014191</v>
      </c>
      <c r="EC31" s="17">
        <v>0.63713078462858708</v>
      </c>
      <c r="ED31" s="17">
        <v>1.3328891862486794</v>
      </c>
      <c r="EE31" s="17">
        <v>2.718274828524216</v>
      </c>
      <c r="EF31" s="17">
        <v>0.45761783687816115</v>
      </c>
      <c r="EG31" s="17">
        <v>1.4723937504613411</v>
      </c>
      <c r="EH31" s="17">
        <v>1.4048980956034727</v>
      </c>
      <c r="EI31" s="17">
        <v>2.3267981514651006</v>
      </c>
      <c r="EJ31" s="17">
        <v>4.3269502078886122</v>
      </c>
      <c r="EK31" s="17">
        <v>2.3211131157407614</v>
      </c>
      <c r="EL31" s="17">
        <v>1.4716853419779845</v>
      </c>
      <c r="EM31" s="17">
        <v>0.48137805102717995</v>
      </c>
      <c r="EN31" s="17">
        <v>0.77844313985159996</v>
      </c>
      <c r="EO31" s="17">
        <v>0.65729115977513342</v>
      </c>
      <c r="EP31" s="17">
        <v>5.0759682818391756</v>
      </c>
      <c r="EQ31" s="17">
        <v>0.43744569113517112</v>
      </c>
      <c r="ER31" s="17">
        <v>2.2563305755186391</v>
      </c>
      <c r="ES31" s="17">
        <v>0.75638905185881566</v>
      </c>
      <c r="ET31" s="17">
        <v>1.5818857481291737</v>
      </c>
      <c r="EU31" s="17">
        <v>0.86805650242421595</v>
      </c>
      <c r="EV31" s="17">
        <v>1.5315560555203687</v>
      </c>
      <c r="EW31" s="17">
        <v>2.9354222604257147</v>
      </c>
      <c r="EX31" s="90">
        <v>1.0844445871575925</v>
      </c>
      <c r="EY31" s="14">
        <v>2025</v>
      </c>
      <c r="EZ31" s="14" t="s">
        <v>873</v>
      </c>
      <c r="FA31" s="48" t="s">
        <v>1007</v>
      </c>
      <c r="FB31" s="9" t="s">
        <v>929</v>
      </c>
    </row>
    <row r="32" spans="2:158" ht="15" customHeight="1" x14ac:dyDescent="0.35">
      <c r="B32" s="18" t="s">
        <v>858</v>
      </c>
      <c r="C32" s="95">
        <v>112120</v>
      </c>
      <c r="D32" s="9" t="s">
        <v>933</v>
      </c>
      <c r="E32" s="17">
        <v>1.4339233836255008</v>
      </c>
      <c r="F32" s="17">
        <v>0.8368627407450987</v>
      </c>
      <c r="G32" s="17">
        <v>1.1096490520485913</v>
      </c>
      <c r="H32" s="17">
        <v>1.5181267933661275</v>
      </c>
      <c r="I32" s="17">
        <v>1.8144299664317871</v>
      </c>
      <c r="J32" s="17">
        <v>1.0782707725005261</v>
      </c>
      <c r="K32" s="17">
        <v>1.4121787264177692</v>
      </c>
      <c r="L32" s="17">
        <v>0.85038622777215134</v>
      </c>
      <c r="M32" s="17">
        <v>0.37535016294050993</v>
      </c>
      <c r="N32" s="17">
        <v>1.4212859917746568</v>
      </c>
      <c r="O32" s="17">
        <v>1.7033147578038157</v>
      </c>
      <c r="P32" s="17">
        <v>0.71171610732570911</v>
      </c>
      <c r="Q32" s="17">
        <v>1.0468969000163149</v>
      </c>
      <c r="R32" s="17">
        <v>1.2950845594433034</v>
      </c>
      <c r="S32" s="17">
        <v>2.582285527844336</v>
      </c>
      <c r="T32" s="17">
        <v>0.58592200796777261</v>
      </c>
      <c r="U32" s="17">
        <v>0.75333769725097266</v>
      </c>
      <c r="V32" s="17">
        <v>1.7348696909337571</v>
      </c>
      <c r="W32" s="17">
        <v>1.2020661547847025</v>
      </c>
      <c r="X32" s="17">
        <v>0.82400165245766621</v>
      </c>
      <c r="Y32" s="17">
        <v>1.5021146388899052</v>
      </c>
      <c r="Z32" s="17">
        <v>0.62583289846376167</v>
      </c>
      <c r="AA32" s="17">
        <v>2.5479775831428371</v>
      </c>
      <c r="AB32" s="17">
        <v>0.20182476762331006</v>
      </c>
      <c r="AC32" s="17">
        <v>0.74660391964209849</v>
      </c>
      <c r="AD32" s="17">
        <v>0.82129877436632548</v>
      </c>
      <c r="AE32" s="17">
        <v>0.66152172104242279</v>
      </c>
      <c r="AF32" s="17">
        <v>0.81651022991731437</v>
      </c>
      <c r="AG32" s="17">
        <v>1.4017520180976519</v>
      </c>
      <c r="AH32" s="17">
        <v>0.38793093045612453</v>
      </c>
      <c r="AI32" s="17">
        <v>0.68781542873610457</v>
      </c>
      <c r="AJ32" s="17">
        <v>0.83806941994803752</v>
      </c>
      <c r="AK32" s="17">
        <v>1.224088599035396</v>
      </c>
      <c r="AL32" s="17">
        <v>1.1249906528974305</v>
      </c>
      <c r="AM32" s="17">
        <v>1.0443282128918552</v>
      </c>
      <c r="AN32" s="17">
        <v>0.90497316841688791</v>
      </c>
      <c r="AO32" s="17">
        <v>0.92344884762137236</v>
      </c>
      <c r="AP32" s="17">
        <v>2.7817231691662547</v>
      </c>
      <c r="AQ32" s="17">
        <v>1.1508648105976014</v>
      </c>
      <c r="AR32" s="17">
        <v>3.3149826442530954</v>
      </c>
      <c r="AS32" s="17">
        <v>0.77015605557885514</v>
      </c>
      <c r="AT32" s="17">
        <v>1.6679251713990724</v>
      </c>
      <c r="AU32" s="17">
        <v>0.70212014305752624</v>
      </c>
      <c r="AV32" s="17">
        <v>0.91621240350480937</v>
      </c>
      <c r="AW32" s="17">
        <v>1.3032195421895993</v>
      </c>
      <c r="AX32" s="17">
        <v>0.87152082174344236</v>
      </c>
      <c r="AY32" s="17">
        <v>1.1216832806249013</v>
      </c>
      <c r="AZ32" s="17">
        <v>2.9528359373927651</v>
      </c>
      <c r="BA32" s="17">
        <v>0.82269846042034811</v>
      </c>
      <c r="BB32" s="17">
        <v>1.0639443993908508</v>
      </c>
      <c r="BC32" s="17">
        <v>0.68287010083800781</v>
      </c>
      <c r="BD32" s="17">
        <v>1.0948065829138081</v>
      </c>
      <c r="BE32" s="17">
        <v>0.52471872478461223</v>
      </c>
      <c r="BF32" s="17">
        <v>0.63270278395695845</v>
      </c>
      <c r="BG32" s="17">
        <v>0.83534546597253856</v>
      </c>
      <c r="BH32" s="17">
        <v>0.3243084261851033</v>
      </c>
      <c r="BI32" s="17">
        <v>1.3880857175257353</v>
      </c>
      <c r="BJ32" s="17">
        <v>1.5231856624075002</v>
      </c>
      <c r="BK32" s="17">
        <v>0.71000016726285975</v>
      </c>
      <c r="BL32" s="17">
        <v>1.2239043234077365</v>
      </c>
      <c r="BM32" s="17">
        <v>0.34332800683653902</v>
      </c>
      <c r="BN32" s="17">
        <v>0.95902523228730407</v>
      </c>
      <c r="BO32" s="17">
        <v>0.72532417527256821</v>
      </c>
      <c r="BP32" s="17">
        <v>4.1957007578596865</v>
      </c>
      <c r="BQ32" s="17">
        <v>2.5697943883796013</v>
      </c>
      <c r="BR32" s="17">
        <v>0.48666507822177413</v>
      </c>
      <c r="BS32" s="17">
        <v>0.65218378383881681</v>
      </c>
      <c r="BT32" s="17">
        <v>0.95246227096443126</v>
      </c>
      <c r="BU32" s="17">
        <v>1.6672386866574813</v>
      </c>
      <c r="BV32" s="17">
        <v>1.797930479455971</v>
      </c>
      <c r="BW32" s="17">
        <v>1.0120636661456328</v>
      </c>
      <c r="BX32" s="17">
        <v>1.4866368442345315</v>
      </c>
      <c r="BY32" s="17">
        <v>0.64193977756271359</v>
      </c>
      <c r="BZ32" s="17">
        <v>0.540469952144088</v>
      </c>
      <c r="CA32" s="17">
        <v>1.0517336379498212</v>
      </c>
      <c r="CB32" s="17">
        <v>0.53760636392308248</v>
      </c>
      <c r="CC32" s="17">
        <v>1.2841148076556748</v>
      </c>
      <c r="CD32" s="17">
        <v>2.0895347451772861</v>
      </c>
      <c r="CE32" s="17">
        <v>0.46367317649701162</v>
      </c>
      <c r="CF32" s="17">
        <v>1.4931161343656423</v>
      </c>
      <c r="CG32" s="17">
        <v>0.57646331197758327</v>
      </c>
      <c r="CH32" s="17">
        <v>0.84543150665904465</v>
      </c>
      <c r="CI32" s="17">
        <v>1.0399426544446984</v>
      </c>
      <c r="CJ32" s="17">
        <v>0.7286890868453666</v>
      </c>
      <c r="CK32" s="17">
        <v>0.92820289430239089</v>
      </c>
      <c r="CL32" s="17">
        <v>1.4513088848260205</v>
      </c>
      <c r="CM32" s="17">
        <v>1.3278361271323393</v>
      </c>
      <c r="CN32" s="17">
        <v>2.2173486347415001</v>
      </c>
      <c r="CO32" s="17">
        <v>1.0357986217368689</v>
      </c>
      <c r="CP32" s="17">
        <v>1.3608895747010301</v>
      </c>
      <c r="CQ32" s="17">
        <v>1.8121705007429001</v>
      </c>
      <c r="CR32" s="17">
        <v>0.71829619974458758</v>
      </c>
      <c r="CS32" s="17">
        <v>0.69858041733052978</v>
      </c>
      <c r="CT32" s="17">
        <v>0.84882809317114105</v>
      </c>
      <c r="CU32" s="17">
        <v>4.6125653121148646</v>
      </c>
      <c r="CV32" s="17">
        <v>0.93770917424419575</v>
      </c>
      <c r="CW32" s="17">
        <v>0.55861272272145956</v>
      </c>
      <c r="CX32" s="17">
        <v>0.59019814350195621</v>
      </c>
      <c r="CY32" s="17">
        <v>0.98477550933094637</v>
      </c>
      <c r="CZ32" s="17">
        <v>0.6124835785114412</v>
      </c>
      <c r="DA32" s="17">
        <v>0.95629700945134355</v>
      </c>
      <c r="DB32" s="17">
        <v>1.2465541267342903</v>
      </c>
      <c r="DC32" s="17">
        <v>1.424828162467894</v>
      </c>
      <c r="DD32" s="17">
        <v>0.78436084281189711</v>
      </c>
      <c r="DE32" s="17">
        <v>1.1140639403267478</v>
      </c>
      <c r="DF32" s="17">
        <v>0.21305292975248824</v>
      </c>
      <c r="DG32" s="17">
        <v>0.68561624662126586</v>
      </c>
      <c r="DH32" s="17">
        <v>3.0747511490703379</v>
      </c>
      <c r="DI32" s="17">
        <v>2.0935008745256147</v>
      </c>
      <c r="DJ32" s="17">
        <v>0.22658736218640588</v>
      </c>
      <c r="DK32" s="17">
        <v>0.16533956597183436</v>
      </c>
      <c r="DL32" s="17">
        <v>0.93278784731348463</v>
      </c>
      <c r="DM32" s="17">
        <v>2.5081882309467192</v>
      </c>
      <c r="DN32" s="17">
        <v>0.9470654711071671</v>
      </c>
      <c r="DO32" s="17">
        <v>0.70234851328962788</v>
      </c>
      <c r="DP32" s="17">
        <v>1.6713895585248257</v>
      </c>
      <c r="DQ32" s="17">
        <v>0.86165330689365416</v>
      </c>
      <c r="DR32" s="17">
        <v>1.0449076774357087</v>
      </c>
      <c r="DS32" s="17">
        <v>1.8193334556273117</v>
      </c>
      <c r="DT32" s="17">
        <v>0.41864617625681916</v>
      </c>
      <c r="DU32" s="17">
        <v>0.96670370623982327</v>
      </c>
      <c r="DV32" s="17">
        <v>1.3693441969510665</v>
      </c>
      <c r="DW32" s="17">
        <v>0.34773706438725399</v>
      </c>
      <c r="DX32" s="17">
        <v>0.65175204540677534</v>
      </c>
      <c r="DY32" s="17">
        <v>0.84090365810016676</v>
      </c>
      <c r="DZ32" s="17">
        <v>0.87813744512678127</v>
      </c>
      <c r="EA32" s="17">
        <v>0.64562012217890874</v>
      </c>
      <c r="EB32" s="17">
        <v>1.1280465784331122</v>
      </c>
      <c r="EC32" s="17">
        <v>0.65638329344754665</v>
      </c>
      <c r="ED32" s="17">
        <v>1.1108314552975618</v>
      </c>
      <c r="EE32" s="17">
        <v>2.2338872092226252</v>
      </c>
      <c r="EF32" s="17">
        <v>0.33061399039168055</v>
      </c>
      <c r="EG32" s="17">
        <v>1.2664366996059293</v>
      </c>
      <c r="EH32" s="17">
        <v>1.3725936773582192</v>
      </c>
      <c r="EI32" s="17">
        <v>1.9747081665586406</v>
      </c>
      <c r="EJ32" s="17">
        <v>3.8261870290869333</v>
      </c>
      <c r="EK32" s="17">
        <v>2.4789104219403684</v>
      </c>
      <c r="EL32" s="17">
        <v>1.529173734011716</v>
      </c>
      <c r="EM32" s="17">
        <v>0.3913444817230855</v>
      </c>
      <c r="EN32" s="17">
        <v>0.6690693270340935</v>
      </c>
      <c r="EO32" s="17">
        <v>0.55083866332636644</v>
      </c>
      <c r="EP32" s="17">
        <v>4.4822021087546249</v>
      </c>
      <c r="EQ32" s="17">
        <v>0.35048054170000581</v>
      </c>
      <c r="ER32" s="17">
        <v>2.6073623780147352</v>
      </c>
      <c r="ES32" s="17">
        <v>0.58301934546708822</v>
      </c>
      <c r="ET32" s="17">
        <v>1.3811852647619176</v>
      </c>
      <c r="EU32" s="17">
        <v>0.65224362812668157</v>
      </c>
      <c r="EV32" s="17">
        <v>1.2768558142843005</v>
      </c>
      <c r="EW32" s="17">
        <v>3.031036619046124</v>
      </c>
      <c r="EX32" s="90">
        <v>0.96670370623982327</v>
      </c>
      <c r="EY32" s="14">
        <v>2025</v>
      </c>
      <c r="EZ32" s="14" t="s">
        <v>873</v>
      </c>
      <c r="FA32" s="48" t="s">
        <v>1007</v>
      </c>
      <c r="FB32" s="9" t="s">
        <v>929</v>
      </c>
    </row>
    <row r="33" spans="2:158" ht="15" customHeight="1" x14ac:dyDescent="0.35">
      <c r="B33" s="18" t="s">
        <v>858</v>
      </c>
      <c r="C33" s="95">
        <v>113000</v>
      </c>
      <c r="D33" s="9" t="s">
        <v>934</v>
      </c>
      <c r="E33" s="17">
        <v>0.34331549209663603</v>
      </c>
      <c r="F33" s="17">
        <v>0.22210831239747797</v>
      </c>
      <c r="G33" s="17">
        <v>0.28136958598725287</v>
      </c>
      <c r="H33" s="17">
        <v>0.37586798053509407</v>
      </c>
      <c r="I33" s="17">
        <v>0.47644973890509346</v>
      </c>
      <c r="J33" s="17">
        <v>0.31150887346582784</v>
      </c>
      <c r="K33" s="17">
        <v>0.43956272182303224</v>
      </c>
      <c r="L33" s="17">
        <v>0.25892017211399149</v>
      </c>
      <c r="M33" s="17">
        <v>0.129161945546584</v>
      </c>
      <c r="N33" s="17">
        <v>0.41285929968112273</v>
      </c>
      <c r="O33" s="17">
        <v>0.37650391394951743</v>
      </c>
      <c r="P33" s="17">
        <v>0.19649689135056397</v>
      </c>
      <c r="Q33" s="17">
        <v>0.2527002608350517</v>
      </c>
      <c r="R33" s="17">
        <v>0.45701485235638178</v>
      </c>
      <c r="S33" s="17">
        <v>0.54208623033295822</v>
      </c>
      <c r="T33" s="17">
        <v>0.18376619219327051</v>
      </c>
      <c r="U33" s="17">
        <v>0.23892450338546925</v>
      </c>
      <c r="V33" s="17">
        <v>0.3814557485644065</v>
      </c>
      <c r="W33" s="17">
        <v>0.34841873212556446</v>
      </c>
      <c r="X33" s="17">
        <v>0.22580518618480847</v>
      </c>
      <c r="Y33" s="17">
        <v>0.35513854976422127</v>
      </c>
      <c r="Z33" s="17">
        <v>0.20242509097596073</v>
      </c>
      <c r="AA33" s="17">
        <v>0.83874192014931459</v>
      </c>
      <c r="AB33" s="17">
        <v>0.13917412453218989</v>
      </c>
      <c r="AC33" s="17">
        <v>0.27198370154711859</v>
      </c>
      <c r="AD33" s="17">
        <v>0.39520070045567091</v>
      </c>
      <c r="AE33" s="17">
        <v>0.17684303544504032</v>
      </c>
      <c r="AF33" s="17">
        <v>0.20322106922705702</v>
      </c>
      <c r="AG33" s="17">
        <v>0.33507223998704455</v>
      </c>
      <c r="AH33" s="17">
        <v>0.1600409547519801</v>
      </c>
      <c r="AI33" s="17">
        <v>0.23589075464448669</v>
      </c>
      <c r="AJ33" s="17">
        <v>0.26906648598150185</v>
      </c>
      <c r="AK33" s="17">
        <v>0.4294342094889757</v>
      </c>
      <c r="AL33" s="17">
        <v>0.34078392813707686</v>
      </c>
      <c r="AM33" s="17">
        <v>0.31895992533116313</v>
      </c>
      <c r="AN33" s="17">
        <v>0.27894191685209774</v>
      </c>
      <c r="AO33" s="17">
        <v>0.23131633290599357</v>
      </c>
      <c r="AP33" s="17">
        <v>0.5783099074742043</v>
      </c>
      <c r="AQ33" s="17">
        <v>0.26760661112147571</v>
      </c>
      <c r="AR33" s="17">
        <v>0.68133028140009044</v>
      </c>
      <c r="AS33" s="17">
        <v>0.25005130692794003</v>
      </c>
      <c r="AT33" s="17">
        <v>0.5105304345915076</v>
      </c>
      <c r="AU33" s="17">
        <v>0.17920348033278716</v>
      </c>
      <c r="AV33" s="17">
        <v>0.24634522645061779</v>
      </c>
      <c r="AW33" s="17">
        <v>0.32610003103333951</v>
      </c>
      <c r="AX33" s="17">
        <v>0.24267075572323935</v>
      </c>
      <c r="AY33" s="17">
        <v>0.26215455414393202</v>
      </c>
      <c r="AZ33" s="17">
        <v>0.13602833596770705</v>
      </c>
      <c r="BA33" s="17">
        <v>0.23776655327754412</v>
      </c>
      <c r="BB33" s="17">
        <v>0.27031356315405747</v>
      </c>
      <c r="BC33" s="17">
        <v>0.18872345746567998</v>
      </c>
      <c r="BD33" s="17">
        <v>0.27850606172114428</v>
      </c>
      <c r="BE33" s="17">
        <v>0.24744790015255347</v>
      </c>
      <c r="BF33" s="17">
        <v>0.20202534164858449</v>
      </c>
      <c r="BG33" s="17">
        <v>0.21459636663098669</v>
      </c>
      <c r="BH33" s="17">
        <v>0.44103289467947898</v>
      </c>
      <c r="BI33" s="17">
        <v>0.34787185625720363</v>
      </c>
      <c r="BJ33" s="17">
        <v>0.42593348810843601</v>
      </c>
      <c r="BK33" s="17">
        <v>0.20791524142698947</v>
      </c>
      <c r="BL33" s="17">
        <v>0.41705723275569156</v>
      </c>
      <c r="BM33" s="17">
        <v>0.137701428640122</v>
      </c>
      <c r="BN33" s="17">
        <v>0.24592310409447951</v>
      </c>
      <c r="BO33" s="17">
        <v>0.23362329307556728</v>
      </c>
      <c r="BP33" s="17">
        <v>0.83766267046387888</v>
      </c>
      <c r="BQ33" s="17">
        <v>0.55709930003827779</v>
      </c>
      <c r="BR33" s="17">
        <v>0.19514098956229864</v>
      </c>
      <c r="BS33" s="17">
        <v>0.27125940203140303</v>
      </c>
      <c r="BT33" s="17">
        <v>0.28612809611509554</v>
      </c>
      <c r="BU33" s="17">
        <v>0.38148197098903125</v>
      </c>
      <c r="BV33" s="17">
        <v>0.40640488502263739</v>
      </c>
      <c r="BW33" s="17">
        <v>0.26675835230940464</v>
      </c>
      <c r="BX33" s="17">
        <v>0.43342689475881935</v>
      </c>
      <c r="BY33" s="17">
        <v>0.16715548395990312</v>
      </c>
      <c r="BZ33" s="17">
        <v>0.17174710307496782</v>
      </c>
      <c r="CA33" s="17">
        <v>0.33460499966463064</v>
      </c>
      <c r="CB33" s="17">
        <v>0.18635660533520812</v>
      </c>
      <c r="CC33" s="17">
        <v>1.0854640905117585</v>
      </c>
      <c r="CD33" s="17">
        <v>0.46160039498746863</v>
      </c>
      <c r="CE33" s="17">
        <v>0.24728651544679897</v>
      </c>
      <c r="CF33" s="17">
        <v>0.34930684856168642</v>
      </c>
      <c r="CG33" s="17">
        <v>0.19345491271262263</v>
      </c>
      <c r="CH33" s="17">
        <v>0.21919575083500634</v>
      </c>
      <c r="CI33" s="17">
        <v>0.34783431041130192</v>
      </c>
      <c r="CJ33" s="17">
        <v>0.27607955393055672</v>
      </c>
      <c r="CK33" s="17">
        <v>0.27538934178992153</v>
      </c>
      <c r="CL33" s="17">
        <v>0.3934613142949111</v>
      </c>
      <c r="CM33" s="17">
        <v>0.36006618713740235</v>
      </c>
      <c r="CN33" s="17">
        <v>0.47661579777333862</v>
      </c>
      <c r="CO33" s="17">
        <v>0.32640232104368627</v>
      </c>
      <c r="CP33" s="17">
        <v>0.34631068899880701</v>
      </c>
      <c r="CQ33" s="17">
        <v>0.4262897684832217</v>
      </c>
      <c r="CR33" s="17">
        <v>0.20138759046389257</v>
      </c>
      <c r="CS33" s="17">
        <v>0.37493355215908503</v>
      </c>
      <c r="CT33" s="17">
        <v>0.29775154976340262</v>
      </c>
      <c r="CU33" s="17">
        <v>0.85507963426584677</v>
      </c>
      <c r="CV33" s="17">
        <v>0.26527932503194296</v>
      </c>
      <c r="CW33" s="17">
        <v>0.18890892438017576</v>
      </c>
      <c r="CX33" s="17">
        <v>0.26512241383045093</v>
      </c>
      <c r="CY33" s="17">
        <v>0.26210707057197619</v>
      </c>
      <c r="CZ33" s="17">
        <v>0.17310680469204537</v>
      </c>
      <c r="DA33" s="17">
        <v>0.23033876799876765</v>
      </c>
      <c r="DB33" s="17">
        <v>0.31201528578671489</v>
      </c>
      <c r="DC33" s="17">
        <v>0.34954336974624395</v>
      </c>
      <c r="DD33" s="17">
        <v>0.26072011528622507</v>
      </c>
      <c r="DE33" s="17">
        <v>0.27555763408504508</v>
      </c>
      <c r="DF33" s="17">
        <v>0.19797778482228923</v>
      </c>
      <c r="DG33" s="17">
        <v>0.24827327031383808</v>
      </c>
      <c r="DH33" s="17">
        <v>0.62135438779398533</v>
      </c>
      <c r="DI33" s="17">
        <v>0.45080718486636701</v>
      </c>
      <c r="DJ33" s="17">
        <v>7.5411806790215183E-2</v>
      </c>
      <c r="DK33" s="17">
        <v>0.11852667724753836</v>
      </c>
      <c r="DL33" s="17">
        <v>0.2527490657793699</v>
      </c>
      <c r="DM33" s="17">
        <v>0.67276581048597273</v>
      </c>
      <c r="DN33" s="17">
        <v>0.30528440617478875</v>
      </c>
      <c r="DO33" s="17">
        <v>0.19714284323233786</v>
      </c>
      <c r="DP33" s="17">
        <v>0.38716145926064816</v>
      </c>
      <c r="DQ33" s="17">
        <v>0.25484710446718722</v>
      </c>
      <c r="DR33" s="17">
        <v>0.31242641236289898</v>
      </c>
      <c r="DS33" s="17">
        <v>0.64575358260461613</v>
      </c>
      <c r="DT33" s="17">
        <v>0.14588683465064842</v>
      </c>
      <c r="DU33" s="17">
        <v>0.36403765885259687</v>
      </c>
      <c r="DV33" s="17">
        <v>0.32153828089833691</v>
      </c>
      <c r="DW33" s="17">
        <v>0.30811156266974177</v>
      </c>
      <c r="DX33" s="17">
        <v>0.20758292708492262</v>
      </c>
      <c r="DY33" s="17">
        <v>0.22768426310154696</v>
      </c>
      <c r="DZ33" s="17">
        <v>0.24349865744110563</v>
      </c>
      <c r="EA33" s="17">
        <v>0.25579767434806494</v>
      </c>
      <c r="EB33" s="17">
        <v>0.31317587406714203</v>
      </c>
      <c r="EC33" s="17">
        <v>0.24541299440413467</v>
      </c>
      <c r="ED33" s="17">
        <v>0.27998564171798274</v>
      </c>
      <c r="EE33" s="17">
        <v>0.51921698208536693</v>
      </c>
      <c r="EF33" s="17">
        <v>0.13951747310244733</v>
      </c>
      <c r="EG33" s="17">
        <v>0.29722803629044919</v>
      </c>
      <c r="EH33" s="17">
        <v>0.39591928729085629</v>
      </c>
      <c r="EI33" s="17">
        <v>0.43831010768877821</v>
      </c>
      <c r="EJ33" s="17">
        <v>0.74917714074018749</v>
      </c>
      <c r="EK33" s="17">
        <v>0.52422393588413274</v>
      </c>
      <c r="EL33" s="17">
        <v>0.57295848480670353</v>
      </c>
      <c r="EM33" s="17">
        <v>0.199533983425487</v>
      </c>
      <c r="EN33" s="17">
        <v>0.17517495101911623</v>
      </c>
      <c r="EO33" s="17">
        <v>0.14838871802650372</v>
      </c>
      <c r="EP33" s="17">
        <v>0.84594192799597623</v>
      </c>
      <c r="EQ33" s="17">
        <v>0.10978397703964202</v>
      </c>
      <c r="ER33" s="17">
        <v>0.5135316978979837</v>
      </c>
      <c r="ES33" s="17">
        <v>0.193623062437529</v>
      </c>
      <c r="ET33" s="17">
        <v>0.71563922587321493</v>
      </c>
      <c r="EU33" s="17">
        <v>0.22852536898293499</v>
      </c>
      <c r="EV33" s="17">
        <v>0.31568996299151425</v>
      </c>
      <c r="EW33" s="17">
        <v>1.176167349945811</v>
      </c>
      <c r="EX33" s="90">
        <v>0.27850606172114428</v>
      </c>
      <c r="EY33" s="14">
        <v>2025</v>
      </c>
      <c r="EZ33" s="14" t="s">
        <v>873</v>
      </c>
      <c r="FA33" s="48" t="s">
        <v>1007</v>
      </c>
      <c r="FB33" s="9" t="s">
        <v>929</v>
      </c>
    </row>
    <row r="34" spans="2:158" ht="15" customHeight="1" x14ac:dyDescent="0.35">
      <c r="B34" s="18" t="s">
        <v>858</v>
      </c>
      <c r="C34" s="95" t="s">
        <v>935</v>
      </c>
      <c r="D34" s="9" t="s">
        <v>936</v>
      </c>
      <c r="E34" s="17">
        <v>1.5464124662332883</v>
      </c>
      <c r="F34" s="17">
        <v>1.0292105286024624</v>
      </c>
      <c r="G34" s="17">
        <v>1.1543385465717333</v>
      </c>
      <c r="H34" s="17">
        <v>1.6306715642545471</v>
      </c>
      <c r="I34" s="17">
        <v>0.42346423270084704</v>
      </c>
      <c r="J34" s="17">
        <v>1.2257602688461993</v>
      </c>
      <c r="K34" s="17">
        <v>0.88628230951314335</v>
      </c>
      <c r="L34" s="17">
        <v>1.4184206786495093</v>
      </c>
      <c r="M34" s="17">
        <v>0.4763813538830165</v>
      </c>
      <c r="N34" s="17">
        <v>0.75614074354066374</v>
      </c>
      <c r="O34" s="17">
        <v>1.6246365386513748</v>
      </c>
      <c r="P34" s="17">
        <v>0.79832353016618696</v>
      </c>
      <c r="Q34" s="17">
        <v>1.1005726240911389</v>
      </c>
      <c r="R34" s="17">
        <v>1.0787822461659475</v>
      </c>
      <c r="S34" s="17">
        <v>2.4272369705541688</v>
      </c>
      <c r="T34" s="17">
        <v>0.71213761068278092</v>
      </c>
      <c r="U34" s="17">
        <v>0.9182950483044281</v>
      </c>
      <c r="V34" s="17">
        <v>1.6522722551379205</v>
      </c>
      <c r="W34" s="17">
        <v>1.0353095168073809</v>
      </c>
      <c r="X34" s="17">
        <v>0.91344357906856244</v>
      </c>
      <c r="Y34" s="17">
        <v>1.4788930951877504</v>
      </c>
      <c r="Z34" s="17">
        <v>0.77678726649139573</v>
      </c>
      <c r="AA34" s="17">
        <v>1.205298002527909</v>
      </c>
      <c r="AB34" s="17">
        <v>0.2969677073573968</v>
      </c>
      <c r="AC34" s="17">
        <v>1.7665476592861817</v>
      </c>
      <c r="AD34" s="17">
        <v>1.1886861879663138</v>
      </c>
      <c r="AE34" s="17">
        <v>0.74029458682242566</v>
      </c>
      <c r="AF34" s="17">
        <v>0.84738951999115408</v>
      </c>
      <c r="AG34" s="17">
        <v>1.410188631617562</v>
      </c>
      <c r="AH34" s="17">
        <v>2.1779657965883175</v>
      </c>
      <c r="AI34" s="17">
        <v>1.294498827105049</v>
      </c>
      <c r="AJ34" s="17">
        <v>2.1718380502786703</v>
      </c>
      <c r="AK34" s="17">
        <v>1.2092833931329179</v>
      </c>
      <c r="AL34" s="17">
        <v>0.8101064981182815</v>
      </c>
      <c r="AM34" s="17">
        <v>1.2398774137152597</v>
      </c>
      <c r="AN34" s="17">
        <v>0.97058469943181214</v>
      </c>
      <c r="AO34" s="17">
        <v>0.97429837563272204</v>
      </c>
      <c r="AP34" s="17">
        <v>2.632772761472685</v>
      </c>
      <c r="AQ34" s="17">
        <v>1.1225209936988574</v>
      </c>
      <c r="AR34" s="17">
        <v>3.1147454358074156</v>
      </c>
      <c r="AS34" s="17">
        <v>1.359767204490081</v>
      </c>
      <c r="AT34" s="17">
        <v>1.3747064686199293</v>
      </c>
      <c r="AU34" s="17">
        <v>0.7118645462286799</v>
      </c>
      <c r="AV34" s="17">
        <v>0.53940475279970412</v>
      </c>
      <c r="AW34" s="17">
        <v>1.3494084113965579</v>
      </c>
      <c r="AX34" s="17">
        <v>0.97183151619845864</v>
      </c>
      <c r="AY34" s="17">
        <v>1.1059841887753548</v>
      </c>
      <c r="AZ34" s="17">
        <v>0.2555238403084798</v>
      </c>
      <c r="BA34" s="17">
        <v>0.93364111507972691</v>
      </c>
      <c r="BB34" s="17">
        <v>1.129951295152327</v>
      </c>
      <c r="BC34" s="17">
        <v>0.76517108809361456</v>
      </c>
      <c r="BD34" s="17">
        <v>1.1603999447319087</v>
      </c>
      <c r="BE34" s="17">
        <v>0.8504550301849676</v>
      </c>
      <c r="BF34" s="17">
        <v>0.7736075307113266</v>
      </c>
      <c r="BG34" s="17">
        <v>0.88899682456741702</v>
      </c>
      <c r="BH34" s="17">
        <v>0</v>
      </c>
      <c r="BI34" s="17">
        <v>1.4425582011381426</v>
      </c>
      <c r="BJ34" s="17">
        <v>0.70187560277865035</v>
      </c>
      <c r="BK34" s="17">
        <v>0.91999320282862052</v>
      </c>
      <c r="BL34" s="17">
        <v>1.1707285207405744</v>
      </c>
      <c r="BM34" s="17">
        <v>0.61073306252908666</v>
      </c>
      <c r="BN34" s="17">
        <v>1.3941896030430074</v>
      </c>
      <c r="BO34" s="17">
        <v>0.70797622857382436</v>
      </c>
      <c r="BP34" s="17">
        <v>3.8470106154020103</v>
      </c>
      <c r="BQ34" s="17">
        <v>2.6111827585311009</v>
      </c>
      <c r="BR34" s="17">
        <v>0.43508920257573086</v>
      </c>
      <c r="BS34" s="17">
        <v>0.26115407670949553</v>
      </c>
      <c r="BT34" s="17">
        <v>0.51173283711208895</v>
      </c>
      <c r="BU34" s="17">
        <v>1.6325190743308737</v>
      </c>
      <c r="BV34" s="17">
        <v>1.7868010013699653</v>
      </c>
      <c r="BW34" s="17">
        <v>0.80791394315546261</v>
      </c>
      <c r="BX34" s="17">
        <v>2.1786596197539665</v>
      </c>
      <c r="BY34" s="17">
        <v>0.66595976447020866</v>
      </c>
      <c r="BZ34" s="17">
        <v>1.4094271560075025</v>
      </c>
      <c r="CA34" s="17">
        <v>1.2739426724992695</v>
      </c>
      <c r="CB34" s="17">
        <v>0.70493847020410538</v>
      </c>
      <c r="CC34" s="17">
        <v>0.40686043012647954</v>
      </c>
      <c r="CD34" s="17">
        <v>2.2352010280607026</v>
      </c>
      <c r="CE34" s="17">
        <v>1.0431991549957511</v>
      </c>
      <c r="CF34" s="17">
        <v>1.4940800948711532</v>
      </c>
      <c r="CG34" s="17">
        <v>0.74757170561590736</v>
      </c>
      <c r="CH34" s="17">
        <v>0.91670014223065122</v>
      </c>
      <c r="CI34" s="17">
        <v>1.3013425288006335</v>
      </c>
      <c r="CJ34" s="17">
        <v>0.68277909643592805</v>
      </c>
      <c r="CK34" s="17">
        <v>0.72072026233755848</v>
      </c>
      <c r="CL34" s="17">
        <v>0.60780067310890051</v>
      </c>
      <c r="CM34" s="17">
        <v>1.4297314537964303</v>
      </c>
      <c r="CN34" s="17">
        <v>2.1386921463290194</v>
      </c>
      <c r="CO34" s="17">
        <v>1.2481621926308342</v>
      </c>
      <c r="CP34" s="17">
        <v>1.03247849282381</v>
      </c>
      <c r="CQ34" s="17">
        <v>1.8192527425742198</v>
      </c>
      <c r="CR34" s="17">
        <v>0.80713858347462153</v>
      </c>
      <c r="CS34" s="17">
        <v>0.98133445531911545</v>
      </c>
      <c r="CT34" s="17">
        <v>3.0149767836490815</v>
      </c>
      <c r="CU34" s="17">
        <v>4.1098023157739583</v>
      </c>
      <c r="CV34" s="17">
        <v>1.0671120036955495</v>
      </c>
      <c r="CW34" s="17">
        <v>0.70107485664511138</v>
      </c>
      <c r="CX34" s="17">
        <v>1.1731707705659382</v>
      </c>
      <c r="CY34" s="17">
        <v>1.0790428358052186</v>
      </c>
      <c r="CZ34" s="17">
        <v>0.73583909259946167</v>
      </c>
      <c r="DA34" s="17">
        <v>0.99867475201071854</v>
      </c>
      <c r="DB34" s="17">
        <v>1.2858784750421108</v>
      </c>
      <c r="DC34" s="17">
        <v>0.52091777380148563</v>
      </c>
      <c r="DD34" s="17">
        <v>0.51561836999250987</v>
      </c>
      <c r="DE34" s="17">
        <v>1.1202935820877555</v>
      </c>
      <c r="DF34" s="17">
        <v>0.60120174303104312</v>
      </c>
      <c r="DG34" s="17">
        <v>0.68098700390006883</v>
      </c>
      <c r="DH34" s="17">
        <v>2.8710664699415074</v>
      </c>
      <c r="DI34" s="17">
        <v>1.9527347353375282</v>
      </c>
      <c r="DJ34" s="17">
        <v>0.60341732833643003</v>
      </c>
      <c r="DK34" s="17">
        <v>1.2807799618707929</v>
      </c>
      <c r="DL34" s="17">
        <v>1.0170966735932649</v>
      </c>
      <c r="DM34" s="17">
        <v>1.1054064941655843</v>
      </c>
      <c r="DN34" s="17">
        <v>0.8357562368071435</v>
      </c>
      <c r="DO34" s="17">
        <v>0.77119870721993933</v>
      </c>
      <c r="DP34" s="17">
        <v>1.865297341773291</v>
      </c>
      <c r="DQ34" s="17">
        <v>0.79177510728359901</v>
      </c>
      <c r="DR34" s="17">
        <v>1.311310724699871</v>
      </c>
      <c r="DS34" s="17">
        <v>1.8666830211881307</v>
      </c>
      <c r="DT34" s="17">
        <v>0.54564357167560196</v>
      </c>
      <c r="DU34" s="17">
        <v>0.22322575728611321</v>
      </c>
      <c r="DV34" s="17">
        <v>1.3835706146857834</v>
      </c>
      <c r="DW34" s="17">
        <v>0</v>
      </c>
      <c r="DX34" s="17">
        <v>0.79073174266638691</v>
      </c>
      <c r="DY34" s="17">
        <v>0.91772233394036185</v>
      </c>
      <c r="DZ34" s="17">
        <v>0.95858519382317431</v>
      </c>
      <c r="EA34" s="17">
        <v>1.5844056781336082</v>
      </c>
      <c r="EB34" s="17">
        <v>0.71701932919742839</v>
      </c>
      <c r="EC34" s="17">
        <v>0.83709068962481392</v>
      </c>
      <c r="ED34" s="17">
        <v>1.1422572241843589</v>
      </c>
      <c r="EE34" s="17">
        <v>2.2160809958976904</v>
      </c>
      <c r="EF34" s="17">
        <v>0.54880342947158933</v>
      </c>
      <c r="EG34" s="17">
        <v>1.2638165168909223</v>
      </c>
      <c r="EH34" s="17">
        <v>1.0163102722784825</v>
      </c>
      <c r="EI34" s="17">
        <v>1.9028733887742202</v>
      </c>
      <c r="EJ34" s="17">
        <v>3.5187946198245328</v>
      </c>
      <c r="EK34" s="17">
        <v>1.8307515489809301</v>
      </c>
      <c r="EL34" s="17">
        <v>1.3342024470662894</v>
      </c>
      <c r="EM34" s="17">
        <v>1.2339055841235798</v>
      </c>
      <c r="EN34" s="17">
        <v>0.76537554663393625</v>
      </c>
      <c r="EO34" s="17">
        <v>0.57658875233621842</v>
      </c>
      <c r="EP34" s="17">
        <v>3.9647350108683592</v>
      </c>
      <c r="EQ34" s="17">
        <v>0.40705227493298407</v>
      </c>
      <c r="ER34" s="17">
        <v>1.5102728536915826</v>
      </c>
      <c r="ES34" s="17">
        <v>0.73320577889075922</v>
      </c>
      <c r="ET34" s="17">
        <v>3.1587905210970102</v>
      </c>
      <c r="EU34" s="17">
        <v>0.85808303827495136</v>
      </c>
      <c r="EV34" s="17">
        <v>1.3145381688986226</v>
      </c>
      <c r="EW34" s="17">
        <v>2.158931403571009</v>
      </c>
      <c r="EX34" s="90">
        <v>1.0671120036955495</v>
      </c>
      <c r="EY34" s="14">
        <v>2025</v>
      </c>
      <c r="EZ34" s="14" t="s">
        <v>873</v>
      </c>
      <c r="FA34" s="48" t="s">
        <v>1007</v>
      </c>
      <c r="FB34" s="9" t="s">
        <v>929</v>
      </c>
    </row>
    <row r="35" spans="2:158" ht="15" customHeight="1" x14ac:dyDescent="0.35">
      <c r="B35" s="18" t="s">
        <v>858</v>
      </c>
      <c r="C35" s="95">
        <v>212310</v>
      </c>
      <c r="D35" s="9" t="s">
        <v>937</v>
      </c>
      <c r="E35" s="17">
        <v>0.7344143364603366</v>
      </c>
      <c r="F35" s="17">
        <v>0.53820476134452477</v>
      </c>
      <c r="G35" s="17">
        <v>0.55704469275867341</v>
      </c>
      <c r="H35" s="17">
        <v>0.79406467800628311</v>
      </c>
      <c r="I35" s="17">
        <v>0.27595725288789175</v>
      </c>
      <c r="J35" s="17">
        <v>0.66154129722815125</v>
      </c>
      <c r="K35" s="17">
        <v>0.3882494267454864</v>
      </c>
      <c r="L35" s="17">
        <v>0.576225668393885</v>
      </c>
      <c r="M35" s="17">
        <v>0.28523543188563455</v>
      </c>
      <c r="N35" s="17">
        <v>0.34525784695439626</v>
      </c>
      <c r="O35" s="17">
        <v>0.68892976103027559</v>
      </c>
      <c r="P35" s="17">
        <v>0.41404527338342856</v>
      </c>
      <c r="Q35" s="17">
        <v>0.51678901731936444</v>
      </c>
      <c r="R35" s="17">
        <v>0.51838602101287889</v>
      </c>
      <c r="S35" s="17">
        <v>1.0073126980728881</v>
      </c>
      <c r="T35" s="17">
        <v>0.40386894551629998</v>
      </c>
      <c r="U35" s="17">
        <v>0.5261832635207957</v>
      </c>
      <c r="V35" s="17">
        <v>0.6971900318517823</v>
      </c>
      <c r="W35" s="17">
        <v>0.39827162014999062</v>
      </c>
      <c r="X35" s="17">
        <v>0.47064539684797008</v>
      </c>
      <c r="Y35" s="17">
        <v>0.66981925008326959</v>
      </c>
      <c r="Z35" s="17">
        <v>0.45003485722199504</v>
      </c>
      <c r="AA35" s="17">
        <v>0.53142094486014158</v>
      </c>
      <c r="AB35" s="17">
        <v>0.18074193257304538</v>
      </c>
      <c r="AC35" s="17">
        <v>0.63919601625142453</v>
      </c>
      <c r="AD35" s="17">
        <v>1.5127505413478488</v>
      </c>
      <c r="AE35" s="17">
        <v>0.37678490873916798</v>
      </c>
      <c r="AF35" s="17">
        <v>0.40253745003959313</v>
      </c>
      <c r="AG35" s="17">
        <v>0.6486163129773036</v>
      </c>
      <c r="AH35" s="17">
        <v>0.7700609605258053</v>
      </c>
      <c r="AI35" s="17">
        <v>0.48215511916398168</v>
      </c>
      <c r="AJ35" s="17">
        <v>1.0807687166542272</v>
      </c>
      <c r="AK35" s="17">
        <v>0.49713136525510498</v>
      </c>
      <c r="AL35" s="17">
        <v>0.30309001603793367</v>
      </c>
      <c r="AM35" s="17">
        <v>0.69847202334093239</v>
      </c>
      <c r="AN35" s="17">
        <v>0.3544625791064609</v>
      </c>
      <c r="AO35" s="17">
        <v>0.46798394483317507</v>
      </c>
      <c r="AP35" s="17">
        <v>1.0688427501442175</v>
      </c>
      <c r="AQ35" s="17">
        <v>0.4967882974237427</v>
      </c>
      <c r="AR35" s="17">
        <v>1.2485774369324145</v>
      </c>
      <c r="AS35" s="17">
        <v>0.51082176002743973</v>
      </c>
      <c r="AT35" s="17">
        <v>0.66051064945487115</v>
      </c>
      <c r="AU35" s="17">
        <v>0.33972961284707587</v>
      </c>
      <c r="AV35" s="17">
        <v>0.25120608521053706</v>
      </c>
      <c r="AW35" s="17">
        <v>0.64749165123654906</v>
      </c>
      <c r="AX35" s="17">
        <v>0.34986940246525117</v>
      </c>
      <c r="AY35" s="17">
        <v>0.49385198586271001</v>
      </c>
      <c r="AZ35" s="17">
        <v>0.48853554286906159</v>
      </c>
      <c r="BA35" s="17">
        <v>0.49981873274561561</v>
      </c>
      <c r="BB35" s="17">
        <v>0.54992228789658382</v>
      </c>
      <c r="BC35" s="17">
        <v>0.39684959083740717</v>
      </c>
      <c r="BD35" s="17">
        <v>0.56510789480257173</v>
      </c>
      <c r="BE35" s="17">
        <v>0.31686441584485137</v>
      </c>
      <c r="BF35" s="17">
        <v>0.44391202764668575</v>
      </c>
      <c r="BG35" s="17">
        <v>0.43468255352587343</v>
      </c>
      <c r="BH35" s="17">
        <v>0</v>
      </c>
      <c r="BI35" s="17">
        <v>0.69597068880424517</v>
      </c>
      <c r="BJ35" s="17">
        <v>0.38071347047050208</v>
      </c>
      <c r="BK35" s="17">
        <v>0.51130757726027165</v>
      </c>
      <c r="BL35" s="17">
        <v>0.48191750492055058</v>
      </c>
      <c r="BM35" s="17">
        <v>0.30839290393684227</v>
      </c>
      <c r="BN35" s="17">
        <v>0.68170354687809165</v>
      </c>
      <c r="BO35" s="17">
        <v>0.56008219187146335</v>
      </c>
      <c r="BP35" s="17">
        <v>1.4878044899640173</v>
      </c>
      <c r="BQ35" s="17">
        <v>1.1347831352122428</v>
      </c>
      <c r="BR35" s="17">
        <v>0.20133844814490806</v>
      </c>
      <c r="BS35" s="17">
        <v>0.13031417342122417</v>
      </c>
      <c r="BT35" s="17">
        <v>0.18128123122439507</v>
      </c>
      <c r="BU35" s="17">
        <v>0.722267000883692</v>
      </c>
      <c r="BV35" s="17">
        <v>0.79196051330743911</v>
      </c>
      <c r="BW35" s="17">
        <v>0.37598105521287972</v>
      </c>
      <c r="BX35" s="17">
        <v>0.93968011094432435</v>
      </c>
      <c r="BY35" s="17">
        <v>0.32471391883821071</v>
      </c>
      <c r="BZ35" s="17">
        <v>0.54919447413234779</v>
      </c>
      <c r="CA35" s="17">
        <v>0.73847582132787692</v>
      </c>
      <c r="CB35" s="17">
        <v>0.42644557904439756</v>
      </c>
      <c r="CC35" s="17">
        <v>0.79146826511375812</v>
      </c>
      <c r="CD35" s="17">
        <v>1.0135359287170114</v>
      </c>
      <c r="CE35" s="17">
        <v>0.61127048282498608</v>
      </c>
      <c r="CF35" s="17">
        <v>0.67627409123051696</v>
      </c>
      <c r="CG35" s="17">
        <v>0.44433776236381095</v>
      </c>
      <c r="CH35" s="17">
        <v>0.45389683655468671</v>
      </c>
      <c r="CI35" s="17">
        <v>0.78050955762545005</v>
      </c>
      <c r="CJ35" s="17">
        <v>0.32557962670800089</v>
      </c>
      <c r="CK35" s="17">
        <v>0.30497831444809481</v>
      </c>
      <c r="CL35" s="17">
        <v>0.28500099943274088</v>
      </c>
      <c r="CM35" s="17">
        <v>0.5807871264160821</v>
      </c>
      <c r="CN35" s="17">
        <v>0.90555403120494349</v>
      </c>
      <c r="CO35" s="17">
        <v>0.71824936270533069</v>
      </c>
      <c r="CP35" s="17">
        <v>0.51373557946797821</v>
      </c>
      <c r="CQ35" s="17">
        <v>0.83859005212952376</v>
      </c>
      <c r="CR35" s="17">
        <v>0.42255590479302718</v>
      </c>
      <c r="CS35" s="17">
        <v>0.45227642576383043</v>
      </c>
      <c r="CT35" s="17">
        <v>1.4202153266418438</v>
      </c>
      <c r="CU35" s="17">
        <v>1.5125360326796797</v>
      </c>
      <c r="CV35" s="17">
        <v>0.56612296348523483</v>
      </c>
      <c r="CW35" s="17">
        <v>0.41625906044430011</v>
      </c>
      <c r="CX35" s="17">
        <v>0.64320949153575557</v>
      </c>
      <c r="CY35" s="17">
        <v>0.54588525552502742</v>
      </c>
      <c r="CZ35" s="17">
        <v>0.39403868990514185</v>
      </c>
      <c r="DA35" s="17">
        <v>0.46706031435983825</v>
      </c>
      <c r="DB35" s="17">
        <v>0.61514719249448713</v>
      </c>
      <c r="DC35" s="17">
        <v>0.2428199991924343</v>
      </c>
      <c r="DD35" s="17">
        <v>0.28253866284414514</v>
      </c>
      <c r="DE35" s="17">
        <v>0.52420784749678451</v>
      </c>
      <c r="DF35" s="17">
        <v>0.5302886782659918</v>
      </c>
      <c r="DG35" s="17">
        <v>0.2319316354172008</v>
      </c>
      <c r="DH35" s="17">
        <v>1.1390840151157007</v>
      </c>
      <c r="DI35" s="17">
        <v>0.80168751216192979</v>
      </c>
      <c r="DJ35" s="17">
        <v>0.24626067525718243</v>
      </c>
      <c r="DK35" s="17">
        <v>0.52486661174086169</v>
      </c>
      <c r="DL35" s="17">
        <v>0.51880431359056989</v>
      </c>
      <c r="DM35" s="17">
        <v>0.70989319648797777</v>
      </c>
      <c r="DN35" s="17">
        <v>0.40255812396652468</v>
      </c>
      <c r="DO35" s="17">
        <v>0.40111730871020962</v>
      </c>
      <c r="DP35" s="17">
        <v>0.88169252852188995</v>
      </c>
      <c r="DQ35" s="17">
        <v>0.36990084377850668</v>
      </c>
      <c r="DR35" s="17">
        <v>0.58974594109297407</v>
      </c>
      <c r="DS35" s="17">
        <v>0.78077786581407482</v>
      </c>
      <c r="DT35" s="17">
        <v>0.33013869944763469</v>
      </c>
      <c r="DU35" s="17">
        <v>0.14208629060361982</v>
      </c>
      <c r="DV35" s="17">
        <v>0.62894915737665613</v>
      </c>
      <c r="DW35" s="17">
        <v>0</v>
      </c>
      <c r="DX35" s="17">
        <v>0.45262719310801314</v>
      </c>
      <c r="DY35" s="17">
        <v>0.46723435487059445</v>
      </c>
      <c r="DZ35" s="17">
        <v>0.49554013096680277</v>
      </c>
      <c r="EA35" s="17">
        <v>0.6009914959436502</v>
      </c>
      <c r="EB35" s="17">
        <v>0.40290036897420695</v>
      </c>
      <c r="EC35" s="17">
        <v>0.30016253730017206</v>
      </c>
      <c r="ED35" s="17">
        <v>0.54646435056033305</v>
      </c>
      <c r="EE35" s="17">
        <v>1.0290924196373548</v>
      </c>
      <c r="EF35" s="17">
        <v>0.36907817452257813</v>
      </c>
      <c r="EG35" s="17">
        <v>0.5699171850808199</v>
      </c>
      <c r="EH35" s="17">
        <v>0.56563799924756974</v>
      </c>
      <c r="EI35" s="17">
        <v>0.82268039306291563</v>
      </c>
      <c r="EJ35" s="17">
        <v>1.3545485535820916</v>
      </c>
      <c r="EK35" s="17">
        <v>0.87047355889610123</v>
      </c>
      <c r="EL35" s="17">
        <v>0.5569285540302461</v>
      </c>
      <c r="EM35" s="17">
        <v>0.71711007049249653</v>
      </c>
      <c r="EN35" s="17">
        <v>0.38832957879444224</v>
      </c>
      <c r="EO35" s="17">
        <v>0.28779335135902112</v>
      </c>
      <c r="EP35" s="17">
        <v>1.4502920576809912</v>
      </c>
      <c r="EQ35" s="17">
        <v>0.22810782311178016</v>
      </c>
      <c r="ER35" s="17">
        <v>0.39710635587785342</v>
      </c>
      <c r="ES35" s="17">
        <v>0.43144714835261633</v>
      </c>
      <c r="ET35" s="17">
        <v>1.5394770034957166</v>
      </c>
      <c r="EU35" s="17">
        <v>0.5236654503397683</v>
      </c>
      <c r="EV35" s="17">
        <v>0.6235249828960161</v>
      </c>
      <c r="EW35" s="17">
        <v>0.95305068602806442</v>
      </c>
      <c r="EX35" s="90">
        <v>0.51880431359056989</v>
      </c>
      <c r="EY35" s="14">
        <v>2025</v>
      </c>
      <c r="EZ35" s="14" t="s">
        <v>873</v>
      </c>
      <c r="FA35" s="48" t="s">
        <v>1007</v>
      </c>
      <c r="FB35" s="9" t="s">
        <v>929</v>
      </c>
    </row>
    <row r="36" spans="2:158" ht="15" customHeight="1" x14ac:dyDescent="0.35">
      <c r="B36" s="18" t="s">
        <v>858</v>
      </c>
      <c r="C36" s="95" t="s">
        <v>938</v>
      </c>
      <c r="D36" s="9" t="s">
        <v>939</v>
      </c>
      <c r="E36" s="17">
        <v>1.1332999344407484</v>
      </c>
      <c r="F36" s="17">
        <v>0.81315631408419098</v>
      </c>
      <c r="G36" s="17">
        <v>0.8400814343634051</v>
      </c>
      <c r="H36" s="17">
        <v>1.1897116333256481</v>
      </c>
      <c r="I36" s="17">
        <v>0.37577529099738843</v>
      </c>
      <c r="J36" s="17">
        <v>0.93685535547077303</v>
      </c>
      <c r="K36" s="17">
        <v>0.6772501044171656</v>
      </c>
      <c r="L36" s="17">
        <v>1.0631887771697703</v>
      </c>
      <c r="M36" s="17">
        <v>0.39263424327136243</v>
      </c>
      <c r="N36" s="17">
        <v>0.54233918700513506</v>
      </c>
      <c r="O36" s="17">
        <v>1.1155819188810823</v>
      </c>
      <c r="P36" s="17">
        <v>0.61086431924892715</v>
      </c>
      <c r="Q36" s="17">
        <v>0.80896967424176969</v>
      </c>
      <c r="R36" s="17">
        <v>0.82518178830328415</v>
      </c>
      <c r="S36" s="17">
        <v>1.6099083078083902</v>
      </c>
      <c r="T36" s="17">
        <v>0.56934123735653119</v>
      </c>
      <c r="U36" s="17">
        <v>0.73219878228662638</v>
      </c>
      <c r="V36" s="17">
        <v>1.1354045182694552</v>
      </c>
      <c r="W36" s="17">
        <v>0.73840477516391745</v>
      </c>
      <c r="X36" s="17">
        <v>0.69263376149983513</v>
      </c>
      <c r="Y36" s="17">
        <v>1.0330183066392453</v>
      </c>
      <c r="Z36" s="17">
        <v>0.62646977017045624</v>
      </c>
      <c r="AA36" s="17">
        <v>0.90672027467044625</v>
      </c>
      <c r="AB36" s="17">
        <v>0.27385292806110006</v>
      </c>
      <c r="AC36" s="17">
        <v>1.2369660581376172</v>
      </c>
      <c r="AD36" s="17">
        <v>1.5744581762447754</v>
      </c>
      <c r="AE36" s="17">
        <v>0.56628404209595551</v>
      </c>
      <c r="AF36" s="17">
        <v>0.62262822817059593</v>
      </c>
      <c r="AG36" s="17">
        <v>0.99930603404504559</v>
      </c>
      <c r="AH36" s="17">
        <v>1.5601233818659546</v>
      </c>
      <c r="AI36" s="17">
        <v>0.91063594739629883</v>
      </c>
      <c r="AJ36" s="17">
        <v>1.7253199736639169</v>
      </c>
      <c r="AK36" s="17">
        <v>0.95479586582521925</v>
      </c>
      <c r="AL36" s="17">
        <v>0.59385299015967974</v>
      </c>
      <c r="AM36" s="17">
        <v>0.96965853182313311</v>
      </c>
      <c r="AN36" s="17">
        <v>0.65349444492274111</v>
      </c>
      <c r="AO36" s="17">
        <v>0.71856662444114272</v>
      </c>
      <c r="AP36" s="17">
        <v>1.7866874546646752</v>
      </c>
      <c r="AQ36" s="17">
        <v>0.79188728406702491</v>
      </c>
      <c r="AR36" s="17">
        <v>2.1062263902016327</v>
      </c>
      <c r="AS36" s="17">
        <v>0.89026446735735631</v>
      </c>
      <c r="AT36" s="17">
        <v>1.081741482194204</v>
      </c>
      <c r="AU36" s="17">
        <v>0.5190875916659109</v>
      </c>
      <c r="AV36" s="17">
        <v>0.37309998394212962</v>
      </c>
      <c r="AW36" s="17">
        <v>0.97378150045193823</v>
      </c>
      <c r="AX36" s="17">
        <v>0.61948493997055532</v>
      </c>
      <c r="AY36" s="17">
        <v>0.7856708841279767</v>
      </c>
      <c r="AZ36" s="17">
        <v>0.77933061373681745</v>
      </c>
      <c r="BA36" s="17">
        <v>0.7175809053378891</v>
      </c>
      <c r="BB36" s="17">
        <v>0.83161782520939587</v>
      </c>
      <c r="BC36" s="17">
        <v>0.58588085509338561</v>
      </c>
      <c r="BD36" s="17">
        <v>0.85239174833952802</v>
      </c>
      <c r="BE36" s="17">
        <v>0.56492558504458867</v>
      </c>
      <c r="BF36" s="17">
        <v>0.61993933137925983</v>
      </c>
      <c r="BG36" s="17">
        <v>0.66034021866291481</v>
      </c>
      <c r="BH36" s="17">
        <v>0</v>
      </c>
      <c r="BI36" s="17">
        <v>1.0405966151362473</v>
      </c>
      <c r="BJ36" s="17">
        <v>0.58041263052127234</v>
      </c>
      <c r="BK36" s="17">
        <v>0.74429402204265194</v>
      </c>
      <c r="BL36" s="17">
        <v>0.68798213988391776</v>
      </c>
      <c r="BM36" s="17">
        <v>0.47908179671108525</v>
      </c>
      <c r="BN36" s="17">
        <v>1.0765837560574563</v>
      </c>
      <c r="BO36" s="17">
        <v>0.61138759595621439</v>
      </c>
      <c r="BP36" s="17">
        <v>2.5488015699437967</v>
      </c>
      <c r="BQ36" s="17">
        <v>1.8600617486122031</v>
      </c>
      <c r="BR36" s="17">
        <v>0.30827764746469277</v>
      </c>
      <c r="BS36" s="17">
        <v>0.19666928957496446</v>
      </c>
      <c r="BT36" s="17">
        <v>0.36236379884556902</v>
      </c>
      <c r="BU36" s="17">
        <v>1.1321048836377814</v>
      </c>
      <c r="BV36" s="17">
        <v>1.2450555573120774</v>
      </c>
      <c r="BW36" s="17">
        <v>0.36736044593315836</v>
      </c>
      <c r="BX36" s="17">
        <v>1.5516717486320257</v>
      </c>
      <c r="BY36" s="17">
        <v>0.49240451134724533</v>
      </c>
      <c r="BZ36" s="17">
        <v>0.96642974390561109</v>
      </c>
      <c r="CA36" s="17">
        <v>1.0083615191937094</v>
      </c>
      <c r="CB36" s="17">
        <v>0.58381927519823829</v>
      </c>
      <c r="CC36" s="17">
        <v>0.53865687210897084</v>
      </c>
      <c r="CD36" s="17">
        <v>1.614521797550162</v>
      </c>
      <c r="CE36" s="17">
        <v>0.7831974850909178</v>
      </c>
      <c r="CF36" s="17">
        <v>1.05331036739466</v>
      </c>
      <c r="CG36" s="17">
        <v>0.61426271382730935</v>
      </c>
      <c r="CH36" s="17">
        <v>0.68656455846623587</v>
      </c>
      <c r="CI36" s="17">
        <v>1.0482103223184311</v>
      </c>
      <c r="CJ36" s="17">
        <v>0.53268894857071691</v>
      </c>
      <c r="CK36" s="17">
        <v>0.56411008857714773</v>
      </c>
      <c r="CL36" s="17">
        <v>0.45780822404997784</v>
      </c>
      <c r="CM36" s="17">
        <v>1.0081802529612756</v>
      </c>
      <c r="CN36" s="17">
        <v>1.4538790881981769</v>
      </c>
      <c r="CO36" s="17">
        <v>0.98520973646866894</v>
      </c>
      <c r="CP36" s="17">
        <v>0.82960347435533666</v>
      </c>
      <c r="CQ36" s="17">
        <v>1.2733828399890252</v>
      </c>
      <c r="CR36" s="17">
        <v>0.61848915372941693</v>
      </c>
      <c r="CS36" s="17">
        <v>0.72106443403283549</v>
      </c>
      <c r="CT36" s="17">
        <v>2.2332449896880306</v>
      </c>
      <c r="CU36" s="17">
        <v>2.5867277764398127</v>
      </c>
      <c r="CV36" s="17">
        <v>0.81684054041249499</v>
      </c>
      <c r="CW36" s="17">
        <v>0.57131635715788065</v>
      </c>
      <c r="CX36" s="17">
        <v>0.96667632760662947</v>
      </c>
      <c r="CY36" s="17">
        <v>0.80870446956585484</v>
      </c>
      <c r="CZ36" s="17">
        <v>0.58101499481217944</v>
      </c>
      <c r="DA36" s="17">
        <v>0.73498855971102195</v>
      </c>
      <c r="DB36" s="17">
        <v>0.92776295294478806</v>
      </c>
      <c r="DC36" s="17">
        <v>0.4733984204308519</v>
      </c>
      <c r="DD36" s="17">
        <v>0.41311695499078471</v>
      </c>
      <c r="DE36" s="17">
        <v>0.80126934285200424</v>
      </c>
      <c r="DF36" s="17">
        <v>0.62851022672101842</v>
      </c>
      <c r="DG36" s="17">
        <v>0.46697171151095757</v>
      </c>
      <c r="DH36" s="17">
        <v>1.9096747169364163</v>
      </c>
      <c r="DI36" s="17">
        <v>1.3344416956994332</v>
      </c>
      <c r="DJ36" s="17">
        <v>0.44056725271827163</v>
      </c>
      <c r="DK36" s="17">
        <v>0.931109039270136</v>
      </c>
      <c r="DL36" s="17">
        <v>0.76275800848983943</v>
      </c>
      <c r="DM36" s="17">
        <v>1.0154842639101571</v>
      </c>
      <c r="DN36" s="17">
        <v>0.63216960525390153</v>
      </c>
      <c r="DO36" s="17">
        <v>0.58581773406300464</v>
      </c>
      <c r="DP36" s="17">
        <v>1.3883715656179969</v>
      </c>
      <c r="DQ36" s="17">
        <v>0.58349614137220451</v>
      </c>
      <c r="DR36" s="17">
        <v>0.94976636683154569</v>
      </c>
      <c r="DS36" s="17">
        <v>1.3242522162889236</v>
      </c>
      <c r="DT36" s="17">
        <v>0.4531111110253257</v>
      </c>
      <c r="DU36" s="17">
        <v>0.19974835930223006</v>
      </c>
      <c r="DV36" s="17">
        <v>0.98485579530554057</v>
      </c>
      <c r="DW36" s="17">
        <v>0</v>
      </c>
      <c r="DX36" s="17">
        <v>0.63154097681810573</v>
      </c>
      <c r="DY36" s="17">
        <v>0.69045819398227581</v>
      </c>
      <c r="DZ36" s="17">
        <v>0.7216627302939389</v>
      </c>
      <c r="EA36" s="17">
        <v>1.0348549473031861</v>
      </c>
      <c r="EB36" s="17">
        <v>0.58682432302997733</v>
      </c>
      <c r="EC36" s="17">
        <v>0.55889287795581089</v>
      </c>
      <c r="ED36" s="17">
        <v>0.82650374072897792</v>
      </c>
      <c r="EE36" s="17">
        <v>1.5300356581264325</v>
      </c>
      <c r="EF36" s="17">
        <v>0.49312187334617835</v>
      </c>
      <c r="EG36" s="17">
        <v>0.89737586793696356</v>
      </c>
      <c r="EH36" s="17">
        <v>0.78353124756886727</v>
      </c>
      <c r="EI36" s="17">
        <v>1.2974584700071687</v>
      </c>
      <c r="EJ36" s="17">
        <v>2.3055254881129299</v>
      </c>
      <c r="EK36" s="17">
        <v>1.5477545107029456</v>
      </c>
      <c r="EL36" s="17">
        <v>0.92681877509729216</v>
      </c>
      <c r="EM36" s="17">
        <v>1.0344372091911598</v>
      </c>
      <c r="EN36" s="17">
        <v>0.59100205312047238</v>
      </c>
      <c r="EO36" s="17">
        <v>0.43021107939242642</v>
      </c>
      <c r="EP36" s="17">
        <v>2.508191970590476</v>
      </c>
      <c r="EQ36" s="17">
        <v>0.32309084933068077</v>
      </c>
      <c r="ER36" s="17">
        <v>0.62112498575434805</v>
      </c>
      <c r="ES36" s="17">
        <v>0.59619829016475845</v>
      </c>
      <c r="ET36" s="17">
        <v>2.5672839856561267</v>
      </c>
      <c r="EU36" s="17">
        <v>0.71006417615202821</v>
      </c>
      <c r="EV36" s="17">
        <v>0.94630175398631733</v>
      </c>
      <c r="EW36" s="17">
        <v>1.5956123524732972</v>
      </c>
      <c r="EX36" s="90">
        <v>0.7856708841279767</v>
      </c>
      <c r="EY36" s="14">
        <v>2025</v>
      </c>
      <c r="EZ36" s="14" t="s">
        <v>873</v>
      </c>
      <c r="FA36" s="48" t="s">
        <v>1007</v>
      </c>
      <c r="FB36" s="9" t="s">
        <v>929</v>
      </c>
    </row>
    <row r="37" spans="2:158" ht="15" customHeight="1" x14ac:dyDescent="0.35">
      <c r="B37" s="22" t="s">
        <v>859</v>
      </c>
      <c r="C37" s="95">
        <v>327200</v>
      </c>
      <c r="D37" s="9" t="s">
        <v>945</v>
      </c>
      <c r="E37" s="36">
        <v>1.5638380064822406</v>
      </c>
      <c r="F37" s="36">
        <v>1.247244052541344</v>
      </c>
      <c r="G37" s="36">
        <v>1.1219072748475392</v>
      </c>
      <c r="H37" s="36">
        <v>1.6530116608819816</v>
      </c>
      <c r="I37" s="36">
        <v>0.56304066936438302</v>
      </c>
      <c r="J37" s="36">
        <v>1.3758150132298321</v>
      </c>
      <c r="K37" s="36">
        <v>0.57475997325580064</v>
      </c>
      <c r="L37" s="36">
        <v>0.37423631614765013</v>
      </c>
      <c r="M37" s="36">
        <v>0.61267570447509845</v>
      </c>
      <c r="N37" s="36">
        <v>0.46590983708409772</v>
      </c>
      <c r="O37" s="36">
        <v>1.3279168821715839</v>
      </c>
      <c r="P37" s="36">
        <v>0.87276766194054489</v>
      </c>
      <c r="Q37" s="36">
        <v>1.0860712251618672</v>
      </c>
      <c r="R37" s="36">
        <v>1.6298040763064863</v>
      </c>
      <c r="S37" s="36">
        <v>1.9203505377945618</v>
      </c>
      <c r="T37" s="36">
        <v>0.86596616919903546</v>
      </c>
      <c r="U37" s="36">
        <v>1.1221322089440959</v>
      </c>
      <c r="V37" s="36">
        <v>1.3469967411439563</v>
      </c>
      <c r="W37" s="36">
        <v>0.59482886622961784</v>
      </c>
      <c r="X37" s="36">
        <v>0.98135050347576513</v>
      </c>
      <c r="Y37" s="36">
        <v>1.3002661371986572</v>
      </c>
      <c r="Z37" s="36">
        <v>0.96795180299458683</v>
      </c>
      <c r="AA37" s="36">
        <v>0.53703867481554313</v>
      </c>
      <c r="AB37" s="36">
        <v>0.35036275864992483</v>
      </c>
      <c r="AC37" s="36">
        <v>0.68783281916107131</v>
      </c>
      <c r="AD37" s="36">
        <v>1.9678435203233395</v>
      </c>
      <c r="AE37" s="36">
        <v>0.80707677049107851</v>
      </c>
      <c r="AF37" s="36">
        <v>0.82430136917766095</v>
      </c>
      <c r="AG37" s="36">
        <v>1.2866336852098259</v>
      </c>
      <c r="AH37" s="36">
        <v>0.62195464041566995</v>
      </c>
      <c r="AI37" s="36">
        <v>0.39170538216547562</v>
      </c>
      <c r="AJ37" s="36">
        <v>1.0432846709274186</v>
      </c>
      <c r="AK37" s="36">
        <v>0.77266785776225222</v>
      </c>
      <c r="AL37" s="36">
        <v>0.45075140661725172</v>
      </c>
      <c r="AM37" s="36">
        <v>1.4749417137639484</v>
      </c>
      <c r="AN37" s="36">
        <v>0.37117299096330569</v>
      </c>
      <c r="AO37" s="36">
        <v>0.96838349901608223</v>
      </c>
      <c r="AP37" s="36">
        <v>2.0961236135627059</v>
      </c>
      <c r="AQ37" s="36">
        <v>0.97166132158540564</v>
      </c>
      <c r="AR37" s="36">
        <v>2.4419283114550754</v>
      </c>
      <c r="AS37" s="36">
        <v>0.60278075166424638</v>
      </c>
      <c r="AT37" s="36">
        <v>0.75791781667990288</v>
      </c>
      <c r="AU37" s="36">
        <v>0.66913177957641179</v>
      </c>
      <c r="AV37" s="36">
        <v>0.27115718587814097</v>
      </c>
      <c r="AW37" s="36">
        <v>1.3008542265993019</v>
      </c>
      <c r="AX37" s="36">
        <v>0.32055670935067976</v>
      </c>
      <c r="AY37" s="36">
        <v>0.97805285797544006</v>
      </c>
      <c r="AZ37" s="36">
        <v>0.75641398281953254</v>
      </c>
      <c r="BA37" s="36">
        <v>1.0410625757239205</v>
      </c>
      <c r="BB37" s="36">
        <v>1.1317735061699636</v>
      </c>
      <c r="BC37" s="36">
        <v>0.83610378523674811</v>
      </c>
      <c r="BD37" s="36">
        <v>1.1590056370269006</v>
      </c>
      <c r="BE37" s="36">
        <v>0.84043006904732853</v>
      </c>
      <c r="BF37" s="36">
        <v>0.94856162928687349</v>
      </c>
      <c r="BG37" s="36">
        <v>0.89796647159259291</v>
      </c>
      <c r="BH37" s="36">
        <v>1.1953127195932016</v>
      </c>
      <c r="BI37" s="36">
        <v>1.4010498006945951</v>
      </c>
      <c r="BJ37" s="36">
        <v>0.66423105658900594</v>
      </c>
      <c r="BK37" s="36">
        <v>1.1773422652054166</v>
      </c>
      <c r="BL37" s="36">
        <v>0.76200614299610026</v>
      </c>
      <c r="BM37" s="36">
        <v>2.0559857460767312</v>
      </c>
      <c r="BN37" s="36">
        <v>1.1278961699140706</v>
      </c>
      <c r="BO37" s="36">
        <v>0.35376049109116697</v>
      </c>
      <c r="BP37" s="36">
        <v>2.8367451971838178</v>
      </c>
      <c r="BQ37" s="36">
        <v>2.4024889903803266</v>
      </c>
      <c r="BR37" s="36">
        <v>0.44757217203581906</v>
      </c>
      <c r="BS37" s="36">
        <v>0.42196489420501265</v>
      </c>
      <c r="BT37" s="36">
        <v>0.48900765311877342</v>
      </c>
      <c r="BU37" s="36">
        <v>1.4103963015385637</v>
      </c>
      <c r="BV37" s="36">
        <v>1.5792972260070002</v>
      </c>
      <c r="BW37" s="36">
        <v>0.49450148462289367</v>
      </c>
      <c r="BX37" s="36">
        <v>1.2497363003393602</v>
      </c>
      <c r="BY37" s="36">
        <v>0.65145253878368437</v>
      </c>
      <c r="BZ37" s="36">
        <v>1.4276277941350308</v>
      </c>
      <c r="CA37" s="36">
        <v>1.5624382362229343</v>
      </c>
      <c r="CB37" s="36">
        <v>0.93137707993987562</v>
      </c>
      <c r="CC37" s="36">
        <v>0.95854248950163012</v>
      </c>
      <c r="CD37" s="36">
        <v>2.2043693386512633</v>
      </c>
      <c r="CE37" s="36">
        <v>0.86136098780691905</v>
      </c>
      <c r="CF37" s="36">
        <v>1.3449219422084819</v>
      </c>
      <c r="CG37" s="36">
        <v>0.97370096563778707</v>
      </c>
      <c r="CH37" s="36">
        <v>0.95096369323023311</v>
      </c>
      <c r="CI37" s="36">
        <v>1.663486484773578</v>
      </c>
      <c r="CJ37" s="36">
        <v>0.64498575759780741</v>
      </c>
      <c r="CK37" s="36">
        <v>0.44008509708721061</v>
      </c>
      <c r="CL37" s="36">
        <v>0.43919624038527677</v>
      </c>
      <c r="CM37" s="36">
        <v>1.1523271961274975</v>
      </c>
      <c r="CN37" s="36">
        <v>1.7739455230335524</v>
      </c>
      <c r="CO37" s="36">
        <v>1.5185287216547909</v>
      </c>
      <c r="CP37" s="36">
        <v>1.2805157547394346</v>
      </c>
      <c r="CQ37" s="36">
        <v>1.661819394201052</v>
      </c>
      <c r="CR37" s="36">
        <v>0.88568657828189612</v>
      </c>
      <c r="CS37" s="36">
        <v>0.57875078863502294</v>
      </c>
      <c r="CT37" s="36">
        <v>1.2133557891653486</v>
      </c>
      <c r="CU37" s="36">
        <v>2.7890931178682914</v>
      </c>
      <c r="CV37" s="36">
        <v>1.1892156666620839</v>
      </c>
      <c r="CW37" s="36">
        <v>0.88907378482900079</v>
      </c>
      <c r="CX37" s="36">
        <v>1.2646169308561768</v>
      </c>
      <c r="CY37" s="36">
        <v>1.1359165329522949</v>
      </c>
      <c r="CZ37" s="36">
        <v>0.87570359464018799</v>
      </c>
      <c r="DA37" s="36">
        <v>0.98086392048878246</v>
      </c>
      <c r="DB37" s="36">
        <v>1.2319478273752089</v>
      </c>
      <c r="DC37" s="36">
        <v>0.38654593028145984</v>
      </c>
      <c r="DD37" s="36">
        <v>0.41366325123486858</v>
      </c>
      <c r="DE37" s="36">
        <v>1.0283538472898481</v>
      </c>
      <c r="DF37" s="36">
        <v>1.2356673683217119</v>
      </c>
      <c r="DG37" s="36">
        <v>0.34624254829452128</v>
      </c>
      <c r="DH37" s="36">
        <v>2.2001563829416773</v>
      </c>
      <c r="DI37" s="36">
        <v>1.5317043296102735</v>
      </c>
      <c r="DJ37" s="36">
        <v>0.43982803551245991</v>
      </c>
      <c r="DK37" s="36">
        <v>1.0292707361284221</v>
      </c>
      <c r="DL37" s="36">
        <v>1.0676978694491159</v>
      </c>
      <c r="DM37" s="36">
        <v>0.87415413674621567</v>
      </c>
      <c r="DN37" s="36">
        <v>0.61159531597539485</v>
      </c>
      <c r="DO37" s="36">
        <v>0.82251629164641182</v>
      </c>
      <c r="DP37" s="36">
        <v>1.9718314899948779</v>
      </c>
      <c r="DQ37" s="36">
        <v>0.6327491837845628</v>
      </c>
      <c r="DR37" s="36">
        <v>0.81197013003712237</v>
      </c>
      <c r="DS37" s="36">
        <v>2.0162110848563071</v>
      </c>
      <c r="DT37" s="36">
        <v>0.71879473451254394</v>
      </c>
      <c r="DU37" s="36">
        <v>1.0937416907165589</v>
      </c>
      <c r="DV37" s="36">
        <v>1.2672033221165073</v>
      </c>
      <c r="DW37" s="36">
        <v>0.9899345091129077</v>
      </c>
      <c r="DX37" s="36">
        <v>0.96203589140698909</v>
      </c>
      <c r="DY37" s="36">
        <v>0.96466485077720399</v>
      </c>
      <c r="DZ37" s="36">
        <v>1.0122646862631119</v>
      </c>
      <c r="EA37" s="36">
        <v>0.60842595988151627</v>
      </c>
      <c r="EB37" s="36">
        <v>0.55472719363258882</v>
      </c>
      <c r="EC37" s="36">
        <v>0.3635652438768982</v>
      </c>
      <c r="ED37" s="36">
        <v>1.0899284914216667</v>
      </c>
      <c r="EE37" s="36">
        <v>2.0217579284340967</v>
      </c>
      <c r="EF37" s="36">
        <v>0.8697781529650368</v>
      </c>
      <c r="EG37" s="36">
        <v>1.1357387970105242</v>
      </c>
      <c r="EH37" s="36">
        <v>1.5535571830792758</v>
      </c>
      <c r="EI37" s="36">
        <v>1.5901587905596837</v>
      </c>
      <c r="EJ37" s="36">
        <v>2.5893962853074908</v>
      </c>
      <c r="EK37" s="36">
        <v>1.8666303908599184</v>
      </c>
      <c r="EL37" s="36">
        <v>2.313589592932916</v>
      </c>
      <c r="EM37" s="36">
        <v>1.1392511786306814</v>
      </c>
      <c r="EN37" s="36">
        <v>0.8596944507542813</v>
      </c>
      <c r="EO37" s="36">
        <v>0.57456932377735714</v>
      </c>
      <c r="EP37" s="36">
        <v>2.6366442402229433</v>
      </c>
      <c r="EQ37" s="36">
        <v>0.47379904344757273</v>
      </c>
      <c r="ER37" s="36">
        <v>0.64477885797891643</v>
      </c>
      <c r="ES37" s="36">
        <v>0.92862231690656549</v>
      </c>
      <c r="ET37" s="36">
        <v>1.8626535396075252</v>
      </c>
      <c r="EU37" s="36">
        <v>1.1393433453762551</v>
      </c>
      <c r="EV37" s="36">
        <v>1.2521255177799713</v>
      </c>
      <c r="EW37" s="36">
        <v>1.64226227328925</v>
      </c>
      <c r="EX37" s="82">
        <v>0.98135050347576513</v>
      </c>
      <c r="EY37" s="25">
        <v>2025</v>
      </c>
      <c r="EZ37" s="25" t="s">
        <v>873</v>
      </c>
      <c r="FA37" s="100" t="s">
        <v>1007</v>
      </c>
      <c r="FB37" s="55" t="s">
        <v>929</v>
      </c>
    </row>
    <row r="38" spans="2:158" ht="15" customHeight="1" x14ac:dyDescent="0.35">
      <c r="B38" s="18" t="s">
        <v>859</v>
      </c>
      <c r="C38" s="95">
        <v>331313</v>
      </c>
      <c r="D38" s="9" t="s">
        <v>946</v>
      </c>
      <c r="E38" s="17">
        <v>1.8518826991680182</v>
      </c>
      <c r="F38" s="17">
        <v>1.5739593364272286</v>
      </c>
      <c r="G38" s="17">
        <v>1.2996865936394413</v>
      </c>
      <c r="H38" s="17">
        <v>1.9807876864391019</v>
      </c>
      <c r="I38" s="17">
        <v>0.9214810271194962</v>
      </c>
      <c r="J38" s="17">
        <v>1.7073433278925165</v>
      </c>
      <c r="K38" s="17">
        <v>1.9597656476578245</v>
      </c>
      <c r="L38" s="17">
        <v>0.83536948497867458</v>
      </c>
      <c r="M38" s="17">
        <v>0.77862288202696761</v>
      </c>
      <c r="N38" s="17">
        <v>1.1406655478697432</v>
      </c>
      <c r="O38" s="17">
        <v>1.4000598330679959</v>
      </c>
      <c r="P38" s="17">
        <v>1.0535289387612583</v>
      </c>
      <c r="Q38" s="17">
        <v>1.2567045291539729</v>
      </c>
      <c r="R38" s="17">
        <v>1.6340118349036523</v>
      </c>
      <c r="S38" s="17">
        <v>2.077214199959514</v>
      </c>
      <c r="T38" s="17">
        <v>1.0866766599591566</v>
      </c>
      <c r="U38" s="17">
        <v>1.4194709932305833</v>
      </c>
      <c r="V38" s="17">
        <v>1.4139435058591487</v>
      </c>
      <c r="W38" s="17">
        <v>1.2061264099409663</v>
      </c>
      <c r="X38" s="17">
        <v>1.1801584492113568</v>
      </c>
      <c r="Y38" s="17">
        <v>1.4492796551143856</v>
      </c>
      <c r="Z38" s="17">
        <v>1.2271070498792742</v>
      </c>
      <c r="AA38" s="17">
        <v>1.2659620892686834</v>
      </c>
      <c r="AB38" s="17">
        <v>0.78081041614796642</v>
      </c>
      <c r="AC38" s="17">
        <v>0.9893881881164811</v>
      </c>
      <c r="AD38" s="17">
        <v>2.8652694883138099</v>
      </c>
      <c r="AE38" s="17">
        <v>0.97217798833671776</v>
      </c>
      <c r="AF38" s="17">
        <v>0.94304141490330329</v>
      </c>
      <c r="AG38" s="17">
        <v>1.4546351424898811</v>
      </c>
      <c r="AH38" s="17">
        <v>1.3061416021010432</v>
      </c>
      <c r="AI38" s="17">
        <v>1.2736691736054768</v>
      </c>
      <c r="AJ38" s="17">
        <v>1.2566646942449304</v>
      </c>
      <c r="AK38" s="17">
        <v>1.622883493848774</v>
      </c>
      <c r="AL38" s="17">
        <v>0.97513534386599787</v>
      </c>
      <c r="AM38" s="17">
        <v>1.8695015115137361</v>
      </c>
      <c r="AN38" s="17">
        <v>0.73694569773795426</v>
      </c>
      <c r="AO38" s="17">
        <v>1.1234802216594819</v>
      </c>
      <c r="AP38" s="17">
        <v>2.180918971474473</v>
      </c>
      <c r="AQ38" s="17">
        <v>1.0470266375148256</v>
      </c>
      <c r="AR38" s="17">
        <v>2.5110237917248526</v>
      </c>
      <c r="AS38" s="17">
        <v>1.1191680405598434</v>
      </c>
      <c r="AT38" s="17">
        <v>2.2804874184335535</v>
      </c>
      <c r="AU38" s="17">
        <v>0.74928099713232776</v>
      </c>
      <c r="AV38" s="17">
        <v>0.86669375863817222</v>
      </c>
      <c r="AW38" s="17">
        <v>1.5140128445180674</v>
      </c>
      <c r="AX38" s="17">
        <v>0.93375644684348957</v>
      </c>
      <c r="AY38" s="17">
        <v>1.0666841813486907</v>
      </c>
      <c r="AZ38" s="17">
        <v>1.1024465602508549</v>
      </c>
      <c r="BA38" s="17">
        <v>1.2737788175103475</v>
      </c>
      <c r="BB38" s="17">
        <v>1.326255219451935</v>
      </c>
      <c r="BC38" s="17">
        <v>1.0081977827126369</v>
      </c>
      <c r="BD38" s="17">
        <v>1.3585549326085</v>
      </c>
      <c r="BE38" s="17">
        <v>1.6005460446574207</v>
      </c>
      <c r="BF38" s="17">
        <v>1.1959189232213978</v>
      </c>
      <c r="BG38" s="17">
        <v>1.0482396442617854</v>
      </c>
      <c r="BH38" s="17">
        <v>1.6253509703240496</v>
      </c>
      <c r="BI38" s="17">
        <v>1.6440741620264736</v>
      </c>
      <c r="BJ38" s="17">
        <v>0.89926238428644911</v>
      </c>
      <c r="BK38" s="17">
        <v>1.5099152842815293</v>
      </c>
      <c r="BL38" s="17">
        <v>1.030832795097822</v>
      </c>
      <c r="BM38" s="17">
        <v>2.0844559972818737</v>
      </c>
      <c r="BN38" s="17">
        <v>3.0618141535638466</v>
      </c>
      <c r="BO38" s="17">
        <v>0.80066619330531541</v>
      </c>
      <c r="BP38" s="17">
        <v>2.8073706125748825</v>
      </c>
      <c r="BQ38" s="17">
        <v>2.7054913407842034</v>
      </c>
      <c r="BR38" s="17">
        <v>0.7225527591258325</v>
      </c>
      <c r="BS38" s="17">
        <v>1.2947344651807029</v>
      </c>
      <c r="BT38" s="17">
        <v>1.0875047220534915</v>
      </c>
      <c r="BU38" s="17">
        <v>1.557628860575321</v>
      </c>
      <c r="BV38" s="17">
        <v>1.7693090138158394</v>
      </c>
      <c r="BW38" s="17">
        <v>1.0446130679590877</v>
      </c>
      <c r="BX38" s="17">
        <v>1.2967000193771518</v>
      </c>
      <c r="BY38" s="17">
        <v>0.74402062783271872</v>
      </c>
      <c r="BZ38" s="17">
        <v>0.78397209511633281</v>
      </c>
      <c r="CA38" s="17">
        <v>2.0044068109466586</v>
      </c>
      <c r="CB38" s="17">
        <v>1.200826246591741</v>
      </c>
      <c r="CC38" s="17">
        <v>1.3749038279380568</v>
      </c>
      <c r="CD38" s="17">
        <v>2.5911847485949928</v>
      </c>
      <c r="CE38" s="17">
        <v>1.2391821329286896</v>
      </c>
      <c r="CF38" s="17">
        <v>1.5097574893013972</v>
      </c>
      <c r="CG38" s="17">
        <v>1.2511421209166049</v>
      </c>
      <c r="CH38" s="17">
        <v>1.1246876731007123</v>
      </c>
      <c r="CI38" s="17">
        <v>2.1633464563742817</v>
      </c>
      <c r="CJ38" s="17">
        <v>0.85047676311235532</v>
      </c>
      <c r="CK38" s="17">
        <v>0.92549447234765803</v>
      </c>
      <c r="CL38" s="17">
        <v>1.2624329503295761</v>
      </c>
      <c r="CM38" s="17">
        <v>1.0680624620481283</v>
      </c>
      <c r="CN38" s="17">
        <v>1.9316365785499203</v>
      </c>
      <c r="CO38" s="17">
        <v>1.941031250530675</v>
      </c>
      <c r="CP38" s="17">
        <v>1.1081681486877608</v>
      </c>
      <c r="CQ38" s="17">
        <v>1.9204047613023094</v>
      </c>
      <c r="CR38" s="17">
        <v>1.0712389162455942</v>
      </c>
      <c r="CS38" s="17">
        <v>0.20052395709050042</v>
      </c>
      <c r="CT38" s="17">
        <v>2.2171974494212821</v>
      </c>
      <c r="CU38" s="17">
        <v>2.753218561943811</v>
      </c>
      <c r="CV38" s="17">
        <v>1.4601309656249879</v>
      </c>
      <c r="CW38" s="17">
        <v>1.1314189198944595</v>
      </c>
      <c r="CX38" s="17">
        <v>2.2101145782910505</v>
      </c>
      <c r="CY38" s="17">
        <v>1.3609155319803787</v>
      </c>
      <c r="CZ38" s="17">
        <v>1.0924971651861026</v>
      </c>
      <c r="DA38" s="17">
        <v>1.1301392835484754</v>
      </c>
      <c r="DB38" s="17">
        <v>1.4255365568042269</v>
      </c>
      <c r="DC38" s="17">
        <v>0.86858113347624377</v>
      </c>
      <c r="DD38" s="17">
        <v>0.88620470139839536</v>
      </c>
      <c r="DE38" s="17">
        <v>1.1553700217806524</v>
      </c>
      <c r="DF38" s="17">
        <v>1.7492270085661035</v>
      </c>
      <c r="DG38" s="17">
        <v>1.0376379935724449</v>
      </c>
      <c r="DH38" s="17">
        <v>2.2657927733363303</v>
      </c>
      <c r="DI38" s="17">
        <v>1.5542458783484447</v>
      </c>
      <c r="DJ38" s="17">
        <v>1.0001539855473749</v>
      </c>
      <c r="DK38" s="17">
        <v>1.3687852295571896</v>
      </c>
      <c r="DL38" s="17">
        <v>1.2766343081874556</v>
      </c>
      <c r="DM38" s="17">
        <v>1.6137435543203094</v>
      </c>
      <c r="DN38" s="17">
        <v>1.4178991577937832</v>
      </c>
      <c r="DO38" s="17">
        <v>0.98215224242162136</v>
      </c>
      <c r="DP38" s="17">
        <v>2.3748269064431891</v>
      </c>
      <c r="DQ38" s="17">
        <v>1.1593580634792231</v>
      </c>
      <c r="DR38" s="17">
        <v>0.96365505087176173</v>
      </c>
      <c r="DS38" s="17">
        <v>3.840108651295512</v>
      </c>
      <c r="DT38" s="17">
        <v>0.92245991444888198</v>
      </c>
      <c r="DU38" s="17">
        <v>1.3064911660070169</v>
      </c>
      <c r="DV38" s="17">
        <v>1.4255562481375934</v>
      </c>
      <c r="DW38" s="17">
        <v>1.5658403320933938</v>
      </c>
      <c r="DX38" s="17">
        <v>1.2104043526604515</v>
      </c>
      <c r="DY38" s="17">
        <v>1.1495156217807123</v>
      </c>
      <c r="DZ38" s="17">
        <v>1.2122806778730915</v>
      </c>
      <c r="EA38" s="17">
        <v>1.6463698652331873</v>
      </c>
      <c r="EB38" s="17">
        <v>1.1104215686934877</v>
      </c>
      <c r="EC38" s="17">
        <v>0.73945707360456059</v>
      </c>
      <c r="ED38" s="17">
        <v>1.2510832700065455</v>
      </c>
      <c r="EE38" s="17">
        <v>2.390819493030401</v>
      </c>
      <c r="EF38" s="17">
        <v>1.1769384129196441</v>
      </c>
      <c r="EG38" s="17">
        <v>1.2587431186647089</v>
      </c>
      <c r="EH38" s="17">
        <v>1.7954674655533438</v>
      </c>
      <c r="EI38" s="17">
        <v>1.7426147070769591</v>
      </c>
      <c r="EJ38" s="17">
        <v>2.6076990336656083</v>
      </c>
      <c r="EK38" s="17">
        <v>1.9227543019554125</v>
      </c>
      <c r="EL38" s="17">
        <v>3.3874321020587739</v>
      </c>
      <c r="EM38" s="17">
        <v>1.9925125205506278</v>
      </c>
      <c r="EN38" s="17">
        <v>1.0507616913494673</v>
      </c>
      <c r="EO38" s="17">
        <v>0.66033689372694826</v>
      </c>
      <c r="EP38" s="17">
        <v>2.5025504003753745</v>
      </c>
      <c r="EQ38" s="17">
        <v>0.57969346099728214</v>
      </c>
      <c r="ER38" s="17">
        <v>0.99095418441397387</v>
      </c>
      <c r="ES38" s="17">
        <v>1.1822372950773192</v>
      </c>
      <c r="ET38" s="17">
        <v>2.4048245789384799</v>
      </c>
      <c r="EU38" s="17">
        <v>1.4770242261134792</v>
      </c>
      <c r="EV38" s="17">
        <v>1.444269092826967</v>
      </c>
      <c r="EW38" s="17">
        <v>3.8962801626788366</v>
      </c>
      <c r="EX38" s="90">
        <v>1.2737788175103475</v>
      </c>
      <c r="EY38" s="14">
        <v>2025</v>
      </c>
      <c r="EZ38" s="14" t="s">
        <v>873</v>
      </c>
      <c r="FA38" s="48" t="s">
        <v>1007</v>
      </c>
      <c r="FB38" s="9" t="s">
        <v>929</v>
      </c>
    </row>
    <row r="39" spans="2:158" ht="15" customHeight="1" x14ac:dyDescent="0.35">
      <c r="B39" s="18" t="s">
        <v>859</v>
      </c>
      <c r="C39" s="95">
        <v>322210</v>
      </c>
      <c r="D39" s="9" t="s">
        <v>961</v>
      </c>
      <c r="E39" s="17">
        <v>0.99062141796565628</v>
      </c>
      <c r="F39" s="17">
        <v>0.72528665554842697</v>
      </c>
      <c r="G39" s="17">
        <v>0.82915732599377923</v>
      </c>
      <c r="H39" s="17">
        <v>1.1136607563030272</v>
      </c>
      <c r="I39" s="17">
        <v>0.63157443543464109</v>
      </c>
      <c r="J39" s="17">
        <v>1.036765588010655</v>
      </c>
      <c r="K39" s="17">
        <v>0.65552259634067078</v>
      </c>
      <c r="L39" s="17">
        <v>0.63844155977149109</v>
      </c>
      <c r="M39" s="17">
        <v>0.47623327330627813</v>
      </c>
      <c r="N39" s="17">
        <v>0.49096401079708724</v>
      </c>
      <c r="O39" s="17">
        <v>0.93985932477998047</v>
      </c>
      <c r="P39" s="17">
        <v>0.6279016545046805</v>
      </c>
      <c r="Q39" s="17">
        <v>0.7135903348743885</v>
      </c>
      <c r="R39" s="17">
        <v>1.0532908424546141</v>
      </c>
      <c r="S39" s="17">
        <v>1.2995558790185147</v>
      </c>
      <c r="T39" s="17">
        <v>0.64649182798966232</v>
      </c>
      <c r="U39" s="17">
        <v>0.8488038353044467</v>
      </c>
      <c r="V39" s="17">
        <v>0.94351489508619524</v>
      </c>
      <c r="W39" s="17">
        <v>0.73299824470504582</v>
      </c>
      <c r="X39" s="17">
        <v>0.71711429834583384</v>
      </c>
      <c r="Y39" s="17">
        <v>0.97023403983611334</v>
      </c>
      <c r="Z39" s="17">
        <v>0.72794090138815704</v>
      </c>
      <c r="AA39" s="17">
        <v>0.72520857950888817</v>
      </c>
      <c r="AB39" s="17">
        <v>0.38111494973999899</v>
      </c>
      <c r="AC39" s="17">
        <v>0.74894563771663192</v>
      </c>
      <c r="AD39" s="17">
        <v>1.4886151728157537</v>
      </c>
      <c r="AE39" s="17">
        <v>0.55164323229733292</v>
      </c>
      <c r="AF39" s="17">
        <v>0.58171004982852426</v>
      </c>
      <c r="AG39" s="17">
        <v>0.93183214436596928</v>
      </c>
      <c r="AH39" s="17">
        <v>1.0345032032522743</v>
      </c>
      <c r="AI39" s="17">
        <v>0.4932019172317133</v>
      </c>
      <c r="AJ39" s="17">
        <v>0.52180805504137084</v>
      </c>
      <c r="AK39" s="17">
        <v>0.79704552386103422</v>
      </c>
      <c r="AL39" s="17">
        <v>0.73964977275630039</v>
      </c>
      <c r="AM39" s="17">
        <v>1.1081815357986522</v>
      </c>
      <c r="AN39" s="17">
        <v>0.4477620523413261</v>
      </c>
      <c r="AO39" s="17">
        <v>0.67446042199571987</v>
      </c>
      <c r="AP39" s="17">
        <v>1.3447753183676148</v>
      </c>
      <c r="AQ39" s="17">
        <v>0.70227160319487947</v>
      </c>
      <c r="AR39" s="17">
        <v>1.5510234174658875</v>
      </c>
      <c r="AS39" s="17">
        <v>0.6151888579327367</v>
      </c>
      <c r="AT39" s="17">
        <v>0.84002991922760106</v>
      </c>
      <c r="AU39" s="17">
        <v>0.51616282798013557</v>
      </c>
      <c r="AV39" s="17">
        <v>0.65231016999848657</v>
      </c>
      <c r="AW39" s="17">
        <v>0.95423559848346806</v>
      </c>
      <c r="AX39" s="17">
        <v>0.40811814165738292</v>
      </c>
      <c r="AY39" s="17">
        <v>0.6947339332046697</v>
      </c>
      <c r="AZ39" s="17">
        <v>0.48886096398369977</v>
      </c>
      <c r="BA39" s="17">
        <v>0.78690249733180451</v>
      </c>
      <c r="BB39" s="17">
        <v>0.80430998802660514</v>
      </c>
      <c r="BC39" s="17">
        <v>0.60255698557319781</v>
      </c>
      <c r="BD39" s="17">
        <v>0.82956700190196297</v>
      </c>
      <c r="BE39" s="17">
        <v>0.58915883163418903</v>
      </c>
      <c r="BF39" s="17">
        <v>0.71875901896752803</v>
      </c>
      <c r="BG39" s="17">
        <v>0.63931666887679872</v>
      </c>
      <c r="BH39" s="17">
        <v>0.98926848811460988</v>
      </c>
      <c r="BI39" s="17">
        <v>1.0230124244768783</v>
      </c>
      <c r="BJ39" s="17">
        <v>0.62912642414259734</v>
      </c>
      <c r="BK39" s="17">
        <v>0.73052417382476187</v>
      </c>
      <c r="BL39" s="17">
        <v>0.91000347237631896</v>
      </c>
      <c r="BM39" s="17">
        <v>1.039419607300867</v>
      </c>
      <c r="BN39" s="17">
        <v>1.20118903207812</v>
      </c>
      <c r="BO39" s="17">
        <v>0.34360342168765856</v>
      </c>
      <c r="BP39" s="17">
        <v>1.812410211299762</v>
      </c>
      <c r="BQ39" s="17">
        <v>1.4107851686107469</v>
      </c>
      <c r="BR39" s="17">
        <v>0.36300252272746625</v>
      </c>
      <c r="BS39" s="17">
        <v>0.49245635438355162</v>
      </c>
      <c r="BT39" s="17">
        <v>0.5176009567537988</v>
      </c>
      <c r="BU39" s="17">
        <v>1.0097670687037177</v>
      </c>
      <c r="BV39" s="17">
        <v>1.0740636419475078</v>
      </c>
      <c r="BW39" s="17">
        <v>0.85514948634130028</v>
      </c>
      <c r="BX39" s="17">
        <v>1.153962050710085</v>
      </c>
      <c r="BY39" s="17">
        <v>0.49339308186744313</v>
      </c>
      <c r="BZ39" s="17">
        <v>0.96360143314518021</v>
      </c>
      <c r="CA39" s="17">
        <v>1.1922227552139273</v>
      </c>
      <c r="CB39" s="17">
        <v>0.69993773289932693</v>
      </c>
      <c r="CC39" s="17">
        <v>0.79527677984598166</v>
      </c>
      <c r="CD39" s="17">
        <v>1.2456502434380194</v>
      </c>
      <c r="CE39" s="17">
        <v>0.58064501486366038</v>
      </c>
      <c r="CF39" s="17">
        <v>0.95124678322880218</v>
      </c>
      <c r="CG39" s="17">
        <v>0.71612841089529822</v>
      </c>
      <c r="CH39" s="17">
        <v>0.66376106071389462</v>
      </c>
      <c r="CI39" s="17">
        <v>1.277669960544481</v>
      </c>
      <c r="CJ39" s="17">
        <v>0.44596667032280163</v>
      </c>
      <c r="CK39" s="17">
        <v>0.5359655477655233</v>
      </c>
      <c r="CL39" s="17">
        <v>0.50990968736263964</v>
      </c>
      <c r="CM39" s="17">
        <v>0.72808015474868126</v>
      </c>
      <c r="CN39" s="17">
        <v>1.181891895797428</v>
      </c>
      <c r="CO39" s="17">
        <v>1.1560680405359773</v>
      </c>
      <c r="CP39" s="17">
        <v>0.90582925435195916</v>
      </c>
      <c r="CQ39" s="17">
        <v>1.1790785780964987</v>
      </c>
      <c r="CR39" s="17">
        <v>0.65026840152628318</v>
      </c>
      <c r="CS39" s="17">
        <v>0.75679934460397269</v>
      </c>
      <c r="CT39" s="17">
        <v>0.87299754967375942</v>
      </c>
      <c r="CU39" s="17">
        <v>1.6787687892303238</v>
      </c>
      <c r="CV39" s="17">
        <v>0.87080576759142359</v>
      </c>
      <c r="CW39" s="17">
        <v>0.69299530919311103</v>
      </c>
      <c r="CX39" s="17">
        <v>0.87027014293866367</v>
      </c>
      <c r="CY39" s="17">
        <v>0.81635643842305872</v>
      </c>
      <c r="CZ39" s="17">
        <v>0.57625849212852098</v>
      </c>
      <c r="DA39" s="17">
        <v>0.64340728799783176</v>
      </c>
      <c r="DB39" s="17">
        <v>0.91021656969072695</v>
      </c>
      <c r="DC39" s="17">
        <v>0.54736506257015549</v>
      </c>
      <c r="DD39" s="17">
        <v>0.49414089092317182</v>
      </c>
      <c r="DE39" s="17">
        <v>0.78266610595713515</v>
      </c>
      <c r="DF39" s="17">
        <v>1.0023278533403945</v>
      </c>
      <c r="DG39" s="17">
        <v>0.45781928640098934</v>
      </c>
      <c r="DH39" s="17">
        <v>1.399866744601268</v>
      </c>
      <c r="DI39" s="17">
        <v>1.0630743716626432</v>
      </c>
      <c r="DJ39" s="17">
        <v>0.41695740927803338</v>
      </c>
      <c r="DK39" s="17">
        <v>1.3520466691696591</v>
      </c>
      <c r="DL39" s="17">
        <v>0.79378023923255991</v>
      </c>
      <c r="DM39" s="17">
        <v>0.77105522343603683</v>
      </c>
      <c r="DN39" s="17">
        <v>0.73079645682775207</v>
      </c>
      <c r="DO39" s="17">
        <v>0.63042788430884344</v>
      </c>
      <c r="DP39" s="17">
        <v>1.1082037826203117</v>
      </c>
      <c r="DQ39" s="17">
        <v>0.3820192170256827</v>
      </c>
      <c r="DR39" s="17">
        <v>0.58271394199829341</v>
      </c>
      <c r="DS39" s="17">
        <v>1.6005654855530322</v>
      </c>
      <c r="DT39" s="17">
        <v>0.54617601412214301</v>
      </c>
      <c r="DU39" s="17">
        <v>1.0721626922226668</v>
      </c>
      <c r="DV39" s="17">
        <v>0.87879132523255843</v>
      </c>
      <c r="DW39" s="17">
        <v>0.65994486978321965</v>
      </c>
      <c r="DX39" s="17">
        <v>0.73597615713096176</v>
      </c>
      <c r="DY39" s="17">
        <v>0.71296099342076036</v>
      </c>
      <c r="DZ39" s="17">
        <v>0.77530025054585661</v>
      </c>
      <c r="EA39" s="17">
        <v>0.52240748652400748</v>
      </c>
      <c r="EB39" s="17">
        <v>0.81497179174607037</v>
      </c>
      <c r="EC39" s="17">
        <v>0.38209503385716481</v>
      </c>
      <c r="ED39" s="17">
        <v>0.81670641917264875</v>
      </c>
      <c r="EE39" s="17">
        <v>1.418856789067698</v>
      </c>
      <c r="EF39" s="17">
        <v>0.5935847787807027</v>
      </c>
      <c r="EG39" s="17">
        <v>0.80295724817451952</v>
      </c>
      <c r="EH39" s="17">
        <v>1.12457478039266</v>
      </c>
      <c r="EI39" s="17">
        <v>1.1229561117933469</v>
      </c>
      <c r="EJ39" s="17">
        <v>1.6069407626813306</v>
      </c>
      <c r="EK39" s="17">
        <v>0.91231726384171763</v>
      </c>
      <c r="EL39" s="17">
        <v>1.1328777062023874</v>
      </c>
      <c r="EM39" s="17">
        <v>1.2452370409871523</v>
      </c>
      <c r="EN39" s="17">
        <v>0.54395079147679937</v>
      </c>
      <c r="EO39" s="17">
        <v>0.44943689158121608</v>
      </c>
      <c r="EP39" s="17">
        <v>1.6826315171189961</v>
      </c>
      <c r="EQ39" s="17">
        <v>0.37617307346955492</v>
      </c>
      <c r="ER39" s="17">
        <v>0.63408097642334227</v>
      </c>
      <c r="ES39" s="17">
        <v>0.70628649989782311</v>
      </c>
      <c r="ET39" s="17">
        <v>1.5460924681070678</v>
      </c>
      <c r="EU39" s="17">
        <v>0.86406442086155522</v>
      </c>
      <c r="EV39" s="17">
        <v>0.91147981150742541</v>
      </c>
      <c r="EW39" s="17">
        <v>0.97297978727850942</v>
      </c>
      <c r="EX39" s="90">
        <v>0.77530025054585661</v>
      </c>
      <c r="EY39" s="14">
        <v>2025</v>
      </c>
      <c r="EZ39" s="14" t="s">
        <v>873</v>
      </c>
      <c r="FA39" s="48" t="s">
        <v>1007</v>
      </c>
      <c r="FB39" s="9" t="s">
        <v>929</v>
      </c>
    </row>
    <row r="40" spans="2:158" ht="15" customHeight="1" x14ac:dyDescent="0.35">
      <c r="B40" s="18" t="s">
        <v>859</v>
      </c>
      <c r="C40" s="95">
        <v>326110</v>
      </c>
      <c r="D40" s="9" t="s">
        <v>965</v>
      </c>
      <c r="E40" s="17">
        <v>1.2604741986126009</v>
      </c>
      <c r="F40" s="17">
        <v>0.94559877106778145</v>
      </c>
      <c r="G40" s="17">
        <v>0.97016708945342378</v>
      </c>
      <c r="H40" s="17">
        <v>1.3362689358724755</v>
      </c>
      <c r="I40" s="17">
        <v>0.71657693856476901</v>
      </c>
      <c r="J40" s="17">
        <v>1.1337445154713772</v>
      </c>
      <c r="K40" s="17">
        <v>0.5364264574536789</v>
      </c>
      <c r="L40" s="17">
        <v>0.33149084142906254</v>
      </c>
      <c r="M40" s="17">
        <v>0.51153683297044517</v>
      </c>
      <c r="N40" s="17">
        <v>0.44655046752442756</v>
      </c>
      <c r="O40" s="17">
        <v>1.2066684889711816</v>
      </c>
      <c r="P40" s="17">
        <v>0.73335029450302325</v>
      </c>
      <c r="Q40" s="17">
        <v>0.91892935295762701</v>
      </c>
      <c r="R40" s="17">
        <v>0.95162185077115646</v>
      </c>
      <c r="S40" s="17">
        <v>1.6437469358332639</v>
      </c>
      <c r="T40" s="17">
        <v>0.71472829515986991</v>
      </c>
      <c r="U40" s="17">
        <v>0.91934622792425602</v>
      </c>
      <c r="V40" s="17">
        <v>1.2274216324400657</v>
      </c>
      <c r="W40" s="17">
        <v>0.49687604637812921</v>
      </c>
      <c r="X40" s="17">
        <v>0.82759590128932103</v>
      </c>
      <c r="Y40" s="17">
        <v>1.1484195310672225</v>
      </c>
      <c r="Z40" s="17">
        <v>0.79281336581263706</v>
      </c>
      <c r="AA40" s="17">
        <v>0.52439736744347687</v>
      </c>
      <c r="AB40" s="17">
        <v>0.30506161984748481</v>
      </c>
      <c r="AC40" s="17">
        <v>0.77275451929407923</v>
      </c>
      <c r="AD40" s="17">
        <v>1.2863470878600065</v>
      </c>
      <c r="AE40" s="17">
        <v>0.67204227862580246</v>
      </c>
      <c r="AF40" s="17">
        <v>0.72134009579979819</v>
      </c>
      <c r="AG40" s="17">
        <v>1.1179988967842795</v>
      </c>
      <c r="AH40" s="17">
        <v>0.64854344160166444</v>
      </c>
      <c r="AI40" s="17">
        <v>0.47628944548289848</v>
      </c>
      <c r="AJ40" s="17">
        <v>0.59372032036452316</v>
      </c>
      <c r="AK40" s="17">
        <v>0.6041670597658535</v>
      </c>
      <c r="AL40" s="17">
        <v>0.4186690028309123</v>
      </c>
      <c r="AM40" s="17">
        <v>1.1945003477963634</v>
      </c>
      <c r="AN40" s="17">
        <v>0.27849928501346755</v>
      </c>
      <c r="AO40" s="17">
        <v>0.82959176929644995</v>
      </c>
      <c r="AP40" s="17">
        <v>1.8639513944790369</v>
      </c>
      <c r="AQ40" s="17">
        <v>0.88887624306536295</v>
      </c>
      <c r="AR40" s="17">
        <v>2.1875392427953266</v>
      </c>
      <c r="AS40" s="17">
        <v>0.51886669473686731</v>
      </c>
      <c r="AT40" s="17">
        <v>0.64442887289154183</v>
      </c>
      <c r="AU40" s="17">
        <v>0.61188553767847775</v>
      </c>
      <c r="AV40" s="17">
        <v>0.32998727299572006</v>
      </c>
      <c r="AW40" s="17">
        <v>1.1115826757025584</v>
      </c>
      <c r="AX40" s="17">
        <v>0.28390270554471919</v>
      </c>
      <c r="AY40" s="17">
        <v>0.88412623851616157</v>
      </c>
      <c r="AZ40" s="17">
        <v>0.79350214807018193</v>
      </c>
      <c r="BA40" s="17">
        <v>0.87491010826370985</v>
      </c>
      <c r="BB40" s="17">
        <v>0.96001200855579671</v>
      </c>
      <c r="BC40" s="17">
        <v>0.70444936214422926</v>
      </c>
      <c r="BD40" s="17">
        <v>0.98378228747567009</v>
      </c>
      <c r="BE40" s="17">
        <v>0.40529993580436752</v>
      </c>
      <c r="BF40" s="17">
        <v>0.78260850485593447</v>
      </c>
      <c r="BG40" s="17">
        <v>0.77169688557014049</v>
      </c>
      <c r="BH40" s="17">
        <v>0</v>
      </c>
      <c r="BI40" s="17">
        <v>1.1848802577633268</v>
      </c>
      <c r="BJ40" s="17">
        <v>0.57398065257186703</v>
      </c>
      <c r="BK40" s="17">
        <v>0.89297489166910016</v>
      </c>
      <c r="BL40" s="17">
        <v>0.52849213681448182</v>
      </c>
      <c r="BM40" s="17">
        <v>1.771771887465599</v>
      </c>
      <c r="BN40" s="17">
        <v>1.4368661962663098</v>
      </c>
      <c r="BO40" s="17">
        <v>0.32157635344976143</v>
      </c>
      <c r="BP40" s="17">
        <v>2.591908712073169</v>
      </c>
      <c r="BQ40" s="17">
        <v>1.9960470475152774</v>
      </c>
      <c r="BR40" s="17">
        <v>0.29551974157291422</v>
      </c>
      <c r="BS40" s="17">
        <v>0.43763992140585861</v>
      </c>
      <c r="BT40" s="17">
        <v>0.43253905973102419</v>
      </c>
      <c r="BU40" s="17">
        <v>1.235128406467741</v>
      </c>
      <c r="BV40" s="17">
        <v>1.3449483033553566</v>
      </c>
      <c r="BW40" s="17">
        <v>0.49054298728113666</v>
      </c>
      <c r="BX40" s="17">
        <v>0.92942463063344938</v>
      </c>
      <c r="BY40" s="17">
        <v>0.58489622740351055</v>
      </c>
      <c r="BZ40" s="17">
        <v>1.3160914887476063</v>
      </c>
      <c r="CA40" s="17">
        <v>1.2600028560197349</v>
      </c>
      <c r="CB40" s="17">
        <v>0.75358335363770246</v>
      </c>
      <c r="CC40" s="17">
        <v>1.044622579630357</v>
      </c>
      <c r="CD40" s="17">
        <v>1.720233991748563</v>
      </c>
      <c r="CE40" s="17">
        <v>1.4755917626587358</v>
      </c>
      <c r="CF40" s="17">
        <v>1.1650820711722985</v>
      </c>
      <c r="CG40" s="17">
        <v>0.78294972825956877</v>
      </c>
      <c r="CH40" s="17">
        <v>0.80308913908939605</v>
      </c>
      <c r="CI40" s="17">
        <v>1.3303008262509235</v>
      </c>
      <c r="CJ40" s="17">
        <v>0.36040469513323575</v>
      </c>
      <c r="CK40" s="17">
        <v>0.62827134835966492</v>
      </c>
      <c r="CL40" s="17">
        <v>0.59909644679424978</v>
      </c>
      <c r="CM40" s="17">
        <v>1.0408018741527001</v>
      </c>
      <c r="CN40" s="17">
        <v>1.5222538629795526</v>
      </c>
      <c r="CO40" s="17">
        <v>1.2276499151443243</v>
      </c>
      <c r="CP40" s="17">
        <v>0.97150007301459484</v>
      </c>
      <c r="CQ40" s="17">
        <v>1.3944535391646933</v>
      </c>
      <c r="CR40" s="17">
        <v>0.74723840952955212</v>
      </c>
      <c r="CS40" s="17">
        <v>0.52217860040850705</v>
      </c>
      <c r="CT40" s="17">
        <v>1.0033059475968487</v>
      </c>
      <c r="CU40" s="17">
        <v>2.4125893797768256</v>
      </c>
      <c r="CV40" s="17">
        <v>0.98237510835567321</v>
      </c>
      <c r="CW40" s="17">
        <v>0.73713400722314981</v>
      </c>
      <c r="CX40" s="17">
        <v>1.9756660646416428</v>
      </c>
      <c r="CY40" s="17">
        <v>0.95088648661096487</v>
      </c>
      <c r="CZ40" s="17">
        <v>0.69843542446000395</v>
      </c>
      <c r="DA40" s="17">
        <v>0.83866163361063417</v>
      </c>
      <c r="DB40" s="17">
        <v>1.0616562614305107</v>
      </c>
      <c r="DC40" s="17">
        <v>0.39514321965548205</v>
      </c>
      <c r="DD40" s="17">
        <v>0.34923216777178662</v>
      </c>
      <c r="DE40" s="17">
        <v>0.91897623979955634</v>
      </c>
      <c r="DF40" s="17">
        <v>0.95978309018728214</v>
      </c>
      <c r="DG40" s="17">
        <v>0.4540384505919503</v>
      </c>
      <c r="DH40" s="17">
        <v>1.9369303447419768</v>
      </c>
      <c r="DI40" s="17">
        <v>1.4408084870178903</v>
      </c>
      <c r="DJ40" s="17">
        <v>0.74889564115816376</v>
      </c>
      <c r="DK40" s="17">
        <v>0.76444471922199497</v>
      </c>
      <c r="DL40" s="17">
        <v>0.90638855510009908</v>
      </c>
      <c r="DM40" s="17">
        <v>0.69081981433284922</v>
      </c>
      <c r="DN40" s="17">
        <v>0.47748746997462926</v>
      </c>
      <c r="DO40" s="17">
        <v>0.71164968724836242</v>
      </c>
      <c r="DP40" s="17">
        <v>1.5207432328163755</v>
      </c>
      <c r="DQ40" s="17">
        <v>0.51738966009255516</v>
      </c>
      <c r="DR40" s="17">
        <v>0.4270898212634634</v>
      </c>
      <c r="DS40" s="17">
        <v>1.5589759417454128</v>
      </c>
      <c r="DT40" s="17">
        <v>0.58888613722712302</v>
      </c>
      <c r="DU40" s="17">
        <v>3.2725887871592589</v>
      </c>
      <c r="DV40" s="17">
        <v>1.0957508983576363</v>
      </c>
      <c r="DW40" s="17">
        <v>0.79165220859503438</v>
      </c>
      <c r="DX40" s="17">
        <v>0.79743096877358621</v>
      </c>
      <c r="DY40" s="17">
        <v>0.82232590469154476</v>
      </c>
      <c r="DZ40" s="17">
        <v>0.8681534333820492</v>
      </c>
      <c r="EA40" s="17">
        <v>0.45103590420460254</v>
      </c>
      <c r="EB40" s="17">
        <v>0.47030268612557818</v>
      </c>
      <c r="EC40" s="17">
        <v>0.30075224441911075</v>
      </c>
      <c r="ED40" s="17">
        <v>0.95336675447929153</v>
      </c>
      <c r="EE40" s="17">
        <v>1.6406494145873267</v>
      </c>
      <c r="EF40" s="17">
        <v>0.65305230077150445</v>
      </c>
      <c r="EG40" s="17">
        <v>1.0033919847383004</v>
      </c>
      <c r="EH40" s="17">
        <v>1.1375246434585036</v>
      </c>
      <c r="EI40" s="17">
        <v>1.3837990483151381</v>
      </c>
      <c r="EJ40" s="17">
        <v>2.2848373086103448</v>
      </c>
      <c r="EK40" s="17">
        <v>1.2055892930855543</v>
      </c>
      <c r="EL40" s="17">
        <v>1.0407823302693939</v>
      </c>
      <c r="EM40" s="17">
        <v>0.92060413284498788</v>
      </c>
      <c r="EN40" s="17">
        <v>0.69399645630895235</v>
      </c>
      <c r="EO40" s="17">
        <v>0.51988403878869471</v>
      </c>
      <c r="EP40" s="17">
        <v>2.3978640935674065</v>
      </c>
      <c r="EQ40" s="17">
        <v>0.41262192124279534</v>
      </c>
      <c r="ER40" s="17">
        <v>0.78652330409408189</v>
      </c>
      <c r="ES40" s="17">
        <v>0.76200851022564453</v>
      </c>
      <c r="ET40" s="17">
        <v>1.3055799404052781</v>
      </c>
      <c r="EU40" s="17">
        <v>0.9177305730599904</v>
      </c>
      <c r="EV40" s="17">
        <v>1.0761170449137016</v>
      </c>
      <c r="EW40" s="17">
        <v>1.4573923807659945</v>
      </c>
      <c r="EX40" s="90">
        <v>0.83866163361063417</v>
      </c>
      <c r="EY40" s="14">
        <v>2025</v>
      </c>
      <c r="EZ40" s="14" t="s">
        <v>873</v>
      </c>
      <c r="FA40" s="48" t="s">
        <v>1007</v>
      </c>
      <c r="FB40" s="9" t="s">
        <v>929</v>
      </c>
    </row>
    <row r="41" spans="2:158" ht="15" customHeight="1" x14ac:dyDescent="0.35">
      <c r="B41" s="18" t="s">
        <v>866</v>
      </c>
      <c r="C41" s="95">
        <v>333120</v>
      </c>
      <c r="D41" s="9" t="s">
        <v>948</v>
      </c>
      <c r="E41" s="17">
        <v>0.86708889106384901</v>
      </c>
      <c r="F41" s="17">
        <v>0.65981802912012655</v>
      </c>
      <c r="G41" s="17">
        <v>0.73898833818475562</v>
      </c>
      <c r="H41" s="17">
        <v>0.97888695518666846</v>
      </c>
      <c r="I41" s="17">
        <v>0.60145866054387809</v>
      </c>
      <c r="J41" s="17">
        <v>0.94149027075042846</v>
      </c>
      <c r="K41" s="17">
        <v>0.56010240107105647</v>
      </c>
      <c r="L41" s="17">
        <v>0.3561890561634744</v>
      </c>
      <c r="M41" s="17">
        <v>0.44569964884096219</v>
      </c>
      <c r="N41" s="17">
        <v>0.4005864839720118</v>
      </c>
      <c r="O41" s="17">
        <v>0.81509307991490432</v>
      </c>
      <c r="P41" s="17">
        <v>0.57204900558818472</v>
      </c>
      <c r="Q41" s="17">
        <v>0.64183904640062028</v>
      </c>
      <c r="R41" s="17">
        <v>0.6983353407034546</v>
      </c>
      <c r="S41" s="17">
        <v>1.0856039964702595</v>
      </c>
      <c r="T41" s="17">
        <v>0.59642522032913625</v>
      </c>
      <c r="U41" s="17">
        <v>0.7807438979839918</v>
      </c>
      <c r="V41" s="17">
        <v>0.8203162917365211</v>
      </c>
      <c r="W41" s="17">
        <v>0.41849980097277029</v>
      </c>
      <c r="X41" s="17">
        <v>0.649688972457099</v>
      </c>
      <c r="Y41" s="17">
        <v>0.84816489543381901</v>
      </c>
      <c r="Z41" s="17">
        <v>0.67216951140560111</v>
      </c>
      <c r="AA41" s="17">
        <v>0.48586833890803199</v>
      </c>
      <c r="AB41" s="17">
        <v>0.29968137611430451</v>
      </c>
      <c r="AC41" s="17">
        <v>0.7263327961123146</v>
      </c>
      <c r="AD41" s="17">
        <v>1.2757707105549896</v>
      </c>
      <c r="AE41" s="17">
        <v>0.50458992167104877</v>
      </c>
      <c r="AF41" s="17">
        <v>0.52748677808001732</v>
      </c>
      <c r="AG41" s="17">
        <v>0.81752201520441581</v>
      </c>
      <c r="AH41" s="17">
        <v>0.73217308208334542</v>
      </c>
      <c r="AI41" s="17">
        <v>0.61024704892097559</v>
      </c>
      <c r="AJ41" s="17">
        <v>0.40236889262515613</v>
      </c>
      <c r="AK41" s="17">
        <v>0.82031010336919752</v>
      </c>
      <c r="AL41" s="17">
        <v>0.3504557416038182</v>
      </c>
      <c r="AM41" s="17">
        <v>1.0143458285621043</v>
      </c>
      <c r="AN41" s="17">
        <v>0.30925061379530755</v>
      </c>
      <c r="AO41" s="17">
        <v>0.60689821928001331</v>
      </c>
      <c r="AP41" s="17">
        <v>1.1440763230594762</v>
      </c>
      <c r="AQ41" s="17">
        <v>0.62651418290553951</v>
      </c>
      <c r="AR41" s="17">
        <v>1.3199835627551613</v>
      </c>
      <c r="AS41" s="17">
        <v>0.58436907082565126</v>
      </c>
      <c r="AT41" s="17">
        <v>0.8426622665357637</v>
      </c>
      <c r="AU41" s="17">
        <v>0.46949435244768156</v>
      </c>
      <c r="AV41" s="17">
        <v>0.34061824990706152</v>
      </c>
      <c r="AW41" s="17">
        <v>0.84473024718203604</v>
      </c>
      <c r="AX41" s="17">
        <v>0.37750450655005174</v>
      </c>
      <c r="AY41" s="17">
        <v>0.62149977482733698</v>
      </c>
      <c r="AZ41" s="17">
        <v>0.82749112643889167</v>
      </c>
      <c r="BA41" s="17">
        <v>0.71656679819051239</v>
      </c>
      <c r="BB41" s="17">
        <v>0.71784145818072398</v>
      </c>
      <c r="BC41" s="17">
        <v>0.54985399148334513</v>
      </c>
      <c r="BD41" s="17">
        <v>0.73957632355649305</v>
      </c>
      <c r="BE41" s="17">
        <v>0.65863046778500378</v>
      </c>
      <c r="BF41" s="17">
        <v>0.66313042740992068</v>
      </c>
      <c r="BG41" s="17">
        <v>0.57776790887128804</v>
      </c>
      <c r="BH41" s="17">
        <v>1.0937500350801779</v>
      </c>
      <c r="BI41" s="17">
        <v>0.90475866870758737</v>
      </c>
      <c r="BJ41" s="17">
        <v>0.38629361374411042</v>
      </c>
      <c r="BK41" s="17">
        <v>0.66596178136829998</v>
      </c>
      <c r="BL41" s="17">
        <v>0.52773892110223175</v>
      </c>
      <c r="BM41" s="17">
        <v>0.97248683260565993</v>
      </c>
      <c r="BN41" s="17">
        <v>1.25462660504213</v>
      </c>
      <c r="BO41" s="17">
        <v>0.24535154622201166</v>
      </c>
      <c r="BP41" s="17">
        <v>1.5160313188512238</v>
      </c>
      <c r="BQ41" s="17">
        <v>1.2335766774004771</v>
      </c>
      <c r="BR41" s="17">
        <v>0.31222203203674587</v>
      </c>
      <c r="BS41" s="17">
        <v>0.41306234729035379</v>
      </c>
      <c r="BT41" s="17">
        <v>0.37363911257045118</v>
      </c>
      <c r="BU41" s="17">
        <v>0.87412992471618922</v>
      </c>
      <c r="BV41" s="17">
        <v>0.92416852471081423</v>
      </c>
      <c r="BW41" s="17">
        <v>0.4123817373249532</v>
      </c>
      <c r="BX41" s="17">
        <v>1.1778613690712825</v>
      </c>
      <c r="BY41" s="17">
        <v>0.4506912765063249</v>
      </c>
      <c r="BZ41" s="17">
        <v>0.4558482888857418</v>
      </c>
      <c r="CA41" s="17">
        <v>1.0985695833383728</v>
      </c>
      <c r="CB41" s="17">
        <v>0.65072907341465647</v>
      </c>
      <c r="CC41" s="17">
        <v>0.83951177727984361</v>
      </c>
      <c r="CD41" s="17">
        <v>1.0630507357368546</v>
      </c>
      <c r="CE41" s="17">
        <v>1.2776213621124084</v>
      </c>
      <c r="CF41" s="17">
        <v>0.8300482781154126</v>
      </c>
      <c r="CG41" s="17">
        <v>0.66326004596256105</v>
      </c>
      <c r="CH41" s="17">
        <v>0.59963224179397756</v>
      </c>
      <c r="CI41" s="17">
        <v>1.1855787510782285</v>
      </c>
      <c r="CJ41" s="17">
        <v>0.67717170267504556</v>
      </c>
      <c r="CK41" s="17">
        <v>0.88517384348097672</v>
      </c>
      <c r="CL41" s="17">
        <v>0.4234345260298083</v>
      </c>
      <c r="CM41" s="17">
        <v>0.75159136159341422</v>
      </c>
      <c r="CN41" s="17">
        <v>0.99796594841858843</v>
      </c>
      <c r="CO41" s="17">
        <v>1.0634236805740793</v>
      </c>
      <c r="CP41" s="17">
        <v>0.51106116008794178</v>
      </c>
      <c r="CQ41" s="17">
        <v>1.0256897005440979</v>
      </c>
      <c r="CR41" s="17">
        <v>0.59266984824636271</v>
      </c>
      <c r="CS41" s="17">
        <v>0.71044854573244909</v>
      </c>
      <c r="CT41" s="17">
        <v>1.2036069374505731</v>
      </c>
      <c r="CU41" s="17">
        <v>1.2997575614007655</v>
      </c>
      <c r="CV41" s="17">
        <v>0.78848372749032336</v>
      </c>
      <c r="CW41" s="17">
        <v>0.64372200712915117</v>
      </c>
      <c r="CX41" s="17">
        <v>1.0779143498177117</v>
      </c>
      <c r="CY41" s="17">
        <v>0.73339040152740564</v>
      </c>
      <c r="CZ41" s="17">
        <v>0.52887096298620517</v>
      </c>
      <c r="DA41" s="17">
        <v>0.58471555398119601</v>
      </c>
      <c r="DB41" s="17">
        <v>0.80689159140991706</v>
      </c>
      <c r="DC41" s="17">
        <v>0.30193686083922427</v>
      </c>
      <c r="DD41" s="17">
        <v>0.45805191833136127</v>
      </c>
      <c r="DE41" s="17">
        <v>0.69624432648144741</v>
      </c>
      <c r="DF41" s="17">
        <v>0.97253146148605218</v>
      </c>
      <c r="DG41" s="17">
        <v>0.84084770502685158</v>
      </c>
      <c r="DH41" s="17">
        <v>1.1581104134469564</v>
      </c>
      <c r="DI41" s="17">
        <v>0.93641137569011135</v>
      </c>
      <c r="DJ41" s="17">
        <v>0.3017766823181583</v>
      </c>
      <c r="DK41" s="17">
        <v>0.50648302718048321</v>
      </c>
      <c r="DL41" s="17">
        <v>0.71598724407766845</v>
      </c>
      <c r="DM41" s="17">
        <v>0.71859062729163281</v>
      </c>
      <c r="DN41" s="17">
        <v>0.80815975326931333</v>
      </c>
      <c r="DO41" s="17">
        <v>0.57530382100056676</v>
      </c>
      <c r="DP41" s="17">
        <v>0.96822457754112767</v>
      </c>
      <c r="DQ41" s="17">
        <v>0.65068574921518962</v>
      </c>
      <c r="DR41" s="17">
        <v>0.4113491899453639</v>
      </c>
      <c r="DS41" s="17">
        <v>1.3909879273215293</v>
      </c>
      <c r="DT41" s="17">
        <v>0.51021156229731923</v>
      </c>
      <c r="DU41" s="17">
        <v>1.3007918815577737</v>
      </c>
      <c r="DV41" s="17">
        <v>0.77161428818301014</v>
      </c>
      <c r="DW41" s="17">
        <v>0.5081584139808204</v>
      </c>
      <c r="DX41" s="17">
        <v>0.67877071042114301</v>
      </c>
      <c r="DY41" s="17">
        <v>0.64508985676326192</v>
      </c>
      <c r="DZ41" s="17">
        <v>0.70248159226061335</v>
      </c>
      <c r="EA41" s="17">
        <v>0.78694903235827296</v>
      </c>
      <c r="EB41" s="17">
        <v>0.87646682669181897</v>
      </c>
      <c r="EC41" s="17">
        <v>0.28792171179370468</v>
      </c>
      <c r="ED41" s="17">
        <v>0.72761879480558878</v>
      </c>
      <c r="EE41" s="17">
        <v>1.2413498879849094</v>
      </c>
      <c r="EF41" s="17">
        <v>0.55878649793559432</v>
      </c>
      <c r="EG41" s="17">
        <v>0.70938092690271182</v>
      </c>
      <c r="EH41" s="17">
        <v>1.1669205437805394</v>
      </c>
      <c r="EI41" s="17">
        <v>0.95994531641786141</v>
      </c>
      <c r="EJ41" s="17">
        <v>1.3044888743194643</v>
      </c>
      <c r="EK41" s="17">
        <v>0.77805307013980818</v>
      </c>
      <c r="EL41" s="17">
        <v>0.97156745806644518</v>
      </c>
      <c r="EM41" s="17">
        <v>1.0253657866907242</v>
      </c>
      <c r="EN41" s="17">
        <v>0.50032715507729464</v>
      </c>
      <c r="EO41" s="17">
        <v>0.41272069355684488</v>
      </c>
      <c r="EP41" s="17">
        <v>1.3262572727347866</v>
      </c>
      <c r="EQ41" s="17">
        <v>0.35126713770828083</v>
      </c>
      <c r="ER41" s="17">
        <v>0.46576868707668073</v>
      </c>
      <c r="ES41" s="17">
        <v>0.65433384734418598</v>
      </c>
      <c r="ET41" s="17">
        <v>1.0831363315055307</v>
      </c>
      <c r="EU41" s="17">
        <v>0.80257805705414731</v>
      </c>
      <c r="EV41" s="17">
        <v>0.80583660874307872</v>
      </c>
      <c r="EW41" s="17">
        <v>1.2832678121714147</v>
      </c>
      <c r="EX41" s="90">
        <v>0.71598724407766845</v>
      </c>
      <c r="EY41" s="14">
        <v>2025</v>
      </c>
      <c r="EZ41" s="14" t="s">
        <v>873</v>
      </c>
      <c r="FA41" s="48" t="s">
        <v>1007</v>
      </c>
      <c r="FB41" s="9" t="s">
        <v>929</v>
      </c>
    </row>
    <row r="42" spans="2:158" ht="15" customHeight="1" x14ac:dyDescent="0.35">
      <c r="B42" s="18" t="s">
        <v>866</v>
      </c>
      <c r="C42" s="95" t="s">
        <v>949</v>
      </c>
      <c r="D42" s="9" t="s">
        <v>950</v>
      </c>
      <c r="E42" s="17">
        <v>0.85806976392841594</v>
      </c>
      <c r="F42" s="17">
        <v>0.66952485984284305</v>
      </c>
      <c r="G42" s="17">
        <v>0.70619234386985374</v>
      </c>
      <c r="H42" s="17">
        <v>0.9795718953097533</v>
      </c>
      <c r="I42" s="17">
        <v>0.55223281991586426</v>
      </c>
      <c r="J42" s="17">
        <v>0.93492847109000643</v>
      </c>
      <c r="K42" s="17">
        <v>0.45508151119727952</v>
      </c>
      <c r="L42" s="17">
        <v>0.28286497467053795</v>
      </c>
      <c r="M42" s="17">
        <v>0.43593413861516711</v>
      </c>
      <c r="N42" s="17">
        <v>0.31492584377211524</v>
      </c>
      <c r="O42" s="17">
        <v>0.74167219797756523</v>
      </c>
      <c r="P42" s="17">
        <v>0.55308601762754361</v>
      </c>
      <c r="Q42" s="17">
        <v>0.60773410728588007</v>
      </c>
      <c r="R42" s="17">
        <v>0.64193110469285464</v>
      </c>
      <c r="S42" s="17">
        <v>1.050406758509475</v>
      </c>
      <c r="T42" s="17">
        <v>0.58650937779533485</v>
      </c>
      <c r="U42" s="17">
        <v>0.77496980580804897</v>
      </c>
      <c r="V42" s="17">
        <v>0.74190455041141345</v>
      </c>
      <c r="W42" s="17">
        <v>0.3708705133981719</v>
      </c>
      <c r="X42" s="17">
        <v>0.62923088137317895</v>
      </c>
      <c r="Y42" s="17">
        <v>0.80236365430049739</v>
      </c>
      <c r="Z42" s="17">
        <v>0.66552228369655952</v>
      </c>
      <c r="AA42" s="17">
        <v>0.44418007932761822</v>
      </c>
      <c r="AB42" s="17">
        <v>0.22591788394819773</v>
      </c>
      <c r="AC42" s="17">
        <v>0.56459232635791134</v>
      </c>
      <c r="AD42" s="17">
        <v>1.79299888953076</v>
      </c>
      <c r="AE42" s="17">
        <v>0.48627425321392781</v>
      </c>
      <c r="AF42" s="17">
        <v>0.49224195955952316</v>
      </c>
      <c r="AG42" s="17">
        <v>0.77802473029094887</v>
      </c>
      <c r="AH42" s="17">
        <v>0.7020113266999316</v>
      </c>
      <c r="AI42" s="17">
        <v>0.40430947351524177</v>
      </c>
      <c r="AJ42" s="17">
        <v>0.31467973738409416</v>
      </c>
      <c r="AK42" s="17">
        <v>0.69732483168993453</v>
      </c>
      <c r="AL42" s="17">
        <v>0.27586652594360656</v>
      </c>
      <c r="AM42" s="17">
        <v>1.0180712156833849</v>
      </c>
      <c r="AN42" s="17">
        <v>0.2518205052895291</v>
      </c>
      <c r="AO42" s="17">
        <v>0.57555601256519195</v>
      </c>
      <c r="AP42" s="17">
        <v>1.0378463485747462</v>
      </c>
      <c r="AQ42" s="17">
        <v>0.56734418005493592</v>
      </c>
      <c r="AR42" s="17">
        <v>1.1843423341810022</v>
      </c>
      <c r="AS42" s="17">
        <v>0.49381038249697323</v>
      </c>
      <c r="AT42" s="17">
        <v>0.68456836141009902</v>
      </c>
      <c r="AU42" s="17">
        <v>0.43113840485343952</v>
      </c>
      <c r="AV42" s="17">
        <v>0.27418686570964335</v>
      </c>
      <c r="AW42" s="17">
        <v>0.81622728980748416</v>
      </c>
      <c r="AX42" s="17">
        <v>0.28326723487356753</v>
      </c>
      <c r="AY42" s="17">
        <v>0.56605484436891573</v>
      </c>
      <c r="AZ42" s="17">
        <v>0.69989610844628025</v>
      </c>
      <c r="BA42" s="17">
        <v>0.69956808576232643</v>
      </c>
      <c r="BB42" s="17">
        <v>0.6909535971067432</v>
      </c>
      <c r="BC42" s="17">
        <v>0.53046019291831747</v>
      </c>
      <c r="BD42" s="17">
        <v>0.71285219557250556</v>
      </c>
      <c r="BE42" s="17">
        <v>0.47208810608777363</v>
      </c>
      <c r="BF42" s="17">
        <v>0.65403960399158489</v>
      </c>
      <c r="BG42" s="17">
        <v>0.54853050340945531</v>
      </c>
      <c r="BH42" s="17">
        <v>0.94786345395999538</v>
      </c>
      <c r="BI42" s="17">
        <v>0.88191091402273247</v>
      </c>
      <c r="BJ42" s="17">
        <v>0.30781749757132038</v>
      </c>
      <c r="BK42" s="17">
        <v>0.68168826805162874</v>
      </c>
      <c r="BL42" s="17">
        <v>0.46834108643300498</v>
      </c>
      <c r="BM42" s="17">
        <v>1.0446205241291315</v>
      </c>
      <c r="BN42" s="17">
        <v>1.3614922746256291</v>
      </c>
      <c r="BO42" s="17">
        <v>0.21811258978974429</v>
      </c>
      <c r="BP42" s="17">
        <v>1.3372518163916318</v>
      </c>
      <c r="BQ42" s="17">
        <v>1.1655084868567176</v>
      </c>
      <c r="BR42" s="17">
        <v>0.22082938630815435</v>
      </c>
      <c r="BS42" s="17">
        <v>0.27373750454765139</v>
      </c>
      <c r="BT42" s="17">
        <v>0.33288577332766955</v>
      </c>
      <c r="BU42" s="17">
        <v>0.82706605854627513</v>
      </c>
      <c r="BV42" s="17">
        <v>0.88817784661431454</v>
      </c>
      <c r="BW42" s="17">
        <v>0.47607660988644168</v>
      </c>
      <c r="BX42" s="17">
        <v>0.83008443868508597</v>
      </c>
      <c r="BY42" s="17">
        <v>0.417961305262461</v>
      </c>
      <c r="BZ42" s="17">
        <v>0.44252965811401679</v>
      </c>
      <c r="CA42" s="17">
        <v>1.1065879581262088</v>
      </c>
      <c r="CB42" s="17">
        <v>0.64853112424098702</v>
      </c>
      <c r="CC42" s="17">
        <v>0.68474835673436407</v>
      </c>
      <c r="CD42" s="17">
        <v>1.0701839379151246</v>
      </c>
      <c r="CE42" s="17">
        <v>1.0633413301489631</v>
      </c>
      <c r="CF42" s="17">
        <v>0.78878288023693888</v>
      </c>
      <c r="CG42" s="17">
        <v>0.66260852338887999</v>
      </c>
      <c r="CH42" s="17">
        <v>0.57519792629497746</v>
      </c>
      <c r="CI42" s="17">
        <v>1.2001185531153744</v>
      </c>
      <c r="CJ42" s="17">
        <v>0.44047035457907274</v>
      </c>
      <c r="CK42" s="17">
        <v>0.66905828172715753</v>
      </c>
      <c r="CL42" s="17">
        <v>0.40720282373972327</v>
      </c>
      <c r="CM42" s="17">
        <v>0.71529633696310346</v>
      </c>
      <c r="CN42" s="17">
        <v>0.95309104078946227</v>
      </c>
      <c r="CO42" s="17">
        <v>1.0692653194352844</v>
      </c>
      <c r="CP42" s="17">
        <v>0.49887879199235163</v>
      </c>
      <c r="CQ42" s="17">
        <v>1.0078557877445853</v>
      </c>
      <c r="CR42" s="17">
        <v>0.57336779059475107</v>
      </c>
      <c r="CS42" s="17">
        <v>0.67525588032456185</v>
      </c>
      <c r="CT42" s="17">
        <v>1.1269852544043719</v>
      </c>
      <c r="CU42" s="17">
        <v>1.2326193580910834</v>
      </c>
      <c r="CV42" s="17">
        <v>0.77730631016312857</v>
      </c>
      <c r="CW42" s="17">
        <v>0.63430417611408219</v>
      </c>
      <c r="CX42" s="17">
        <v>1.195020172316873</v>
      </c>
      <c r="CY42" s="17">
        <v>0.71415209031064875</v>
      </c>
      <c r="CZ42" s="17">
        <v>0.52341759108597763</v>
      </c>
      <c r="DA42" s="17">
        <v>0.54766674033096041</v>
      </c>
      <c r="DB42" s="17">
        <v>0.77473462505666801</v>
      </c>
      <c r="DC42" s="17">
        <v>0.28909234914795018</v>
      </c>
      <c r="DD42" s="17">
        <v>0.35537207291212192</v>
      </c>
      <c r="DE42" s="17">
        <v>0.65183500879899481</v>
      </c>
      <c r="DF42" s="17">
        <v>0.99192080580857933</v>
      </c>
      <c r="DG42" s="17">
        <v>0.6218363277174227</v>
      </c>
      <c r="DH42" s="17">
        <v>1.0670102895692313</v>
      </c>
      <c r="DI42" s="17">
        <v>0.81799440952954916</v>
      </c>
      <c r="DJ42" s="17">
        <v>0.26165168153123608</v>
      </c>
      <c r="DK42" s="17">
        <v>0.49948749588906183</v>
      </c>
      <c r="DL42" s="17">
        <v>0.69316725676344848</v>
      </c>
      <c r="DM42" s="17">
        <v>0.58507562331942575</v>
      </c>
      <c r="DN42" s="17">
        <v>0.59444195156040691</v>
      </c>
      <c r="DO42" s="17">
        <v>0.55028044096402773</v>
      </c>
      <c r="DP42" s="17">
        <v>0.97551775028260779</v>
      </c>
      <c r="DQ42" s="17">
        <v>0.58775087813473403</v>
      </c>
      <c r="DR42" s="17">
        <v>0.34507832018644152</v>
      </c>
      <c r="DS42" s="17">
        <v>1.5231420357173044</v>
      </c>
      <c r="DT42" s="17">
        <v>0.50401871538022736</v>
      </c>
      <c r="DU42" s="17">
        <v>1.0143436745284953</v>
      </c>
      <c r="DV42" s="17">
        <v>0.72943939030121141</v>
      </c>
      <c r="DW42" s="17">
        <v>0.5063245128259003</v>
      </c>
      <c r="DX42" s="17">
        <v>0.66836762863164301</v>
      </c>
      <c r="DY42" s="17">
        <v>0.62105554014143838</v>
      </c>
      <c r="DZ42" s="17">
        <v>0.67776006679667866</v>
      </c>
      <c r="EA42" s="17">
        <v>0.60747053368293147</v>
      </c>
      <c r="EB42" s="17">
        <v>0.58936456312622187</v>
      </c>
      <c r="EC42" s="17">
        <v>0.22185171109361168</v>
      </c>
      <c r="ED42" s="17">
        <v>0.6908564878822373</v>
      </c>
      <c r="EE42" s="17">
        <v>1.2565754070065029</v>
      </c>
      <c r="EF42" s="17">
        <v>0.57686241221209289</v>
      </c>
      <c r="EG42" s="17">
        <v>0.65984782081355753</v>
      </c>
      <c r="EH42" s="17">
        <v>1.0390520516978841</v>
      </c>
      <c r="EI42" s="17">
        <v>0.91477079135774186</v>
      </c>
      <c r="EJ42" s="17">
        <v>1.1953906453549434</v>
      </c>
      <c r="EK42" s="17">
        <v>0.67384441117395366</v>
      </c>
      <c r="EL42" s="17">
        <v>1.0249023332572407</v>
      </c>
      <c r="EM42" s="17">
        <v>0.96884851129103489</v>
      </c>
      <c r="EN42" s="17">
        <v>0.48717117352408529</v>
      </c>
      <c r="EO42" s="17">
        <v>0.38288994717200914</v>
      </c>
      <c r="EP42" s="17">
        <v>1.1939653583277487</v>
      </c>
      <c r="EQ42" s="17">
        <v>0.33519883200500633</v>
      </c>
      <c r="ER42" s="17">
        <v>0.35251472740248158</v>
      </c>
      <c r="ES42" s="17">
        <v>0.64748956700708971</v>
      </c>
      <c r="ET42" s="17">
        <v>0.99651003339440603</v>
      </c>
      <c r="EU42" s="17">
        <v>0.80441175933761522</v>
      </c>
      <c r="EV42" s="17">
        <v>0.77352971525831848</v>
      </c>
      <c r="EW42" s="17">
        <v>0.99682260280720147</v>
      </c>
      <c r="EX42" s="90">
        <v>0.66552228369655952</v>
      </c>
      <c r="EY42" s="14">
        <v>2025</v>
      </c>
      <c r="EZ42" s="14" t="s">
        <v>873</v>
      </c>
      <c r="FA42" s="48" t="s">
        <v>1007</v>
      </c>
      <c r="FB42" s="9" t="s">
        <v>929</v>
      </c>
    </row>
    <row r="43" spans="2:158" ht="15" customHeight="1" x14ac:dyDescent="0.35">
      <c r="B43" s="18" t="s">
        <v>866</v>
      </c>
      <c r="C43" s="95" t="s">
        <v>951</v>
      </c>
      <c r="D43" s="9" t="s">
        <v>952</v>
      </c>
      <c r="E43" s="17">
        <v>0.80762876016502927</v>
      </c>
      <c r="F43" s="17">
        <v>0.64090442613532073</v>
      </c>
      <c r="G43" s="17">
        <v>0.65287808164109562</v>
      </c>
      <c r="H43" s="17">
        <v>0.90885367821725593</v>
      </c>
      <c r="I43" s="17">
        <v>0.51653693971063042</v>
      </c>
      <c r="J43" s="17">
        <v>0.85753459891404993</v>
      </c>
      <c r="K43" s="17">
        <v>0.51680790625468753</v>
      </c>
      <c r="L43" s="17">
        <v>0.28962719500938056</v>
      </c>
      <c r="M43" s="17">
        <v>0.40178082155547773</v>
      </c>
      <c r="N43" s="17">
        <v>0.32904982254762299</v>
      </c>
      <c r="O43" s="17">
        <v>0.69397975256914579</v>
      </c>
      <c r="P43" s="17">
        <v>0.51467915185698798</v>
      </c>
      <c r="Q43" s="17">
        <v>0.57577577833618243</v>
      </c>
      <c r="R43" s="17">
        <v>0.67621806418494601</v>
      </c>
      <c r="S43" s="17">
        <v>0.96964134260322032</v>
      </c>
      <c r="T43" s="17">
        <v>0.54197206370922657</v>
      </c>
      <c r="U43" s="17">
        <v>0.71277357503660022</v>
      </c>
      <c r="V43" s="17">
        <v>0.69673889462258976</v>
      </c>
      <c r="W43" s="17">
        <v>0.33452311473595769</v>
      </c>
      <c r="X43" s="17">
        <v>0.58321662863324997</v>
      </c>
      <c r="Y43" s="17">
        <v>0.73887926395002002</v>
      </c>
      <c r="Z43" s="17">
        <v>0.61354381191764107</v>
      </c>
      <c r="AA43" s="17">
        <v>0.40160970599683854</v>
      </c>
      <c r="AB43" s="17">
        <v>0.24698208713617864</v>
      </c>
      <c r="AC43" s="17">
        <v>0.56928038717091334</v>
      </c>
      <c r="AD43" s="17">
        <v>1.5959687357657664</v>
      </c>
      <c r="AE43" s="17">
        <v>0.45707584256901301</v>
      </c>
      <c r="AF43" s="17">
        <v>0.46234464849696483</v>
      </c>
      <c r="AG43" s="17">
        <v>0.72009682825584942</v>
      </c>
      <c r="AH43" s="17">
        <v>0.68380092692928895</v>
      </c>
      <c r="AI43" s="17">
        <v>0.42556343829857285</v>
      </c>
      <c r="AJ43" s="17">
        <v>0.33012624839948773</v>
      </c>
      <c r="AK43" s="17">
        <v>0.72393702870367038</v>
      </c>
      <c r="AL43" s="17">
        <v>0.30213505732962509</v>
      </c>
      <c r="AM43" s="17">
        <v>0.93333939981576786</v>
      </c>
      <c r="AN43" s="17">
        <v>0.26588745075380371</v>
      </c>
      <c r="AO43" s="17">
        <v>0.53942608684107418</v>
      </c>
      <c r="AP43" s="17">
        <v>0.98744029088666674</v>
      </c>
      <c r="AQ43" s="17">
        <v>0.53217485610941218</v>
      </c>
      <c r="AR43" s="17">
        <v>1.1318717211275973</v>
      </c>
      <c r="AS43" s="17">
        <v>0.45043182364759365</v>
      </c>
      <c r="AT43" s="17">
        <v>0.70002278274517116</v>
      </c>
      <c r="AU43" s="17">
        <v>0.4003261858670914</v>
      </c>
      <c r="AV43" s="17">
        <v>0.28175586320360413</v>
      </c>
      <c r="AW43" s="17">
        <v>0.75271412136122129</v>
      </c>
      <c r="AX43" s="17">
        <v>0.30807473566791366</v>
      </c>
      <c r="AY43" s="17">
        <v>0.53230153287205739</v>
      </c>
      <c r="AZ43" s="17">
        <v>0.65076108071303074</v>
      </c>
      <c r="BA43" s="17">
        <v>0.64438902018055499</v>
      </c>
      <c r="BB43" s="17">
        <v>0.64246081616223227</v>
      </c>
      <c r="BC43" s="17">
        <v>0.49383104164295505</v>
      </c>
      <c r="BD43" s="17">
        <v>0.66165956599926934</v>
      </c>
      <c r="BE43" s="17">
        <v>0.51065222632354712</v>
      </c>
      <c r="BF43" s="17">
        <v>0.60259256216610579</v>
      </c>
      <c r="BG43" s="17">
        <v>0.51240308761433762</v>
      </c>
      <c r="BH43" s="17">
        <v>0.91984409378617304</v>
      </c>
      <c r="BI43" s="17">
        <v>0.81209627269785789</v>
      </c>
      <c r="BJ43" s="17">
        <v>0.29983535615210477</v>
      </c>
      <c r="BK43" s="17">
        <v>0.64371744885148785</v>
      </c>
      <c r="BL43" s="17">
        <v>0.50788048639337047</v>
      </c>
      <c r="BM43" s="17">
        <v>0.93087555359351026</v>
      </c>
      <c r="BN43" s="17">
        <v>1.3432357327270696</v>
      </c>
      <c r="BO43" s="17">
        <v>0.20723244258297815</v>
      </c>
      <c r="BP43" s="17">
        <v>1.27709714767043</v>
      </c>
      <c r="BQ43" s="17">
        <v>1.1247718887923372</v>
      </c>
      <c r="BR43" s="17">
        <v>0.22333398639319055</v>
      </c>
      <c r="BS43" s="17">
        <v>0.28437343655955388</v>
      </c>
      <c r="BT43" s="17">
        <v>0.36781771713721895</v>
      </c>
      <c r="BU43" s="17">
        <v>0.76582174152139748</v>
      </c>
      <c r="BV43" s="17">
        <v>0.82676277814383015</v>
      </c>
      <c r="BW43" s="17">
        <v>0.42720808641199765</v>
      </c>
      <c r="BX43" s="17">
        <v>0.6662490098910151</v>
      </c>
      <c r="BY43" s="17">
        <v>0.38886558544489241</v>
      </c>
      <c r="BZ43" s="17">
        <v>0.35930583257377668</v>
      </c>
      <c r="CA43" s="17">
        <v>1.0120549315949834</v>
      </c>
      <c r="CB43" s="17">
        <v>0.59796864296911501</v>
      </c>
      <c r="CC43" s="17">
        <v>0.90124906249954129</v>
      </c>
      <c r="CD43" s="17">
        <v>1.0233971657388763</v>
      </c>
      <c r="CE43" s="17">
        <v>0.93060009845629199</v>
      </c>
      <c r="CF43" s="17">
        <v>0.73266092849921438</v>
      </c>
      <c r="CG43" s="17">
        <v>0.6123192898859533</v>
      </c>
      <c r="CH43" s="17">
        <v>0.53805751644837552</v>
      </c>
      <c r="CI43" s="17">
        <v>1.096349807656164</v>
      </c>
      <c r="CJ43" s="17">
        <v>0.42356689907119055</v>
      </c>
      <c r="CK43" s="17">
        <v>0.58903615317677327</v>
      </c>
      <c r="CL43" s="17">
        <v>0.40226230802312601</v>
      </c>
      <c r="CM43" s="17">
        <v>0.67521804568411192</v>
      </c>
      <c r="CN43" s="17">
        <v>0.88851236339335549</v>
      </c>
      <c r="CO43" s="17">
        <v>0.97853362148332013</v>
      </c>
      <c r="CP43" s="17">
        <v>0.48213825809976063</v>
      </c>
      <c r="CQ43" s="17">
        <v>0.92713985729644144</v>
      </c>
      <c r="CR43" s="17">
        <v>0.53172929736825769</v>
      </c>
      <c r="CS43" s="17">
        <v>0.70673558749970533</v>
      </c>
      <c r="CT43" s="17">
        <v>0.91306690027149928</v>
      </c>
      <c r="CU43" s="17">
        <v>1.1546466589661233</v>
      </c>
      <c r="CV43" s="17">
        <v>0.71750431060285569</v>
      </c>
      <c r="CW43" s="17">
        <v>0.58271749816130103</v>
      </c>
      <c r="CX43" s="17">
        <v>1.0916843086429824</v>
      </c>
      <c r="CY43" s="17">
        <v>0.66201899819187604</v>
      </c>
      <c r="CZ43" s="17">
        <v>0.49292279952314128</v>
      </c>
      <c r="DA43" s="17">
        <v>0.52104440470351632</v>
      </c>
      <c r="DB43" s="17">
        <v>0.7147469868462023</v>
      </c>
      <c r="DC43" s="17">
        <v>0.2961341045851516</v>
      </c>
      <c r="DD43" s="17">
        <v>0.34841701385068796</v>
      </c>
      <c r="DE43" s="17">
        <v>0.60175419150170351</v>
      </c>
      <c r="DF43" s="17">
        <v>0.90765873947010545</v>
      </c>
      <c r="DG43" s="17">
        <v>0.50780801984819901</v>
      </c>
      <c r="DH43" s="17">
        <v>1.0084819454661922</v>
      </c>
      <c r="DI43" s="17">
        <v>0.77684787510014874</v>
      </c>
      <c r="DJ43" s="17">
        <v>0.29041108397378423</v>
      </c>
      <c r="DK43" s="17">
        <v>0.495202562433042</v>
      </c>
      <c r="DL43" s="17">
        <v>0.64009587914984578</v>
      </c>
      <c r="DM43" s="17">
        <v>0.61298170150133158</v>
      </c>
      <c r="DN43" s="17">
        <v>0.58757057066864338</v>
      </c>
      <c r="DO43" s="17">
        <v>0.5079555988158494</v>
      </c>
      <c r="DP43" s="17">
        <v>0.93685847911855424</v>
      </c>
      <c r="DQ43" s="17">
        <v>0.56005246457490931</v>
      </c>
      <c r="DR43" s="17">
        <v>0.33411554118126457</v>
      </c>
      <c r="DS43" s="17">
        <v>1.3633418301048821</v>
      </c>
      <c r="DT43" s="17">
        <v>0.46513024829747091</v>
      </c>
      <c r="DU43" s="17">
        <v>1.1409305912679906</v>
      </c>
      <c r="DV43" s="17">
        <v>0.68160341388776768</v>
      </c>
      <c r="DW43" s="17">
        <v>0.46596982370405338</v>
      </c>
      <c r="DX43" s="17">
        <v>0.61500513740330487</v>
      </c>
      <c r="DY43" s="17">
        <v>0.57506494217966675</v>
      </c>
      <c r="DZ43" s="17">
        <v>0.62376671037534859</v>
      </c>
      <c r="EA43" s="17">
        <v>0.58010644767063024</v>
      </c>
      <c r="EB43" s="17">
        <v>0.57796950570471595</v>
      </c>
      <c r="EC43" s="17">
        <v>0.23702781335229642</v>
      </c>
      <c r="ED43" s="17">
        <v>0.63794085630412389</v>
      </c>
      <c r="EE43" s="17">
        <v>1.1469631114997794</v>
      </c>
      <c r="EF43" s="17">
        <v>0.53758908648440107</v>
      </c>
      <c r="EG43" s="17">
        <v>0.61706253057754179</v>
      </c>
      <c r="EH43" s="17">
        <v>0.98708721031809388</v>
      </c>
      <c r="EI43" s="17">
        <v>0.84538776597782084</v>
      </c>
      <c r="EJ43" s="17">
        <v>1.1333634724580763</v>
      </c>
      <c r="EK43" s="17">
        <v>0.71742141814375282</v>
      </c>
      <c r="EL43" s="17">
        <v>0.99211047394811525</v>
      </c>
      <c r="EM43" s="17">
        <v>0.85511405394933027</v>
      </c>
      <c r="EN43" s="17">
        <v>0.46369651542969648</v>
      </c>
      <c r="EO43" s="17">
        <v>0.3547109047555459</v>
      </c>
      <c r="EP43" s="17">
        <v>1.1217355434840399</v>
      </c>
      <c r="EQ43" s="17">
        <v>0.30920496040942025</v>
      </c>
      <c r="ER43" s="17">
        <v>0.42620498290112491</v>
      </c>
      <c r="ES43" s="17">
        <v>0.59630759981464621</v>
      </c>
      <c r="ET43" s="17">
        <v>1.0692021933333951</v>
      </c>
      <c r="EU43" s="17">
        <v>0.73951724613958991</v>
      </c>
      <c r="EV43" s="17">
        <v>0.71516676931683709</v>
      </c>
      <c r="EW43" s="17">
        <v>0.91919425029320667</v>
      </c>
      <c r="EX43" s="90">
        <v>0.61500513740330487</v>
      </c>
      <c r="EY43" s="14">
        <v>2025</v>
      </c>
      <c r="EZ43" s="14" t="s">
        <v>873</v>
      </c>
      <c r="FA43" s="48" t="s">
        <v>1007</v>
      </c>
      <c r="FB43" s="9" t="s">
        <v>929</v>
      </c>
    </row>
    <row r="44" spans="2:158" ht="15" customHeight="1" x14ac:dyDescent="0.35">
      <c r="B44" s="18" t="s">
        <v>866</v>
      </c>
      <c r="C44" s="95">
        <v>333120</v>
      </c>
      <c r="D44" s="9" t="s">
        <v>948</v>
      </c>
      <c r="E44" s="17">
        <v>0.86708889106384901</v>
      </c>
      <c r="F44" s="17">
        <v>0.65981802912012655</v>
      </c>
      <c r="G44" s="17">
        <v>0.73898833818475562</v>
      </c>
      <c r="H44" s="17">
        <v>0.97888695518666846</v>
      </c>
      <c r="I44" s="17">
        <v>0.60145866054387809</v>
      </c>
      <c r="J44" s="17">
        <v>0.94149027075042846</v>
      </c>
      <c r="K44" s="17">
        <v>0.56010240107105647</v>
      </c>
      <c r="L44" s="17">
        <v>0.3561890561634744</v>
      </c>
      <c r="M44" s="17">
        <v>0.44569964884096219</v>
      </c>
      <c r="N44" s="17">
        <v>0.4005864839720118</v>
      </c>
      <c r="O44" s="17">
        <v>0.81509307991490432</v>
      </c>
      <c r="P44" s="17">
        <v>0.57204900558818472</v>
      </c>
      <c r="Q44" s="17">
        <v>0.64183904640062028</v>
      </c>
      <c r="R44" s="17">
        <v>0.6983353407034546</v>
      </c>
      <c r="S44" s="17">
        <v>1.0856039964702595</v>
      </c>
      <c r="T44" s="17">
        <v>0.59642522032913625</v>
      </c>
      <c r="U44" s="17">
        <v>0.7807438979839918</v>
      </c>
      <c r="V44" s="17">
        <v>0.8203162917365211</v>
      </c>
      <c r="W44" s="17">
        <v>0.41849980097277029</v>
      </c>
      <c r="X44" s="17">
        <v>0.649688972457099</v>
      </c>
      <c r="Y44" s="17">
        <v>0.84816489543381901</v>
      </c>
      <c r="Z44" s="17">
        <v>0.67216951140560111</v>
      </c>
      <c r="AA44" s="17">
        <v>0.48586833890803199</v>
      </c>
      <c r="AB44" s="17">
        <v>0.29968137611430451</v>
      </c>
      <c r="AC44" s="17">
        <v>0.7263327961123146</v>
      </c>
      <c r="AD44" s="17">
        <v>1.2757707105549896</v>
      </c>
      <c r="AE44" s="17">
        <v>0.50458992167104877</v>
      </c>
      <c r="AF44" s="17">
        <v>0.52748677808001732</v>
      </c>
      <c r="AG44" s="17">
        <v>0.81752201520441581</v>
      </c>
      <c r="AH44" s="17">
        <v>0.73217308208334542</v>
      </c>
      <c r="AI44" s="17">
        <v>0.61024704892097559</v>
      </c>
      <c r="AJ44" s="17">
        <v>0.40236889262515613</v>
      </c>
      <c r="AK44" s="17">
        <v>0.82031010336919752</v>
      </c>
      <c r="AL44" s="17">
        <v>0.3504557416038182</v>
      </c>
      <c r="AM44" s="17">
        <v>1.0143458285621043</v>
      </c>
      <c r="AN44" s="17">
        <v>0.30925061379530755</v>
      </c>
      <c r="AO44" s="17">
        <v>0.60689821928001331</v>
      </c>
      <c r="AP44" s="17">
        <v>1.1440763230594762</v>
      </c>
      <c r="AQ44" s="17">
        <v>0.62651418290553951</v>
      </c>
      <c r="AR44" s="17">
        <v>1.3199835627551613</v>
      </c>
      <c r="AS44" s="17">
        <v>0.58436907082565126</v>
      </c>
      <c r="AT44" s="17">
        <v>0.8426622665357637</v>
      </c>
      <c r="AU44" s="17">
        <v>0.46949435244768156</v>
      </c>
      <c r="AV44" s="17">
        <v>0.34061824990706152</v>
      </c>
      <c r="AW44" s="17">
        <v>0.84473024718203604</v>
      </c>
      <c r="AX44" s="17">
        <v>0.37750450655005174</v>
      </c>
      <c r="AY44" s="17">
        <v>0.62149977482733698</v>
      </c>
      <c r="AZ44" s="17">
        <v>0.82749112643889167</v>
      </c>
      <c r="BA44" s="17">
        <v>0.71656679819051239</v>
      </c>
      <c r="BB44" s="17">
        <v>0.71784145818072398</v>
      </c>
      <c r="BC44" s="17">
        <v>0.54985399148334513</v>
      </c>
      <c r="BD44" s="17">
        <v>0.73957632355649305</v>
      </c>
      <c r="BE44" s="17">
        <v>0.65863046778500378</v>
      </c>
      <c r="BF44" s="17">
        <v>0.66313042740992068</v>
      </c>
      <c r="BG44" s="17">
        <v>0.57776790887128804</v>
      </c>
      <c r="BH44" s="17">
        <v>1.0937500350801779</v>
      </c>
      <c r="BI44" s="17">
        <v>0.90475866870758737</v>
      </c>
      <c r="BJ44" s="17">
        <v>0.38629361374411042</v>
      </c>
      <c r="BK44" s="17">
        <v>0.66596178136829998</v>
      </c>
      <c r="BL44" s="17">
        <v>0.52773892110223175</v>
      </c>
      <c r="BM44" s="17">
        <v>0.97248683260565993</v>
      </c>
      <c r="BN44" s="17">
        <v>1.25462660504213</v>
      </c>
      <c r="BO44" s="17">
        <v>0.24535154622201166</v>
      </c>
      <c r="BP44" s="17">
        <v>1.5160313188512238</v>
      </c>
      <c r="BQ44" s="17">
        <v>1.2335766774004771</v>
      </c>
      <c r="BR44" s="17">
        <v>0.31222203203674587</v>
      </c>
      <c r="BS44" s="17">
        <v>0.41306234729035379</v>
      </c>
      <c r="BT44" s="17">
        <v>0.37363911257045118</v>
      </c>
      <c r="BU44" s="17">
        <v>0.87412992471618922</v>
      </c>
      <c r="BV44" s="17">
        <v>0.92416852471081423</v>
      </c>
      <c r="BW44" s="17">
        <v>0.4123817373249532</v>
      </c>
      <c r="BX44" s="17">
        <v>1.1778613690712825</v>
      </c>
      <c r="BY44" s="17">
        <v>0.4506912765063249</v>
      </c>
      <c r="BZ44" s="17">
        <v>0.4558482888857418</v>
      </c>
      <c r="CA44" s="17">
        <v>1.0985695833383728</v>
      </c>
      <c r="CB44" s="17">
        <v>0.65072907341465647</v>
      </c>
      <c r="CC44" s="17">
        <v>0.83951177727984361</v>
      </c>
      <c r="CD44" s="17">
        <v>1.0630507357368546</v>
      </c>
      <c r="CE44" s="17">
        <v>1.2776213621124084</v>
      </c>
      <c r="CF44" s="17">
        <v>0.8300482781154126</v>
      </c>
      <c r="CG44" s="17">
        <v>0.66326004596256105</v>
      </c>
      <c r="CH44" s="17">
        <v>0.59963224179397756</v>
      </c>
      <c r="CI44" s="17">
        <v>1.1855787510782285</v>
      </c>
      <c r="CJ44" s="17">
        <v>0.67717170267504556</v>
      </c>
      <c r="CK44" s="17">
        <v>0.88517384348097672</v>
      </c>
      <c r="CL44" s="17">
        <v>0.4234345260298083</v>
      </c>
      <c r="CM44" s="17">
        <v>0.75159136159341422</v>
      </c>
      <c r="CN44" s="17">
        <v>0.99796594841858843</v>
      </c>
      <c r="CO44" s="17">
        <v>1.0634236805740793</v>
      </c>
      <c r="CP44" s="17">
        <v>0.51106116008794178</v>
      </c>
      <c r="CQ44" s="17">
        <v>1.0256897005440979</v>
      </c>
      <c r="CR44" s="17">
        <v>0.59266984824636271</v>
      </c>
      <c r="CS44" s="17">
        <v>0.71044854573244909</v>
      </c>
      <c r="CT44" s="17">
        <v>1.2036069374505731</v>
      </c>
      <c r="CU44" s="17">
        <v>1.2997575614007655</v>
      </c>
      <c r="CV44" s="17">
        <v>0.78848372749032336</v>
      </c>
      <c r="CW44" s="17">
        <v>0.64372200712915117</v>
      </c>
      <c r="CX44" s="17">
        <v>1.0779143498177117</v>
      </c>
      <c r="CY44" s="17">
        <v>0.73339040152740564</v>
      </c>
      <c r="CZ44" s="17">
        <v>0.52887096298620517</v>
      </c>
      <c r="DA44" s="17">
        <v>0.58471555398119601</v>
      </c>
      <c r="DB44" s="17">
        <v>0.80689159140991706</v>
      </c>
      <c r="DC44" s="17">
        <v>0.30193686083922427</v>
      </c>
      <c r="DD44" s="17">
        <v>0.45805191833136127</v>
      </c>
      <c r="DE44" s="17">
        <v>0.69624432648144741</v>
      </c>
      <c r="DF44" s="17">
        <v>0.97253146148605218</v>
      </c>
      <c r="DG44" s="17">
        <v>0.84084770502685158</v>
      </c>
      <c r="DH44" s="17">
        <v>1.1581104134469564</v>
      </c>
      <c r="DI44" s="17">
        <v>0.93641137569011135</v>
      </c>
      <c r="DJ44" s="17">
        <v>0.3017766823181583</v>
      </c>
      <c r="DK44" s="17">
        <v>0.50648302718048321</v>
      </c>
      <c r="DL44" s="17">
        <v>0.71598724407766845</v>
      </c>
      <c r="DM44" s="17">
        <v>0.71859062729163281</v>
      </c>
      <c r="DN44" s="17">
        <v>0.80815975326931333</v>
      </c>
      <c r="DO44" s="17">
        <v>0.57530382100056676</v>
      </c>
      <c r="DP44" s="17">
        <v>0.96822457754112767</v>
      </c>
      <c r="DQ44" s="17">
        <v>0.65068574921518962</v>
      </c>
      <c r="DR44" s="17">
        <v>0.4113491899453639</v>
      </c>
      <c r="DS44" s="17">
        <v>1.3909879273215293</v>
      </c>
      <c r="DT44" s="17">
        <v>0.51021156229731923</v>
      </c>
      <c r="DU44" s="17">
        <v>1.3007918815577737</v>
      </c>
      <c r="DV44" s="17">
        <v>0.77161428818301014</v>
      </c>
      <c r="DW44" s="17">
        <v>0.5081584139808204</v>
      </c>
      <c r="DX44" s="17">
        <v>0.67877071042114301</v>
      </c>
      <c r="DY44" s="17">
        <v>0.64508985676326192</v>
      </c>
      <c r="DZ44" s="17">
        <v>0.70248159226061335</v>
      </c>
      <c r="EA44" s="17">
        <v>0.78694903235827296</v>
      </c>
      <c r="EB44" s="17">
        <v>0.87646682669181897</v>
      </c>
      <c r="EC44" s="17">
        <v>0.28792171179370468</v>
      </c>
      <c r="ED44" s="17">
        <v>0.72761879480558878</v>
      </c>
      <c r="EE44" s="17">
        <v>1.2413498879849094</v>
      </c>
      <c r="EF44" s="17">
        <v>0.55878649793559432</v>
      </c>
      <c r="EG44" s="17">
        <v>0.70938092690271182</v>
      </c>
      <c r="EH44" s="17">
        <v>1.1669205437805394</v>
      </c>
      <c r="EI44" s="17">
        <v>0.95994531641786141</v>
      </c>
      <c r="EJ44" s="17">
        <v>1.3044888743194643</v>
      </c>
      <c r="EK44" s="17">
        <v>0.77805307013980818</v>
      </c>
      <c r="EL44" s="17">
        <v>0.97156745806644518</v>
      </c>
      <c r="EM44" s="17">
        <v>1.0253657866907242</v>
      </c>
      <c r="EN44" s="17">
        <v>0.50032715507729464</v>
      </c>
      <c r="EO44" s="17">
        <v>0.41272069355684488</v>
      </c>
      <c r="EP44" s="17">
        <v>1.3262572727347866</v>
      </c>
      <c r="EQ44" s="17">
        <v>0.35126713770828083</v>
      </c>
      <c r="ER44" s="17">
        <v>0.46576868707668073</v>
      </c>
      <c r="ES44" s="17">
        <v>0.65433384734418598</v>
      </c>
      <c r="ET44" s="17">
        <v>1.0831363315055307</v>
      </c>
      <c r="EU44" s="17">
        <v>0.80257805705414731</v>
      </c>
      <c r="EV44" s="17">
        <v>0.80583660874307872</v>
      </c>
      <c r="EW44" s="17">
        <v>1.2832678121714147</v>
      </c>
      <c r="EX44" s="90">
        <v>0.71598724407766845</v>
      </c>
      <c r="EY44" s="14">
        <v>2025</v>
      </c>
      <c r="EZ44" s="14" t="s">
        <v>873</v>
      </c>
      <c r="FA44" s="48" t="s">
        <v>1007</v>
      </c>
      <c r="FB44" s="9" t="s">
        <v>929</v>
      </c>
    </row>
    <row r="45" spans="2:158" x14ac:dyDescent="0.35">
      <c r="B45" s="18" t="s">
        <v>866</v>
      </c>
      <c r="C45" s="25">
        <v>339112</v>
      </c>
      <c r="D45" s="55" t="s">
        <v>958</v>
      </c>
      <c r="E45" s="36">
        <v>0.8422036169774556</v>
      </c>
      <c r="F45" s="36">
        <v>0.66728708949069149</v>
      </c>
      <c r="G45" s="36">
        <v>0.65855142893941887</v>
      </c>
      <c r="H45" s="36">
        <v>0.93570648204805118</v>
      </c>
      <c r="I45" s="36">
        <v>0.42496047409499765</v>
      </c>
      <c r="J45" s="36">
        <v>0.85621578478840199</v>
      </c>
      <c r="K45" s="36">
        <v>0.3688071710480465</v>
      </c>
      <c r="L45" s="36">
        <v>0.31676181324720509</v>
      </c>
      <c r="M45" s="36">
        <v>0.39603525901248393</v>
      </c>
      <c r="N45" s="36">
        <v>0.29237143276673155</v>
      </c>
      <c r="O45" s="36">
        <v>0.71282769244956501</v>
      </c>
      <c r="P45" s="36">
        <v>0.51794777312284612</v>
      </c>
      <c r="Q45" s="36">
        <v>0.59072258732248339</v>
      </c>
      <c r="R45" s="36">
        <v>0.38604473819993129</v>
      </c>
      <c r="S45" s="36">
        <v>1.0130352191040322</v>
      </c>
      <c r="T45" s="36">
        <v>0.53998852234920314</v>
      </c>
      <c r="U45" s="36">
        <v>0.70912355393263615</v>
      </c>
      <c r="V45" s="36">
        <v>0.71657365234590809</v>
      </c>
      <c r="W45" s="36">
        <v>0.29635814778562386</v>
      </c>
      <c r="X45" s="36">
        <v>0.58644890689505125</v>
      </c>
      <c r="Y45" s="36">
        <v>0.74815126821053357</v>
      </c>
      <c r="Z45" s="36">
        <v>0.61040511027730693</v>
      </c>
      <c r="AA45" s="36">
        <v>0.39256637441851649</v>
      </c>
      <c r="AB45" s="36">
        <v>0.19991400307192944</v>
      </c>
      <c r="AC45" s="36">
        <v>0.42793678768334431</v>
      </c>
      <c r="AD45" s="36">
        <v>1.3067203502711668</v>
      </c>
      <c r="AE45" s="36">
        <v>0.46305099663455457</v>
      </c>
      <c r="AF45" s="36">
        <v>0.46761159172566863</v>
      </c>
      <c r="AG45" s="36">
        <v>0.73255105311424928</v>
      </c>
      <c r="AH45" s="36">
        <v>0.38322362437971291</v>
      </c>
      <c r="AI45" s="36">
        <v>0.25300234012127615</v>
      </c>
      <c r="AJ45" s="36">
        <v>0.25821245111417984</v>
      </c>
      <c r="AK45" s="36">
        <v>0.38049788185451811</v>
      </c>
      <c r="AL45" s="36">
        <v>0.2716991108888836</v>
      </c>
      <c r="AM45" s="36">
        <v>0.93024793536989125</v>
      </c>
      <c r="AN45" s="36">
        <v>0.15761143606608957</v>
      </c>
      <c r="AO45" s="36">
        <v>0.54811832852184095</v>
      </c>
      <c r="AP45" s="36">
        <v>1.040123356463367</v>
      </c>
      <c r="AQ45" s="36">
        <v>0.53950933503804155</v>
      </c>
      <c r="AR45" s="36">
        <v>1.1948270588552743</v>
      </c>
      <c r="AS45" s="36">
        <v>0.23202907476866921</v>
      </c>
      <c r="AT45" s="36">
        <v>0.50923109724162652</v>
      </c>
      <c r="AU45" s="36">
        <v>0.39883789608725911</v>
      </c>
      <c r="AV45" s="36">
        <v>0.20629312611769063</v>
      </c>
      <c r="AW45" s="36">
        <v>0.76142121326292878</v>
      </c>
      <c r="AX45" s="36">
        <v>0.22610020246908552</v>
      </c>
      <c r="AY45" s="36">
        <v>0.54061454471466186</v>
      </c>
      <c r="AZ45" s="36">
        <v>0.16351204043321677</v>
      </c>
      <c r="BA45" s="36">
        <v>0.64309528420713347</v>
      </c>
      <c r="BB45" s="36">
        <v>0.65227126474540942</v>
      </c>
      <c r="BC45" s="36">
        <v>0.49656036279972293</v>
      </c>
      <c r="BD45" s="36">
        <v>0.67112254075255495</v>
      </c>
      <c r="BE45" s="36">
        <v>0.41159305350208236</v>
      </c>
      <c r="BF45" s="36">
        <v>0.59888840130369292</v>
      </c>
      <c r="BG45" s="36">
        <v>0.5180004634224662</v>
      </c>
      <c r="BH45" s="36">
        <v>0.83543316615328678</v>
      </c>
      <c r="BI45" s="36">
        <v>0.82206158286351805</v>
      </c>
      <c r="BJ45" s="36">
        <v>0.28333855777371131</v>
      </c>
      <c r="BK45" s="36">
        <v>0.66361604100060689</v>
      </c>
      <c r="BL45" s="36">
        <v>0.3463915707939213</v>
      </c>
      <c r="BM45" s="36">
        <v>1.0563776989599083</v>
      </c>
      <c r="BN45" s="36">
        <v>0.78526903562531103</v>
      </c>
      <c r="BO45" s="36">
        <v>0.10294475551920702</v>
      </c>
      <c r="BP45" s="36">
        <v>1.3567793643016584</v>
      </c>
      <c r="BQ45" s="36">
        <v>1.1889160217071424</v>
      </c>
      <c r="BR45" s="36">
        <v>0.20547012097275258</v>
      </c>
      <c r="BS45" s="36">
        <v>0.29515876212672149</v>
      </c>
      <c r="BT45" s="36">
        <v>0.26358031282778799</v>
      </c>
      <c r="BU45" s="36">
        <v>0.78404804627140945</v>
      </c>
      <c r="BV45" s="36">
        <v>0.85614813951264312</v>
      </c>
      <c r="BW45" s="36">
        <v>0.35419170314325571</v>
      </c>
      <c r="BX45" s="36">
        <v>0.64116837466137644</v>
      </c>
      <c r="BY45" s="36">
        <v>0.38796741174012855</v>
      </c>
      <c r="BZ45" s="36">
        <v>0.52266665989579519</v>
      </c>
      <c r="CA45" s="36">
        <v>1.0036508668502848</v>
      </c>
      <c r="CB45" s="36">
        <v>0.59383204665904721</v>
      </c>
      <c r="CC45" s="36">
        <v>0.86361163199784063</v>
      </c>
      <c r="CD45" s="36">
        <v>1.0992214577809201</v>
      </c>
      <c r="CE45" s="36">
        <v>0.63000841308284206</v>
      </c>
      <c r="CF45" s="36">
        <v>0.74999109453417756</v>
      </c>
      <c r="CG45" s="36">
        <v>0.61095819190782807</v>
      </c>
      <c r="CH45" s="36">
        <v>0.54573218258181022</v>
      </c>
      <c r="CI45" s="36">
        <v>1.0836853321073019</v>
      </c>
      <c r="CJ45" s="36">
        <v>0.21093324249502654</v>
      </c>
      <c r="CK45" s="36">
        <v>0.34172089953810247</v>
      </c>
      <c r="CL45" s="36">
        <v>0.35747095239426363</v>
      </c>
      <c r="CM45" s="36">
        <v>0.41492146633268817</v>
      </c>
      <c r="CN45" s="36">
        <v>0.92963318664582228</v>
      </c>
      <c r="CO45" s="36">
        <v>0.97141487215645261</v>
      </c>
      <c r="CP45" s="36">
        <v>0.63888335484504044</v>
      </c>
      <c r="CQ45" s="36">
        <v>0.94742583256684831</v>
      </c>
      <c r="CR45" s="36">
        <v>0.53325577590652906</v>
      </c>
      <c r="CS45" s="36">
        <v>0.50497749578330342</v>
      </c>
      <c r="CT45" s="36">
        <v>0.67765153040564508</v>
      </c>
      <c r="CU45" s="36">
        <v>1.2715515931682591</v>
      </c>
      <c r="CV45" s="36">
        <v>0.72118892716356731</v>
      </c>
      <c r="CW45" s="36">
        <v>0.57528278338650907</v>
      </c>
      <c r="CX45" s="36">
        <v>1.1477101564740986</v>
      </c>
      <c r="CY45" s="36">
        <v>0.66931866692273134</v>
      </c>
      <c r="CZ45" s="36">
        <v>0.50176052780047453</v>
      </c>
      <c r="DA45" s="36">
        <v>0.53265215515849784</v>
      </c>
      <c r="DB45" s="36">
        <v>0.72193659913916874</v>
      </c>
      <c r="DC45" s="36">
        <v>0.2244112769767696</v>
      </c>
      <c r="DD45" s="36">
        <v>0.30463655422908942</v>
      </c>
      <c r="DE45" s="36">
        <v>0.60446522339216524</v>
      </c>
      <c r="DF45" s="36">
        <v>0.88076061090938706</v>
      </c>
      <c r="DG45" s="36">
        <v>0.32431621319363918</v>
      </c>
      <c r="DH45" s="36">
        <v>1.0744300679172605</v>
      </c>
      <c r="DI45" s="36">
        <v>0.79748473826048361</v>
      </c>
      <c r="DJ45" s="36">
        <v>0.2573969397375564</v>
      </c>
      <c r="DK45" s="36">
        <v>0.59777070629749018</v>
      </c>
      <c r="DL45" s="36">
        <v>0.64253463464273619</v>
      </c>
      <c r="DM45" s="36">
        <v>0.38244476964131729</v>
      </c>
      <c r="DN45" s="36">
        <v>0.29254880556241153</v>
      </c>
      <c r="DO45" s="36">
        <v>0.50563617736794786</v>
      </c>
      <c r="DP45" s="36">
        <v>0.99743968291214258</v>
      </c>
      <c r="DQ45" s="36">
        <v>0.30196365185793561</v>
      </c>
      <c r="DR45" s="36">
        <v>0.32853815700107908</v>
      </c>
      <c r="DS45" s="36">
        <v>1.045459700003047</v>
      </c>
      <c r="DT45" s="36">
        <v>0.46037229478306291</v>
      </c>
      <c r="DU45" s="36">
        <v>1.1890769371742298</v>
      </c>
      <c r="DV45" s="36">
        <v>0.69899527082747526</v>
      </c>
      <c r="DW45" s="36">
        <v>0.48722053397006682</v>
      </c>
      <c r="DX45" s="36">
        <v>0.61028298854005292</v>
      </c>
      <c r="DY45" s="36">
        <v>0.57739707360407122</v>
      </c>
      <c r="DZ45" s="36">
        <v>0.62205445393272651</v>
      </c>
      <c r="EA45" s="36">
        <v>0.30667897382841752</v>
      </c>
      <c r="EB45" s="36">
        <v>0.35208269715055102</v>
      </c>
      <c r="EC45" s="36">
        <v>0.20366916892331283</v>
      </c>
      <c r="ED45" s="36">
        <v>0.64204883736160179</v>
      </c>
      <c r="EE45" s="36">
        <v>1.1685549806885338</v>
      </c>
      <c r="EF45" s="36">
        <v>0.54015692025507756</v>
      </c>
      <c r="EG45" s="36">
        <v>0.62958560626021809</v>
      </c>
      <c r="EH45" s="36">
        <v>0.77599052105535016</v>
      </c>
      <c r="EI45" s="36">
        <v>0.87064941787264216</v>
      </c>
      <c r="EJ45" s="36">
        <v>1.222490180201705</v>
      </c>
      <c r="EK45" s="36">
        <v>0.63195512559518829</v>
      </c>
      <c r="EL45" s="36">
        <v>0.61402992258533817</v>
      </c>
      <c r="EM45" s="36">
        <v>0.62448748631255835</v>
      </c>
      <c r="EN45" s="36">
        <v>0.47428605022534287</v>
      </c>
      <c r="EO45" s="36">
        <v>0.35151032799933341</v>
      </c>
      <c r="EP45" s="36">
        <v>1.2169644345740411</v>
      </c>
      <c r="EQ45" s="36">
        <v>0.30406721406033832</v>
      </c>
      <c r="ER45" s="36">
        <v>0.17866777903404171</v>
      </c>
      <c r="ES45" s="36">
        <v>0.59157059359254249</v>
      </c>
      <c r="ET45" s="36">
        <v>1.324845516678258</v>
      </c>
      <c r="EU45" s="36">
        <v>0.73347135985814016</v>
      </c>
      <c r="EV45" s="36">
        <v>0.72498657912344178</v>
      </c>
      <c r="EW45" s="36">
        <v>1.1637158501188978</v>
      </c>
      <c r="EX45" s="82">
        <v>0.59383204665904721</v>
      </c>
      <c r="EY45" s="25">
        <v>2025</v>
      </c>
      <c r="EZ45" s="25" t="s">
        <v>873</v>
      </c>
      <c r="FA45" s="100" t="s">
        <v>1007</v>
      </c>
      <c r="FB45" s="55" t="s">
        <v>929</v>
      </c>
    </row>
    <row r="46" spans="2:158" ht="15" customHeight="1" x14ac:dyDescent="0.35">
      <c r="B46" s="22" t="s">
        <v>867</v>
      </c>
      <c r="C46" s="95">
        <v>322299</v>
      </c>
      <c r="D46" s="9" t="s">
        <v>962</v>
      </c>
      <c r="E46" s="36">
        <v>0.83637141055573927</v>
      </c>
      <c r="F46" s="36">
        <v>0.62946886080302655</v>
      </c>
      <c r="G46" s="36">
        <v>0.67675395607863564</v>
      </c>
      <c r="H46" s="36">
        <v>0.9317484633195704</v>
      </c>
      <c r="I46" s="36">
        <v>0.49317635020243045</v>
      </c>
      <c r="J46" s="36">
        <v>0.85188945162642427</v>
      </c>
      <c r="K46" s="36">
        <v>0.53293581006656876</v>
      </c>
      <c r="L46" s="36">
        <v>0.55019214850340714</v>
      </c>
      <c r="M46" s="36">
        <v>0.39026614397931175</v>
      </c>
      <c r="N46" s="36">
        <v>0.42663946960613391</v>
      </c>
      <c r="O46" s="36">
        <v>0.76409038591564937</v>
      </c>
      <c r="P46" s="36">
        <v>0.51819770609652793</v>
      </c>
      <c r="Q46" s="36">
        <v>0.59611933046104204</v>
      </c>
      <c r="R46" s="36">
        <v>0.86403692038368318</v>
      </c>
      <c r="S46" s="36">
        <v>1.0701898137548378</v>
      </c>
      <c r="T46" s="36">
        <v>0.53263862512385707</v>
      </c>
      <c r="U46" s="36">
        <v>0.69851412613913622</v>
      </c>
      <c r="V46" s="36">
        <v>0.76837580629088109</v>
      </c>
      <c r="W46" s="36">
        <v>0.4926169214637679</v>
      </c>
      <c r="X46" s="36">
        <v>0.58965011862162875</v>
      </c>
      <c r="Y46" s="36">
        <v>0.78629879644191103</v>
      </c>
      <c r="Z46" s="36">
        <v>0.59979992468970744</v>
      </c>
      <c r="AA46" s="36">
        <v>0.56062653575467336</v>
      </c>
      <c r="AB46" s="36">
        <v>0.29195686849885621</v>
      </c>
      <c r="AC46" s="36">
        <v>0.60018992536458537</v>
      </c>
      <c r="AD46" s="36">
        <v>1.584622063028827</v>
      </c>
      <c r="AE46" s="36">
        <v>0.4598494884124022</v>
      </c>
      <c r="AF46" s="36">
        <v>0.47892633918227484</v>
      </c>
      <c r="AG46" s="36">
        <v>0.76084849172323887</v>
      </c>
      <c r="AH46" s="36">
        <v>0.7668526830323853</v>
      </c>
      <c r="AI46" s="36">
        <v>0.35264302321433499</v>
      </c>
      <c r="AJ46" s="36">
        <v>0.44141848447987642</v>
      </c>
      <c r="AK46" s="36">
        <v>0.60371874741081089</v>
      </c>
      <c r="AL46" s="36">
        <v>0.54674968357556863</v>
      </c>
      <c r="AM46" s="36">
        <v>0.91446946275568675</v>
      </c>
      <c r="AN46" s="36">
        <v>0.34354517517961175</v>
      </c>
      <c r="AO46" s="36">
        <v>0.55713818388578673</v>
      </c>
      <c r="AP46" s="36">
        <v>1.1113326153827685</v>
      </c>
      <c r="AQ46" s="36">
        <v>0.57138288420962613</v>
      </c>
      <c r="AR46" s="36">
        <v>1.2826576818714293</v>
      </c>
      <c r="AS46" s="36">
        <v>0.4757071302240462</v>
      </c>
      <c r="AT46" s="36">
        <v>0.81219628343220218</v>
      </c>
      <c r="AU46" s="36">
        <v>0.4173188394671794</v>
      </c>
      <c r="AV46" s="36">
        <v>0.51130590767265172</v>
      </c>
      <c r="AW46" s="36">
        <v>0.78048231184340688</v>
      </c>
      <c r="AX46" s="36">
        <v>0.32865068898428629</v>
      </c>
      <c r="AY46" s="36">
        <v>0.56788599036497334</v>
      </c>
      <c r="AZ46" s="36">
        <v>0.49416604509789414</v>
      </c>
      <c r="BA46" s="36">
        <v>0.64444947259450114</v>
      </c>
      <c r="BB46" s="36">
        <v>0.66239963020064097</v>
      </c>
      <c r="BC46" s="36">
        <v>0.49709753199311252</v>
      </c>
      <c r="BD46" s="36">
        <v>0.682291390102579</v>
      </c>
      <c r="BE46" s="36">
        <v>0.47099394974552494</v>
      </c>
      <c r="BF46" s="36">
        <v>0.59089785745005419</v>
      </c>
      <c r="BG46" s="36">
        <v>0.52638418431346379</v>
      </c>
      <c r="BH46" s="36">
        <v>0.71400675229013166</v>
      </c>
      <c r="BI46" s="36">
        <v>0.83868403580413509</v>
      </c>
      <c r="BJ46" s="36">
        <v>0.4724304203397196</v>
      </c>
      <c r="BK46" s="36">
        <v>0.62707073249855916</v>
      </c>
      <c r="BL46" s="36">
        <v>0.65562452214070455</v>
      </c>
      <c r="BM46" s="36">
        <v>0.93523238166159295</v>
      </c>
      <c r="BN46" s="36">
        <v>0.98950165081775254</v>
      </c>
      <c r="BO46" s="36">
        <v>0.29073294918322945</v>
      </c>
      <c r="BP46" s="36">
        <v>1.489275072537102</v>
      </c>
      <c r="BQ46" s="36">
        <v>1.2005604554331744</v>
      </c>
      <c r="BR46" s="36">
        <v>0.2827649602154001</v>
      </c>
      <c r="BS46" s="36">
        <v>0.37122773694724992</v>
      </c>
      <c r="BT46" s="36">
        <v>0.39673253900240457</v>
      </c>
      <c r="BU46" s="36">
        <v>0.82362143335408222</v>
      </c>
      <c r="BV46" s="36">
        <v>0.88665875929075755</v>
      </c>
      <c r="BW46" s="36">
        <v>0.44506792059456829</v>
      </c>
      <c r="BX46" s="36">
        <v>1.1800701670375167</v>
      </c>
      <c r="BY46" s="36">
        <v>0.40113291929883299</v>
      </c>
      <c r="BZ46" s="36">
        <v>0.86042194366013169</v>
      </c>
      <c r="CA46" s="36">
        <v>0.98285690274022863</v>
      </c>
      <c r="CB46" s="36">
        <v>0.57823568037929041</v>
      </c>
      <c r="CC46" s="36">
        <v>0.92195600720408422</v>
      </c>
      <c r="CD46" s="36">
        <v>1.0772448540674968</v>
      </c>
      <c r="CE46" s="36">
        <v>0.61936617244099834</v>
      </c>
      <c r="CF46" s="36">
        <v>0.77939950476812081</v>
      </c>
      <c r="CG46" s="36">
        <v>0.59382333017754174</v>
      </c>
      <c r="CH46" s="36">
        <v>0.54942416230113733</v>
      </c>
      <c r="CI46" s="36">
        <v>1.054490773806213</v>
      </c>
      <c r="CJ46" s="36">
        <v>0.34580674560401964</v>
      </c>
      <c r="CK46" s="36">
        <v>0.48210338065943714</v>
      </c>
      <c r="CL46" s="36">
        <v>0.42198526800871633</v>
      </c>
      <c r="CM46" s="36">
        <v>0.50826053032215279</v>
      </c>
      <c r="CN46" s="36">
        <v>0.97580472173847821</v>
      </c>
      <c r="CO46" s="36">
        <v>0.95280467908246758</v>
      </c>
      <c r="CP46" s="36">
        <v>0.7368701349438106</v>
      </c>
      <c r="CQ46" s="36">
        <v>0.97087637876222632</v>
      </c>
      <c r="CR46" s="36">
        <v>0.53470636623542611</v>
      </c>
      <c r="CS46" s="36">
        <v>0.75766106161557734</v>
      </c>
      <c r="CT46" s="36">
        <v>0.71285603683438592</v>
      </c>
      <c r="CU46" s="36">
        <v>1.3977702240151941</v>
      </c>
      <c r="CV46" s="36">
        <v>0.7180011399696139</v>
      </c>
      <c r="CW46" s="36">
        <v>0.56743384197516955</v>
      </c>
      <c r="CX46" s="36">
        <v>0.98715330080886843</v>
      </c>
      <c r="CY46" s="36">
        <v>0.67300972750077259</v>
      </c>
      <c r="CZ46" s="36">
        <v>0.48627940610100934</v>
      </c>
      <c r="DA46" s="36">
        <v>0.53790253636392271</v>
      </c>
      <c r="DB46" s="36">
        <v>0.74280830138593135</v>
      </c>
      <c r="DC46" s="36">
        <v>0.37276168573020463</v>
      </c>
      <c r="DD46" s="36">
        <v>0.3466930907309333</v>
      </c>
      <c r="DE46" s="36">
        <v>0.63300385921781066</v>
      </c>
      <c r="DF46" s="36">
        <v>0.82770101794825468</v>
      </c>
      <c r="DG46" s="36">
        <v>0.42247643443321581</v>
      </c>
      <c r="DH46" s="36">
        <v>1.1564628713092817</v>
      </c>
      <c r="DI46" s="36">
        <v>0.8658034910786927</v>
      </c>
      <c r="DJ46" s="36">
        <v>0.37525450674264343</v>
      </c>
      <c r="DK46" s="36">
        <v>0.77219760631561118</v>
      </c>
      <c r="DL46" s="36">
        <v>0.65000197641668245</v>
      </c>
      <c r="DM46" s="36">
        <v>0.63808715358035673</v>
      </c>
      <c r="DN46" s="36">
        <v>0.56704788651454152</v>
      </c>
      <c r="DO46" s="36">
        <v>0.51347419841867581</v>
      </c>
      <c r="DP46" s="36">
        <v>0.96235016645924509</v>
      </c>
      <c r="DQ46" s="36">
        <v>0.34228483856570241</v>
      </c>
      <c r="DR46" s="36">
        <v>0.54129994496773837</v>
      </c>
      <c r="DS46" s="36">
        <v>1.2393296702265604</v>
      </c>
      <c r="DT46" s="36">
        <v>0.44996402302839023</v>
      </c>
      <c r="DU46" s="36">
        <v>1.0926507053681611</v>
      </c>
      <c r="DV46" s="36">
        <v>0.72300396299599812</v>
      </c>
      <c r="DW46" s="36">
        <v>0.53783184475702894</v>
      </c>
      <c r="DX46" s="36">
        <v>0.6037719818577354</v>
      </c>
      <c r="DY46" s="36">
        <v>0.5842639002926433</v>
      </c>
      <c r="DZ46" s="36">
        <v>0.63150188022927456</v>
      </c>
      <c r="EA46" s="36">
        <v>0.41568812847854836</v>
      </c>
      <c r="EB46" s="36">
        <v>0.58756069039146475</v>
      </c>
      <c r="EC46" s="36">
        <v>0.33156847267114559</v>
      </c>
      <c r="ED46" s="36">
        <v>0.66410161250350208</v>
      </c>
      <c r="EE46" s="36">
        <v>1.1789513127162883</v>
      </c>
      <c r="EF46" s="36">
        <v>0.50364987553278517</v>
      </c>
      <c r="EG46" s="36">
        <v>0.65722098091340142</v>
      </c>
      <c r="EH46" s="36">
        <v>0.98943619551346651</v>
      </c>
      <c r="EI46" s="36">
        <v>0.91759964194519728</v>
      </c>
      <c r="EJ46" s="36">
        <v>1.3299098083352907</v>
      </c>
      <c r="EK46" s="36">
        <v>0.67804953603556617</v>
      </c>
      <c r="EL46" s="36">
        <v>1.0141135263825956</v>
      </c>
      <c r="EM46" s="36">
        <v>1.041539281069032</v>
      </c>
      <c r="EN46" s="36">
        <v>0.46160449776154644</v>
      </c>
      <c r="EO46" s="36">
        <v>0.36370746622389255</v>
      </c>
      <c r="EP46" s="36">
        <v>1.3743921679905102</v>
      </c>
      <c r="EQ46" s="36">
        <v>0.30590028681557363</v>
      </c>
      <c r="ER46" s="36">
        <v>0.52650495427056443</v>
      </c>
      <c r="ES46" s="36">
        <v>0.58104901394702257</v>
      </c>
      <c r="ET46" s="36">
        <v>1.3698113630003088</v>
      </c>
      <c r="EU46" s="36">
        <v>0.71341424991222346</v>
      </c>
      <c r="EV46" s="36">
        <v>0.74559087642407773</v>
      </c>
      <c r="EW46" s="36">
        <v>0.71413697836386925</v>
      </c>
      <c r="EX46" s="82">
        <v>0.62946886080302655</v>
      </c>
      <c r="EY46" s="25">
        <v>2025</v>
      </c>
      <c r="EZ46" s="25" t="s">
        <v>873</v>
      </c>
      <c r="FA46" s="100" t="s">
        <v>1007</v>
      </c>
      <c r="FB46" s="55" t="s">
        <v>929</v>
      </c>
    </row>
    <row r="47" spans="2:158" ht="15" customHeight="1" x14ac:dyDescent="0.35">
      <c r="B47" s="18" t="s">
        <v>867</v>
      </c>
      <c r="C47" s="95">
        <v>323110</v>
      </c>
      <c r="D47" s="9" t="s">
        <v>963</v>
      </c>
      <c r="E47" s="17">
        <v>0.74410428605407386</v>
      </c>
      <c r="F47" s="17">
        <v>0.56417109844346236</v>
      </c>
      <c r="G47" s="17">
        <v>0.60175559403287826</v>
      </c>
      <c r="H47" s="17">
        <v>0.84742241917096983</v>
      </c>
      <c r="I47" s="17">
        <v>0.47816648020854779</v>
      </c>
      <c r="J47" s="17">
        <v>0.78283418664028626</v>
      </c>
      <c r="K47" s="17">
        <v>0.41888092206786809</v>
      </c>
      <c r="L47" s="17">
        <v>0.38341845828513405</v>
      </c>
      <c r="M47" s="17">
        <v>0.35456901594498191</v>
      </c>
      <c r="N47" s="17">
        <v>0.36520246146325086</v>
      </c>
      <c r="O47" s="17">
        <v>0.65487803877818973</v>
      </c>
      <c r="P47" s="17">
        <v>0.46253451523594691</v>
      </c>
      <c r="Q47" s="17">
        <v>0.5202619264924746</v>
      </c>
      <c r="R47" s="17">
        <v>0.66278726672018129</v>
      </c>
      <c r="S47" s="17">
        <v>0.96023837409360591</v>
      </c>
      <c r="T47" s="17">
        <v>0.48294964712481847</v>
      </c>
      <c r="U47" s="17">
        <v>0.63945710873024519</v>
      </c>
      <c r="V47" s="17">
        <v>0.65547480518901879</v>
      </c>
      <c r="W47" s="17">
        <v>0.44336782980139744</v>
      </c>
      <c r="X47" s="17">
        <v>0.52779209324710574</v>
      </c>
      <c r="Y47" s="17">
        <v>0.69718578431608524</v>
      </c>
      <c r="Z47" s="17">
        <v>0.54704164272702471</v>
      </c>
      <c r="AA47" s="17">
        <v>0.46546143483120866</v>
      </c>
      <c r="AB47" s="17">
        <v>0.26420556884862112</v>
      </c>
      <c r="AC47" s="17">
        <v>0.52915076333155064</v>
      </c>
      <c r="AD47" s="17">
        <v>1.0429196056056533</v>
      </c>
      <c r="AE47" s="17">
        <v>0.40786546759831821</v>
      </c>
      <c r="AF47" s="17">
        <v>0.41808867151536289</v>
      </c>
      <c r="AG47" s="17">
        <v>0.67357023719138898</v>
      </c>
      <c r="AH47" s="17">
        <v>0.58300937673006525</v>
      </c>
      <c r="AI47" s="17">
        <v>0.29515515611400633</v>
      </c>
      <c r="AJ47" s="17">
        <v>0.35453693133057018</v>
      </c>
      <c r="AK47" s="17">
        <v>0.51921016634468919</v>
      </c>
      <c r="AL47" s="17">
        <v>0.41242513141991388</v>
      </c>
      <c r="AM47" s="17">
        <v>0.84731768970948329</v>
      </c>
      <c r="AN47" s="17">
        <v>0.25456726409542135</v>
      </c>
      <c r="AO47" s="17">
        <v>0.48943129180888778</v>
      </c>
      <c r="AP47" s="17">
        <v>0.93890078560442725</v>
      </c>
      <c r="AQ47" s="17">
        <v>0.49057399440538652</v>
      </c>
      <c r="AR47" s="17">
        <v>1.0759161369270853</v>
      </c>
      <c r="AS47" s="17">
        <v>0.38015719574002144</v>
      </c>
      <c r="AT47" s="17">
        <v>0.66634255564588019</v>
      </c>
      <c r="AU47" s="17">
        <v>0.36412296396212029</v>
      </c>
      <c r="AV47" s="17">
        <v>0.31968172306757131</v>
      </c>
      <c r="AW47" s="17">
        <v>0.69986883414829615</v>
      </c>
      <c r="AX47" s="17">
        <v>0.24243670517685148</v>
      </c>
      <c r="AY47" s="17">
        <v>0.48853330473077677</v>
      </c>
      <c r="AZ47" s="17">
        <v>0.41614440613147669</v>
      </c>
      <c r="BA47" s="17">
        <v>0.58290015803878126</v>
      </c>
      <c r="BB47" s="17">
        <v>0.58838904195304198</v>
      </c>
      <c r="BC47" s="17">
        <v>0.44327413447697672</v>
      </c>
      <c r="BD47" s="17">
        <v>0.60731799043993862</v>
      </c>
      <c r="BE47" s="17">
        <v>0.40905682657691511</v>
      </c>
      <c r="BF47" s="17">
        <v>0.53804110380651271</v>
      </c>
      <c r="BG47" s="17">
        <v>0.46398625315577324</v>
      </c>
      <c r="BH47" s="17">
        <v>0.63484949018787673</v>
      </c>
      <c r="BI47" s="17">
        <v>0.75740680874853739</v>
      </c>
      <c r="BJ47" s="17">
        <v>0.38930625563100929</v>
      </c>
      <c r="BK47" s="17">
        <v>0.56891686456891843</v>
      </c>
      <c r="BL47" s="17">
        <v>0.54003866537841116</v>
      </c>
      <c r="BM47" s="17">
        <v>0.66746007813267982</v>
      </c>
      <c r="BN47" s="17">
        <v>0.84718912958509052</v>
      </c>
      <c r="BO47" s="17">
        <v>0.18866034002370935</v>
      </c>
      <c r="BP47" s="17">
        <v>1.237127036617065</v>
      </c>
      <c r="BQ47" s="17">
        <v>1.0299535461470357</v>
      </c>
      <c r="BR47" s="17">
        <v>0.20895662283193808</v>
      </c>
      <c r="BS47" s="17">
        <v>0.29971388024287138</v>
      </c>
      <c r="BT47" s="17">
        <v>0.32852849040610549</v>
      </c>
      <c r="BU47" s="17">
        <v>0.72605203401125673</v>
      </c>
      <c r="BV47" s="17">
        <v>0.78413690924941493</v>
      </c>
      <c r="BW47" s="17">
        <v>0.28088495850324713</v>
      </c>
      <c r="BX47" s="17">
        <v>1.0215996815970807</v>
      </c>
      <c r="BY47" s="17">
        <v>0.3515741547481796</v>
      </c>
      <c r="BZ47" s="17">
        <v>0.71915470605175247</v>
      </c>
      <c r="CA47" s="17">
        <v>0.91663522732504554</v>
      </c>
      <c r="CB47" s="17">
        <v>0.52960162074152062</v>
      </c>
      <c r="CC47" s="17">
        <v>0.86590614606647198</v>
      </c>
      <c r="CD47" s="17">
        <v>0.95108862879968759</v>
      </c>
      <c r="CE47" s="17">
        <v>0.56959146384881665</v>
      </c>
      <c r="CF47" s="17">
        <v>0.68691784271521528</v>
      </c>
      <c r="CG47" s="17">
        <v>0.54317627549663983</v>
      </c>
      <c r="CH47" s="17">
        <v>0.48613048980329016</v>
      </c>
      <c r="CI47" s="17">
        <v>0.98910701897979281</v>
      </c>
      <c r="CJ47" s="17">
        <v>0.28029607050687588</v>
      </c>
      <c r="CK47" s="17">
        <v>0.35347025150182038</v>
      </c>
      <c r="CL47" s="17">
        <v>0.30633459775085231</v>
      </c>
      <c r="CM47" s="17">
        <v>0.47609044775840292</v>
      </c>
      <c r="CN47" s="17">
        <v>0.85833599524269533</v>
      </c>
      <c r="CO47" s="17">
        <v>0.88647547448713826</v>
      </c>
      <c r="CP47" s="17">
        <v>0.61978899813269628</v>
      </c>
      <c r="CQ47" s="17">
        <v>0.88290278631582741</v>
      </c>
      <c r="CR47" s="17">
        <v>0.47859015687611034</v>
      </c>
      <c r="CS47" s="17">
        <v>0.55478067194468339</v>
      </c>
      <c r="CT47" s="17">
        <v>0.6293540969647945</v>
      </c>
      <c r="CU47" s="17">
        <v>1.221521744444855</v>
      </c>
      <c r="CV47" s="17">
        <v>0.6514013009600722</v>
      </c>
      <c r="CW47" s="17">
        <v>0.51824254147874704</v>
      </c>
      <c r="CX47" s="17">
        <v>0.82677833783759613</v>
      </c>
      <c r="CY47" s="17">
        <v>0.60344690365493037</v>
      </c>
      <c r="CZ47" s="17">
        <v>0.43621490541915697</v>
      </c>
      <c r="DA47" s="17">
        <v>0.46790318138898451</v>
      </c>
      <c r="DB47" s="17">
        <v>0.66335376393111978</v>
      </c>
      <c r="DC47" s="17">
        <v>0.30192044550268027</v>
      </c>
      <c r="DD47" s="17">
        <v>0.29033048023990038</v>
      </c>
      <c r="DE47" s="17">
        <v>0.55735692176097429</v>
      </c>
      <c r="DF47" s="17">
        <v>0.7780329843819791</v>
      </c>
      <c r="DG47" s="17">
        <v>0.37632395201667967</v>
      </c>
      <c r="DH47" s="17">
        <v>0.98551774044459206</v>
      </c>
      <c r="DI47" s="17">
        <v>0.72560674749254583</v>
      </c>
      <c r="DJ47" s="17">
        <v>0.28534773057869445</v>
      </c>
      <c r="DK47" s="17">
        <v>0.72277833528159574</v>
      </c>
      <c r="DL47" s="17">
        <v>0.58329138411864656</v>
      </c>
      <c r="DM47" s="17">
        <v>0.50583919400040456</v>
      </c>
      <c r="DN47" s="17">
        <v>0.44071856725199399</v>
      </c>
      <c r="DO47" s="17">
        <v>0.4586768857264571</v>
      </c>
      <c r="DP47" s="17">
        <v>0.85011516793283248</v>
      </c>
      <c r="DQ47" s="17">
        <v>0.29796735052272122</v>
      </c>
      <c r="DR47" s="17">
        <v>0.48920828868642802</v>
      </c>
      <c r="DS47" s="17">
        <v>1.1785046121872955</v>
      </c>
      <c r="DT47" s="17">
        <v>0.41024421925095794</v>
      </c>
      <c r="DU47" s="17">
        <v>0.83006420751681087</v>
      </c>
      <c r="DV47" s="17">
        <v>0.63275735491316643</v>
      </c>
      <c r="DW47" s="17">
        <v>0.4829169751891671</v>
      </c>
      <c r="DX47" s="17">
        <v>0.54993665570010863</v>
      </c>
      <c r="DY47" s="17">
        <v>0.52170995771074813</v>
      </c>
      <c r="DZ47" s="17">
        <v>0.56765223686718425</v>
      </c>
      <c r="EA47" s="17">
        <v>0.35338228338303246</v>
      </c>
      <c r="EB47" s="17">
        <v>0.51473201117088541</v>
      </c>
      <c r="EC47" s="17">
        <v>0.21539490871410841</v>
      </c>
      <c r="ED47" s="17">
        <v>0.58906819836544655</v>
      </c>
      <c r="EE47" s="17">
        <v>1.109218475377175</v>
      </c>
      <c r="EF47" s="17">
        <v>0.46630594666643332</v>
      </c>
      <c r="EG47" s="17">
        <v>0.57096987821327128</v>
      </c>
      <c r="EH47" s="17">
        <v>0.75383755768696015</v>
      </c>
      <c r="EI47" s="17">
        <v>0.81382802341258798</v>
      </c>
      <c r="EJ47" s="17">
        <v>1.126582988593996</v>
      </c>
      <c r="EK47" s="17">
        <v>0.61406379621424456</v>
      </c>
      <c r="EL47" s="17">
        <v>0.87411005285013388</v>
      </c>
      <c r="EM47" s="17">
        <v>0.84106363216517721</v>
      </c>
      <c r="EN47" s="17">
        <v>0.40946432295344148</v>
      </c>
      <c r="EO47" s="17">
        <v>0.31997960428175448</v>
      </c>
      <c r="EP47" s="17">
        <v>1.1628941385814606</v>
      </c>
      <c r="EQ47" s="17">
        <v>0.2744539151516377</v>
      </c>
      <c r="ER47" s="17">
        <v>0.3561203279273546</v>
      </c>
      <c r="ES47" s="17">
        <v>0.53048771241268222</v>
      </c>
      <c r="ET47" s="17">
        <v>1.1240207260981565</v>
      </c>
      <c r="EU47" s="17">
        <v>0.65770481261047631</v>
      </c>
      <c r="EV47" s="17">
        <v>0.6642060887221658</v>
      </c>
      <c r="EW47" s="17">
        <v>0.73549647089852765</v>
      </c>
      <c r="EX47" s="90">
        <v>0.55478067194468339</v>
      </c>
      <c r="EY47" s="14">
        <v>2025</v>
      </c>
      <c r="EZ47" s="14" t="s">
        <v>873</v>
      </c>
      <c r="FA47" s="48" t="s">
        <v>1007</v>
      </c>
      <c r="FB47" s="9" t="s">
        <v>929</v>
      </c>
    </row>
    <row r="48" spans="2:158" ht="15" customHeight="1" x14ac:dyDescent="0.35">
      <c r="B48" s="18" t="s">
        <v>867</v>
      </c>
      <c r="C48" s="95">
        <v>339990</v>
      </c>
      <c r="D48" s="9" t="s">
        <v>960</v>
      </c>
      <c r="E48" s="17">
        <v>0.90409953265580489</v>
      </c>
      <c r="F48" s="17">
        <v>0.70234190558648102</v>
      </c>
      <c r="G48" s="17">
        <v>0.72207697246080504</v>
      </c>
      <c r="H48" s="17">
        <v>0.9765133238725493</v>
      </c>
      <c r="I48" s="17">
        <v>0.50047195557807922</v>
      </c>
      <c r="J48" s="17">
        <v>0.88597627021141412</v>
      </c>
      <c r="K48" s="17">
        <v>0.52493617398350823</v>
      </c>
      <c r="L48" s="17">
        <v>0.56779854526057949</v>
      </c>
      <c r="M48" s="17">
        <v>0.41804008351363914</v>
      </c>
      <c r="N48" s="17">
        <v>0.36847975320354748</v>
      </c>
      <c r="O48" s="17">
        <v>0.83796143929474798</v>
      </c>
      <c r="P48" s="17">
        <v>0.56168325223856064</v>
      </c>
      <c r="Q48" s="17">
        <v>0.66603729406511747</v>
      </c>
      <c r="R48" s="17">
        <v>0.42903205303354869</v>
      </c>
      <c r="S48" s="17">
        <v>1.0999893844007489</v>
      </c>
      <c r="T48" s="17">
        <v>0.56914451686403034</v>
      </c>
      <c r="U48" s="17">
        <v>0.73546333044890499</v>
      </c>
      <c r="V48" s="17">
        <v>0.84983838901094155</v>
      </c>
      <c r="W48" s="17">
        <v>0.49219636248625853</v>
      </c>
      <c r="X48" s="17">
        <v>0.63301421578619932</v>
      </c>
      <c r="Y48" s="17">
        <v>0.82895310855633142</v>
      </c>
      <c r="Z48" s="17">
        <v>0.63641675901844952</v>
      </c>
      <c r="AA48" s="17">
        <v>0.47019017143554559</v>
      </c>
      <c r="AB48" s="17">
        <v>0.23525473117843146</v>
      </c>
      <c r="AC48" s="17">
        <v>0.53508163839487777</v>
      </c>
      <c r="AD48" s="17">
        <v>1.4890202057945507</v>
      </c>
      <c r="AE48" s="17">
        <v>0.50758246160693232</v>
      </c>
      <c r="AF48" s="17">
        <v>0.53206111867861183</v>
      </c>
      <c r="AG48" s="17">
        <v>0.80944240435810044</v>
      </c>
      <c r="AH48" s="17">
        <v>0.59193665688681762</v>
      </c>
      <c r="AI48" s="17">
        <v>0.31438115803848915</v>
      </c>
      <c r="AJ48" s="17">
        <v>0.35462947640637554</v>
      </c>
      <c r="AK48" s="17">
        <v>0.4892001596780674</v>
      </c>
      <c r="AL48" s="17">
        <v>0.36752534856169916</v>
      </c>
      <c r="AM48" s="17">
        <v>0.94834505533952695</v>
      </c>
      <c r="AN48" s="17">
        <v>0.22442383698976281</v>
      </c>
      <c r="AO48" s="17">
        <v>0.61236655295040898</v>
      </c>
      <c r="AP48" s="17">
        <v>1.2418604198955427</v>
      </c>
      <c r="AQ48" s="17">
        <v>0.63628784211304423</v>
      </c>
      <c r="AR48" s="17">
        <v>1.4467704384826907</v>
      </c>
      <c r="AS48" s="17">
        <v>0.31974397740951799</v>
      </c>
      <c r="AT48" s="17">
        <v>0.61091798684565701</v>
      </c>
      <c r="AU48" s="17">
        <v>0.45867589381097057</v>
      </c>
      <c r="AV48" s="17">
        <v>0.27294691954882616</v>
      </c>
      <c r="AW48" s="17">
        <v>0.82234817206644106</v>
      </c>
      <c r="AX48" s="17">
        <v>0.32997002463138342</v>
      </c>
      <c r="AY48" s="17">
        <v>0.63408167982826236</v>
      </c>
      <c r="AZ48" s="17">
        <v>0.35756356145010704</v>
      </c>
      <c r="BA48" s="17">
        <v>0.68278220709196791</v>
      </c>
      <c r="BB48" s="17">
        <v>0.71273315340814758</v>
      </c>
      <c r="BC48" s="17">
        <v>0.53989988022600965</v>
      </c>
      <c r="BD48" s="17">
        <v>0.73107967491180359</v>
      </c>
      <c r="BE48" s="17">
        <v>0.51385921702941173</v>
      </c>
      <c r="BF48" s="17">
        <v>0.62701899998618471</v>
      </c>
      <c r="BG48" s="17">
        <v>0.57618547376147278</v>
      </c>
      <c r="BH48" s="17">
        <v>1.0724329815614795</v>
      </c>
      <c r="BI48" s="17">
        <v>0.87713220651298285</v>
      </c>
      <c r="BJ48" s="17">
        <v>0.47964705871373198</v>
      </c>
      <c r="BK48" s="17">
        <v>0.68383135125309535</v>
      </c>
      <c r="BL48" s="17">
        <v>0.47199411709394273</v>
      </c>
      <c r="BM48" s="17">
        <v>1.0952135733214896</v>
      </c>
      <c r="BN48" s="17">
        <v>1.036972187161679</v>
      </c>
      <c r="BO48" s="17">
        <v>0.12738252160795782</v>
      </c>
      <c r="BP48" s="17">
        <v>1.6753826458195582</v>
      </c>
      <c r="BQ48" s="17">
        <v>1.3657326513706161</v>
      </c>
      <c r="BR48" s="17">
        <v>0.28566292954234773</v>
      </c>
      <c r="BS48" s="17">
        <v>0.47336611963984626</v>
      </c>
      <c r="BT48" s="17">
        <v>0.38383883860385548</v>
      </c>
      <c r="BU48" s="17">
        <v>0.87389128046362274</v>
      </c>
      <c r="BV48" s="17">
        <v>0.94214355925289306</v>
      </c>
      <c r="BW48" s="17">
        <v>0.35896139817921946</v>
      </c>
      <c r="BX48" s="17">
        <v>1.0286780183679622</v>
      </c>
      <c r="BY48" s="17">
        <v>0.44132794481700355</v>
      </c>
      <c r="BZ48" s="17">
        <v>0.71262602031941491</v>
      </c>
      <c r="CA48" s="17">
        <v>1.0145190591294564</v>
      </c>
      <c r="CB48" s="17">
        <v>0.61369625723729471</v>
      </c>
      <c r="CC48" s="17">
        <v>0.53102080752532721</v>
      </c>
      <c r="CD48" s="17">
        <v>1.1794861793656506</v>
      </c>
      <c r="CE48" s="17">
        <v>0.50418175177708879</v>
      </c>
      <c r="CF48" s="17">
        <v>0.83335128003775327</v>
      </c>
      <c r="CG48" s="17">
        <v>0.63150778085308845</v>
      </c>
      <c r="CH48" s="17">
        <v>0.60059100744958005</v>
      </c>
      <c r="CI48" s="17">
        <v>1.0861206683546125</v>
      </c>
      <c r="CJ48" s="17">
        <v>0.25554677210387722</v>
      </c>
      <c r="CK48" s="17">
        <v>0.46005338773878024</v>
      </c>
      <c r="CL48" s="17">
        <v>0.37944242539652651</v>
      </c>
      <c r="CM48" s="17">
        <v>0.48052409737202995</v>
      </c>
      <c r="CN48" s="17">
        <v>1.033807799552966</v>
      </c>
      <c r="CO48" s="17">
        <v>0.98515346511407942</v>
      </c>
      <c r="CP48" s="17">
        <v>0.84058171880238053</v>
      </c>
      <c r="CQ48" s="17">
        <v>1.0017866330336276</v>
      </c>
      <c r="CR48" s="17">
        <v>0.57612490201099031</v>
      </c>
      <c r="CS48" s="17">
        <v>0.58611886463332075</v>
      </c>
      <c r="CT48" s="17">
        <v>0.63461203039629932</v>
      </c>
      <c r="CU48" s="17">
        <v>1.4417959914227485</v>
      </c>
      <c r="CV48" s="17">
        <v>0.75896081513571123</v>
      </c>
      <c r="CW48" s="17">
        <v>0.60048875600407348</v>
      </c>
      <c r="CX48" s="17">
        <v>1.1355671684072568</v>
      </c>
      <c r="CY48" s="17">
        <v>0.71877105962792676</v>
      </c>
      <c r="CZ48" s="17">
        <v>0.53439072775816232</v>
      </c>
      <c r="DA48" s="17">
        <v>0.60798504943217802</v>
      </c>
      <c r="DB48" s="17">
        <v>0.78594350490557618</v>
      </c>
      <c r="DC48" s="17">
        <v>0.30061957677826118</v>
      </c>
      <c r="DD48" s="17">
        <v>0.46550274791240137</v>
      </c>
      <c r="DE48" s="17">
        <v>0.67857184564645712</v>
      </c>
      <c r="DF48" s="17">
        <v>0.87038845846983059</v>
      </c>
      <c r="DG48" s="17">
        <v>0.40039765619489809</v>
      </c>
      <c r="DH48" s="17">
        <v>1.2597916622898195</v>
      </c>
      <c r="DI48" s="17">
        <v>0.98665845405343822</v>
      </c>
      <c r="DJ48" s="17">
        <v>0.28092573498214612</v>
      </c>
      <c r="DK48" s="17">
        <v>0.41855723016736718</v>
      </c>
      <c r="DL48" s="17">
        <v>0.69180027588549042</v>
      </c>
      <c r="DM48" s="17">
        <v>0.61644305033630387</v>
      </c>
      <c r="DN48" s="17">
        <v>0.38285679239975323</v>
      </c>
      <c r="DO48" s="17">
        <v>0.55133626619512732</v>
      </c>
      <c r="DP48" s="17">
        <v>1.0691777399476843</v>
      </c>
      <c r="DQ48" s="17">
        <v>0.30733626765334798</v>
      </c>
      <c r="DR48" s="17">
        <v>0.34756897947176724</v>
      </c>
      <c r="DS48" s="17">
        <v>1.3126642891897129</v>
      </c>
      <c r="DT48" s="17">
        <v>0.48092989402097386</v>
      </c>
      <c r="DU48" s="17">
        <v>1.3891824802670936</v>
      </c>
      <c r="DV48" s="17">
        <v>0.78477892507187241</v>
      </c>
      <c r="DW48" s="17">
        <v>0.6738000800684969</v>
      </c>
      <c r="DX48" s="17">
        <v>0.63936407173695053</v>
      </c>
      <c r="DY48" s="17">
        <v>0.62721298683672089</v>
      </c>
      <c r="DZ48" s="17">
        <v>0.66989286103004186</v>
      </c>
      <c r="EA48" s="17">
        <v>0.35644335020356438</v>
      </c>
      <c r="EB48" s="17">
        <v>0.43054965594892025</v>
      </c>
      <c r="EC48" s="17">
        <v>0.30969094582927248</v>
      </c>
      <c r="ED48" s="17">
        <v>0.70870500233682765</v>
      </c>
      <c r="EE48" s="17">
        <v>1.1806870104211207</v>
      </c>
      <c r="EF48" s="17">
        <v>0.54051427176988165</v>
      </c>
      <c r="EG48" s="17">
        <v>0.71987762795736254</v>
      </c>
      <c r="EH48" s="17">
        <v>1.219364301948606</v>
      </c>
      <c r="EI48" s="17">
        <v>0.96156777288493434</v>
      </c>
      <c r="EJ48" s="17">
        <v>1.4470920012434874</v>
      </c>
      <c r="EK48" s="17">
        <v>0.73636978071063508</v>
      </c>
      <c r="EL48" s="17">
        <v>0.93258369945579001</v>
      </c>
      <c r="EM48" s="17">
        <v>0.92924870800536485</v>
      </c>
      <c r="EN48" s="17">
        <v>0.51789739693861858</v>
      </c>
      <c r="EO48" s="17">
        <v>0.3981805469001401</v>
      </c>
      <c r="EP48" s="17">
        <v>1.4622573031149158</v>
      </c>
      <c r="EQ48" s="17">
        <v>0.33100721049206877</v>
      </c>
      <c r="ER48" s="17">
        <v>0.38177801487089363</v>
      </c>
      <c r="ES48" s="17">
        <v>0.61621834403869091</v>
      </c>
      <c r="ET48" s="17">
        <v>1.1606621399229504</v>
      </c>
      <c r="EU48" s="17">
        <v>0.75022617356353971</v>
      </c>
      <c r="EV48" s="17">
        <v>0.79142028521658647</v>
      </c>
      <c r="EW48" s="17">
        <v>1.4636252980631121</v>
      </c>
      <c r="EX48" s="90">
        <v>0.63301421578619932</v>
      </c>
      <c r="EY48" s="14">
        <v>2025</v>
      </c>
      <c r="EZ48" s="14" t="s">
        <v>873</v>
      </c>
      <c r="FA48" s="48" t="s">
        <v>1007</v>
      </c>
      <c r="FB48" s="9" t="s">
        <v>929</v>
      </c>
    </row>
    <row r="49" spans="2:158" ht="15" customHeight="1" x14ac:dyDescent="0.35">
      <c r="B49" s="18" t="s">
        <v>867</v>
      </c>
      <c r="C49" s="95">
        <v>339940</v>
      </c>
      <c r="D49" s="9" t="s">
        <v>959</v>
      </c>
      <c r="E49" s="17">
        <v>0.96370801381543247</v>
      </c>
      <c r="F49" s="17">
        <v>0.6872018832079767</v>
      </c>
      <c r="G49" s="17">
        <v>0.83698538580110837</v>
      </c>
      <c r="H49" s="17">
        <v>1.1325775921932919</v>
      </c>
      <c r="I49" s="17">
        <v>0.46116709558468877</v>
      </c>
      <c r="J49" s="17">
        <v>1.0921112094726149</v>
      </c>
      <c r="K49" s="17">
        <v>0.50179972203107726</v>
      </c>
      <c r="L49" s="17">
        <v>0.42265830295469214</v>
      </c>
      <c r="M49" s="17">
        <v>0.50045209943430824</v>
      </c>
      <c r="N49" s="17">
        <v>0.47611927685653033</v>
      </c>
      <c r="O49" s="17">
        <v>0.89860612540386586</v>
      </c>
      <c r="P49" s="17">
        <v>0.63375516995599068</v>
      </c>
      <c r="Q49" s="17">
        <v>0.68114713694959939</v>
      </c>
      <c r="R49" s="17">
        <v>0.74602278833571756</v>
      </c>
      <c r="S49" s="17">
        <v>1.2883234039306288</v>
      </c>
      <c r="T49" s="17">
        <v>0.6712313030499818</v>
      </c>
      <c r="U49" s="17">
        <v>0.89318371995229717</v>
      </c>
      <c r="V49" s="17">
        <v>0.89483432342457248</v>
      </c>
      <c r="W49" s="17">
        <v>0.42084188792351063</v>
      </c>
      <c r="X49" s="17">
        <v>0.72891784029420725</v>
      </c>
      <c r="Y49" s="17">
        <v>0.97474994438532581</v>
      </c>
      <c r="Z49" s="17">
        <v>0.76230144626652552</v>
      </c>
      <c r="AA49" s="17">
        <v>0.54210336280582194</v>
      </c>
      <c r="AB49" s="17">
        <v>0.25888854758373736</v>
      </c>
      <c r="AC49" s="17">
        <v>0.51888993419950924</v>
      </c>
      <c r="AD49" s="17">
        <v>1.5606156712171646</v>
      </c>
      <c r="AE49" s="17">
        <v>0.54384211153250928</v>
      </c>
      <c r="AF49" s="17">
        <v>0.56812349311918287</v>
      </c>
      <c r="AG49" s="17">
        <v>0.92992915630977269</v>
      </c>
      <c r="AH49" s="17">
        <v>0.48496239881262182</v>
      </c>
      <c r="AI49" s="17">
        <v>0.43167924803587959</v>
      </c>
      <c r="AJ49" s="17">
        <v>0.33372358844568922</v>
      </c>
      <c r="AK49" s="17">
        <v>0.51909382152364614</v>
      </c>
      <c r="AL49" s="17">
        <v>0.37453060846106845</v>
      </c>
      <c r="AM49" s="17">
        <v>1.1799092528466841</v>
      </c>
      <c r="AN49" s="17">
        <v>0.27475116584973747</v>
      </c>
      <c r="AO49" s="17">
        <v>0.66160538160083382</v>
      </c>
      <c r="AP49" s="17">
        <v>1.225556086904102</v>
      </c>
      <c r="AQ49" s="17">
        <v>0.67779727454001248</v>
      </c>
      <c r="AR49" s="17">
        <v>1.3956716853025768</v>
      </c>
      <c r="AS49" s="17">
        <v>0.36344430541819933</v>
      </c>
      <c r="AT49" s="17">
        <v>0.55239528321685838</v>
      </c>
      <c r="AU49" s="17">
        <v>0.51705519283847445</v>
      </c>
      <c r="AV49" s="17">
        <v>0.31898483614273998</v>
      </c>
      <c r="AW49" s="17">
        <v>0.96957286384282571</v>
      </c>
      <c r="AX49" s="17">
        <v>0.30093020095926382</v>
      </c>
      <c r="AY49" s="17">
        <v>0.66844333419805124</v>
      </c>
      <c r="AZ49" s="17">
        <v>0.57723025584390053</v>
      </c>
      <c r="BA49" s="17">
        <v>0.81556491513061491</v>
      </c>
      <c r="BB49" s="17">
        <v>0.80407614993940302</v>
      </c>
      <c r="BC49" s="17">
        <v>0.6077004402293168</v>
      </c>
      <c r="BD49" s="17">
        <v>0.83266330310438641</v>
      </c>
      <c r="BE49" s="17">
        <v>0.4041353635944796</v>
      </c>
      <c r="BF49" s="17">
        <v>0.75226432274979349</v>
      </c>
      <c r="BG49" s="17">
        <v>0.63367658226545742</v>
      </c>
      <c r="BH49" s="17">
        <v>1.0510548682071665</v>
      </c>
      <c r="BI49" s="17">
        <v>1.04649986117111</v>
      </c>
      <c r="BJ49" s="17">
        <v>0.37380671827160405</v>
      </c>
      <c r="BK49" s="17">
        <v>0.72388725297364354</v>
      </c>
      <c r="BL49" s="17">
        <v>0.63674829763197149</v>
      </c>
      <c r="BM49" s="17">
        <v>0.95773345410450794</v>
      </c>
      <c r="BN49" s="17">
        <v>1.1020037330746921</v>
      </c>
      <c r="BO49" s="17">
        <v>0.25093693553201407</v>
      </c>
      <c r="BP49" s="17">
        <v>1.614893840068282</v>
      </c>
      <c r="BQ49" s="17">
        <v>1.2658886079601248</v>
      </c>
      <c r="BR49" s="17">
        <v>0.29316247700495512</v>
      </c>
      <c r="BS49" s="17">
        <v>0.56686699019557873</v>
      </c>
      <c r="BT49" s="17">
        <v>0.3895380459716315</v>
      </c>
      <c r="BU49" s="17">
        <v>0.99843751072578613</v>
      </c>
      <c r="BV49" s="17">
        <v>1.0535836725556471</v>
      </c>
      <c r="BW49" s="17">
        <v>0.54037260109862872</v>
      </c>
      <c r="BX49" s="17">
        <v>0.81239647004229021</v>
      </c>
      <c r="BY49" s="17">
        <v>0.49427532721923151</v>
      </c>
      <c r="BZ49" s="17">
        <v>0.80443947305328301</v>
      </c>
      <c r="CA49" s="17">
        <v>1.2828084362555359</v>
      </c>
      <c r="CB49" s="17">
        <v>0.73703433568105325</v>
      </c>
      <c r="CC49" s="17">
        <v>1.1129982424992277</v>
      </c>
      <c r="CD49" s="17">
        <v>1.1591567054288892</v>
      </c>
      <c r="CE49" s="17">
        <v>0.67499089078807217</v>
      </c>
      <c r="CF49" s="17">
        <v>0.93908578958804945</v>
      </c>
      <c r="CG49" s="17">
        <v>0.74949454475490762</v>
      </c>
      <c r="CH49" s="17">
        <v>0.65734917341179044</v>
      </c>
      <c r="CI49" s="17">
        <v>1.3869872329883521</v>
      </c>
      <c r="CJ49" s="17">
        <v>0.31756207389482027</v>
      </c>
      <c r="CK49" s="17">
        <v>0.34181364601487457</v>
      </c>
      <c r="CL49" s="17">
        <v>0.31210422136332983</v>
      </c>
      <c r="CM49" s="17">
        <v>0.4969808626836818</v>
      </c>
      <c r="CN49" s="17">
        <v>1.1438042270094813</v>
      </c>
      <c r="CO49" s="17">
        <v>1.2397831100122778</v>
      </c>
      <c r="CP49" s="17">
        <v>0.98010994388183137</v>
      </c>
      <c r="CQ49" s="17">
        <v>1.2059625275227479</v>
      </c>
      <c r="CR49" s="17">
        <v>0.66188918687728171</v>
      </c>
      <c r="CS49" s="17">
        <v>0.67210923533104538</v>
      </c>
      <c r="CT49" s="17">
        <v>0.83952265677273896</v>
      </c>
      <c r="CU49" s="17">
        <v>1.5546896354515392</v>
      </c>
      <c r="CV49" s="17">
        <v>0.89963110487099074</v>
      </c>
      <c r="CW49" s="17">
        <v>0.73225380146287433</v>
      </c>
      <c r="CX49" s="17">
        <v>1.0235686799039516</v>
      </c>
      <c r="CY49" s="17">
        <v>0.82786585455054384</v>
      </c>
      <c r="CZ49" s="17">
        <v>0.56997218550846285</v>
      </c>
      <c r="DA49" s="17">
        <v>0.6097150903342865</v>
      </c>
      <c r="DB49" s="17">
        <v>0.92221068355896885</v>
      </c>
      <c r="DC49" s="17">
        <v>0.40454064481657304</v>
      </c>
      <c r="DD49" s="17">
        <v>0.48185271537534929</v>
      </c>
      <c r="DE49" s="17">
        <v>0.78656793962663152</v>
      </c>
      <c r="DF49" s="17">
        <v>1.1090831958675595</v>
      </c>
      <c r="DG49" s="17">
        <v>0.5057199933403983</v>
      </c>
      <c r="DH49" s="17">
        <v>1.2853322497985851</v>
      </c>
      <c r="DI49" s="17">
        <v>0.98460428997652771</v>
      </c>
      <c r="DJ49" s="17">
        <v>0.4293826118149543</v>
      </c>
      <c r="DK49" s="17">
        <v>0.74785879788463305</v>
      </c>
      <c r="DL49" s="17">
        <v>0.81179190596894035</v>
      </c>
      <c r="DM49" s="17">
        <v>0.56408811735978914</v>
      </c>
      <c r="DN49" s="17">
        <v>0.37744347031449882</v>
      </c>
      <c r="DO49" s="17">
        <v>0.64670114851485694</v>
      </c>
      <c r="DP49" s="17">
        <v>1.0250880659954857</v>
      </c>
      <c r="DQ49" s="17">
        <v>0.37982459936600393</v>
      </c>
      <c r="DR49" s="17">
        <v>0.36188574717187838</v>
      </c>
      <c r="DS49" s="17">
        <v>1.1911218029780957</v>
      </c>
      <c r="DT49" s="17">
        <v>0.57332670292613419</v>
      </c>
      <c r="DU49" s="17">
        <v>1.4602891773336513</v>
      </c>
      <c r="DV49" s="17">
        <v>0.85691241000395557</v>
      </c>
      <c r="DW49" s="17">
        <v>0.89196646942013513</v>
      </c>
      <c r="DX49" s="17">
        <v>0.77189516354280674</v>
      </c>
      <c r="DY49" s="17">
        <v>0.72445349074253951</v>
      </c>
      <c r="DZ49" s="17">
        <v>0.79951272243497018</v>
      </c>
      <c r="EA49" s="17">
        <v>0.34118275224569511</v>
      </c>
      <c r="EB49" s="17">
        <v>0.3890436449028894</v>
      </c>
      <c r="EC49" s="17">
        <v>0.29452163562416855</v>
      </c>
      <c r="ED49" s="17">
        <v>0.82456580649680533</v>
      </c>
      <c r="EE49" s="17">
        <v>1.5089308002115451</v>
      </c>
      <c r="EF49" s="17">
        <v>0.62011723828114207</v>
      </c>
      <c r="EG49" s="17">
        <v>0.78043378194321722</v>
      </c>
      <c r="EH49" s="17">
        <v>0.95248053710198144</v>
      </c>
      <c r="EI49" s="17">
        <v>1.1121748990289424</v>
      </c>
      <c r="EJ49" s="17">
        <v>1.4516530432981987</v>
      </c>
      <c r="EK49" s="17">
        <v>0.92191201003498724</v>
      </c>
      <c r="EL49" s="17">
        <v>0.82631117672409038</v>
      </c>
      <c r="EM49" s="17">
        <v>0.89217229535160936</v>
      </c>
      <c r="EN49" s="17">
        <v>0.52123081714301978</v>
      </c>
      <c r="EO49" s="17">
        <v>0.45619030325553073</v>
      </c>
      <c r="EP49" s="17">
        <v>1.5240916401641</v>
      </c>
      <c r="EQ49" s="17">
        <v>0.3918410974924289</v>
      </c>
      <c r="ER49" s="17">
        <v>0.46466949941468955</v>
      </c>
      <c r="ES49" s="17">
        <v>0.74237075575067812</v>
      </c>
      <c r="ET49" s="17">
        <v>1.2711404346629613</v>
      </c>
      <c r="EU49" s="17">
        <v>0.91852938254382466</v>
      </c>
      <c r="EV49" s="17">
        <v>0.91797874594317519</v>
      </c>
      <c r="EW49" s="17">
        <v>1.1960489425999532</v>
      </c>
      <c r="EX49" s="90">
        <v>0.74237075575067812</v>
      </c>
      <c r="EY49" s="14">
        <v>2025</v>
      </c>
      <c r="EZ49" s="14" t="s">
        <v>873</v>
      </c>
      <c r="FA49" s="48" t="s">
        <v>1007</v>
      </c>
      <c r="FB49" s="9" t="s">
        <v>929</v>
      </c>
    </row>
    <row r="50" spans="2:158" ht="15" customHeight="1" x14ac:dyDescent="0.35">
      <c r="B50" s="22" t="s">
        <v>868</v>
      </c>
      <c r="C50" s="95">
        <v>230301</v>
      </c>
      <c r="D50" s="9" t="s">
        <v>943</v>
      </c>
      <c r="E50" s="36">
        <v>0.95856712245675602</v>
      </c>
      <c r="F50" s="36">
        <v>0.68704742571541721</v>
      </c>
      <c r="G50" s="36">
        <v>0.8274845686587029</v>
      </c>
      <c r="H50" s="36">
        <v>1.0666989249525205</v>
      </c>
      <c r="I50" s="36">
        <v>0.4086621280941235</v>
      </c>
      <c r="J50" s="36">
        <v>0.99959959346939753</v>
      </c>
      <c r="K50" s="36">
        <v>0.45823101855342191</v>
      </c>
      <c r="L50" s="36">
        <v>0.29129779583887261</v>
      </c>
      <c r="M50" s="36">
        <v>0.46808194241883383</v>
      </c>
      <c r="N50" s="36">
        <v>0.33410714189911289</v>
      </c>
      <c r="O50" s="36">
        <v>0.97906143622196706</v>
      </c>
      <c r="P50" s="36">
        <v>0.62319938328345248</v>
      </c>
      <c r="Q50" s="36">
        <v>0.72398009614915215</v>
      </c>
      <c r="R50" s="36">
        <v>0.68315797946972034</v>
      </c>
      <c r="S50" s="36">
        <v>1.2777426528725278</v>
      </c>
      <c r="T50" s="36">
        <v>0.63061977785113754</v>
      </c>
      <c r="U50" s="36">
        <v>0.81885891496208529</v>
      </c>
      <c r="V50" s="36">
        <v>0.98971752947023439</v>
      </c>
      <c r="W50" s="36">
        <v>0.38378546643162859</v>
      </c>
      <c r="X50" s="36">
        <v>0.70901070911874187</v>
      </c>
      <c r="Y50" s="36">
        <v>0.97295767632086239</v>
      </c>
      <c r="Z50" s="36">
        <v>0.70466390736071161</v>
      </c>
      <c r="AA50" s="36">
        <v>0.50520183757959081</v>
      </c>
      <c r="AB50" s="36">
        <v>0.19129858859845339</v>
      </c>
      <c r="AC50" s="36">
        <v>0.46288548299942944</v>
      </c>
      <c r="AD50" s="36">
        <v>1.171880479412674</v>
      </c>
      <c r="AE50" s="36">
        <v>0.55076619416488959</v>
      </c>
      <c r="AF50" s="36">
        <v>0.59869483317569683</v>
      </c>
      <c r="AG50" s="36">
        <v>0.93133274241148822</v>
      </c>
      <c r="AH50" s="36">
        <v>0.56608337332650671</v>
      </c>
      <c r="AI50" s="36">
        <v>0.49119308628788788</v>
      </c>
      <c r="AJ50" s="36">
        <v>0.38218212454662703</v>
      </c>
      <c r="AK50" s="36">
        <v>0.47032610989680013</v>
      </c>
      <c r="AL50" s="36">
        <v>0.29444751552689347</v>
      </c>
      <c r="AM50" s="36">
        <v>1.060145738544213</v>
      </c>
      <c r="AN50" s="36">
        <v>0.29564749518103661</v>
      </c>
      <c r="AO50" s="36">
        <v>0.68200288493914674</v>
      </c>
      <c r="AP50" s="36">
        <v>1.4039925152156323</v>
      </c>
      <c r="AQ50" s="36">
        <v>0.74050084164432772</v>
      </c>
      <c r="AR50" s="36">
        <v>1.6359874601944056</v>
      </c>
      <c r="AS50" s="36">
        <v>0.31957056023363678</v>
      </c>
      <c r="AT50" s="36">
        <v>0.49014723253520326</v>
      </c>
      <c r="AU50" s="36">
        <v>0.53879426732330726</v>
      </c>
      <c r="AV50" s="36">
        <v>0.3422710842218819</v>
      </c>
      <c r="AW50" s="36">
        <v>0.94096693381311936</v>
      </c>
      <c r="AX50" s="36">
        <v>0.28880638261448421</v>
      </c>
      <c r="AY50" s="36">
        <v>0.72953690471802768</v>
      </c>
      <c r="AZ50" s="36">
        <v>0.33684809939235527</v>
      </c>
      <c r="BA50" s="36">
        <v>0.77095789195741782</v>
      </c>
      <c r="BB50" s="36">
        <v>0.79874430079814085</v>
      </c>
      <c r="BC50" s="36">
        <v>0.59962557848365883</v>
      </c>
      <c r="BD50" s="36">
        <v>0.82216861119610418</v>
      </c>
      <c r="BE50" s="36">
        <v>0.63609019191940364</v>
      </c>
      <c r="BF50" s="36">
        <v>0.69833408185651502</v>
      </c>
      <c r="BG50" s="36">
        <v>0.64585093833568774</v>
      </c>
      <c r="BH50" s="36">
        <v>0.27033758270272884</v>
      </c>
      <c r="BI50" s="36">
        <v>1.000882968521515</v>
      </c>
      <c r="BJ50" s="36">
        <v>0.58717258868844924</v>
      </c>
      <c r="BK50" s="36">
        <v>0.68531068708403586</v>
      </c>
      <c r="BL50" s="36">
        <v>0.5624422967088224</v>
      </c>
      <c r="BM50" s="36">
        <v>0.91079236672844344</v>
      </c>
      <c r="BN50" s="36">
        <v>1.0699636451064944</v>
      </c>
      <c r="BO50" s="36">
        <v>0.29249706588894575</v>
      </c>
      <c r="BP50" s="36">
        <v>1.9302072199889757</v>
      </c>
      <c r="BQ50" s="36">
        <v>1.4315282817469841</v>
      </c>
      <c r="BR50" s="36">
        <v>0.36582066978357358</v>
      </c>
      <c r="BS50" s="36">
        <v>0.3570554008709213</v>
      </c>
      <c r="BT50" s="36">
        <v>0.272749304108651</v>
      </c>
      <c r="BU50" s="36">
        <v>1.0124844680925851</v>
      </c>
      <c r="BV50" s="36">
        <v>1.0629580307298387</v>
      </c>
      <c r="BW50" s="36">
        <v>0.31262907171032939</v>
      </c>
      <c r="BX50" s="36">
        <v>1.220763889674217</v>
      </c>
      <c r="BY50" s="36">
        <v>0.51089419559979432</v>
      </c>
      <c r="BZ50" s="36">
        <v>0.69874519743473373</v>
      </c>
      <c r="CA50" s="36">
        <v>1.1391923966800761</v>
      </c>
      <c r="CB50" s="36">
        <v>0.67356101941446489</v>
      </c>
      <c r="CC50" s="36">
        <v>0.95736813245418495</v>
      </c>
      <c r="CD50" s="36">
        <v>1.1870107640387582</v>
      </c>
      <c r="CE50" s="36">
        <v>1.235661511327693</v>
      </c>
      <c r="CF50" s="36">
        <v>0.95214454134367321</v>
      </c>
      <c r="CG50" s="36">
        <v>0.68754847038133893</v>
      </c>
      <c r="CH50" s="36">
        <v>0.66386864888769737</v>
      </c>
      <c r="CI50" s="36">
        <v>1.2186859238772598</v>
      </c>
      <c r="CJ50" s="36">
        <v>0.41957860286507903</v>
      </c>
      <c r="CK50" s="36">
        <v>0.32385990856999947</v>
      </c>
      <c r="CL50" s="36">
        <v>0.34752265352373191</v>
      </c>
      <c r="CM50" s="36">
        <v>0.92712116873207551</v>
      </c>
      <c r="CN50" s="36">
        <v>1.1738857559117908</v>
      </c>
      <c r="CO50" s="36">
        <v>1.1053377166528953</v>
      </c>
      <c r="CP50" s="36">
        <v>0.38392632068609944</v>
      </c>
      <c r="CQ50" s="36">
        <v>1.1467443415879439</v>
      </c>
      <c r="CR50" s="36">
        <v>0.64445347648412943</v>
      </c>
      <c r="CS50" s="36">
        <v>0.54637921046113247</v>
      </c>
      <c r="CT50" s="36">
        <v>1.983149328654374</v>
      </c>
      <c r="CU50" s="36">
        <v>1.6693669669817404</v>
      </c>
      <c r="CV50" s="36">
        <v>0.84510022451764255</v>
      </c>
      <c r="CW50" s="36">
        <v>0.673986126703223</v>
      </c>
      <c r="CX50" s="36">
        <v>1.241850655466503</v>
      </c>
      <c r="CY50" s="36">
        <v>0.8017788072415315</v>
      </c>
      <c r="CZ50" s="36">
        <v>0.56004883417444629</v>
      </c>
      <c r="DA50" s="36">
        <v>0.66108056455779662</v>
      </c>
      <c r="DB50" s="36">
        <v>0.90298621641689514</v>
      </c>
      <c r="DC50" s="36">
        <v>0.36741354746959742</v>
      </c>
      <c r="DD50" s="36">
        <v>0.23870097220787342</v>
      </c>
      <c r="DE50" s="36">
        <v>0.7958194360794475</v>
      </c>
      <c r="DF50" s="36">
        <v>0.9434632640194669</v>
      </c>
      <c r="DG50" s="36">
        <v>0.45832641261790352</v>
      </c>
      <c r="DH50" s="36">
        <v>1.4321234272957504</v>
      </c>
      <c r="DI50" s="36">
        <v>1.1553888275818243</v>
      </c>
      <c r="DJ50" s="36">
        <v>0.40858068820909915</v>
      </c>
      <c r="DK50" s="36">
        <v>1.0460411783977883</v>
      </c>
      <c r="DL50" s="36">
        <v>0.78361414968426768</v>
      </c>
      <c r="DM50" s="36">
        <v>0.50192978143209555</v>
      </c>
      <c r="DN50" s="36">
        <v>0.46761429908310082</v>
      </c>
      <c r="DO50" s="36">
        <v>0.63132058682987613</v>
      </c>
      <c r="DP50" s="36">
        <v>1.0566772656308472</v>
      </c>
      <c r="DQ50" s="36">
        <v>0.59467841527931575</v>
      </c>
      <c r="DR50" s="36">
        <v>0.41032454626119891</v>
      </c>
      <c r="DS50" s="36">
        <v>1.241481576238636</v>
      </c>
      <c r="DT50" s="36">
        <v>0.53104108977593545</v>
      </c>
      <c r="DU50" s="36">
        <v>1.2881359304100413</v>
      </c>
      <c r="DV50" s="36">
        <v>0.88637132143304664</v>
      </c>
      <c r="DW50" s="36">
        <v>0.65792659175728918</v>
      </c>
      <c r="DX50" s="36">
        <v>0.71594155593951003</v>
      </c>
      <c r="DY50" s="36">
        <v>0.70874689709105965</v>
      </c>
      <c r="DZ50" s="36">
        <v>0.76768423099724992</v>
      </c>
      <c r="EA50" s="36">
        <v>0.3138252915908849</v>
      </c>
      <c r="EB50" s="36">
        <v>0.46648065264317451</v>
      </c>
      <c r="EC50" s="36">
        <v>0.29524498088602419</v>
      </c>
      <c r="ED50" s="36">
        <v>0.81970630065990835</v>
      </c>
      <c r="EE50" s="36">
        <v>1.3696609474139159</v>
      </c>
      <c r="EF50" s="36">
        <v>0.55146668577013147</v>
      </c>
      <c r="EG50" s="36">
        <v>0.8234318243662232</v>
      </c>
      <c r="EH50" s="36">
        <v>1.2551225485596404</v>
      </c>
      <c r="EI50" s="36">
        <v>1.1171129317096891</v>
      </c>
      <c r="EJ50" s="36">
        <v>1.6467157036670166</v>
      </c>
      <c r="EK50" s="36">
        <v>1.2940260728246535</v>
      </c>
      <c r="EL50" s="36">
        <v>1.0811834452643654</v>
      </c>
      <c r="EM50" s="36">
        <v>1.0968642616469138</v>
      </c>
      <c r="EN50" s="36">
        <v>0.53829238610391683</v>
      </c>
      <c r="EO50" s="36">
        <v>0.46543936148058962</v>
      </c>
      <c r="EP50" s="36">
        <v>1.735481237579821</v>
      </c>
      <c r="EQ50" s="36">
        <v>0.37966997580943551</v>
      </c>
      <c r="ER50" s="36">
        <v>0.37281056017489855</v>
      </c>
      <c r="ES50" s="36">
        <v>0.68419123569928375</v>
      </c>
      <c r="ET50" s="36">
        <v>1.7016079263440447</v>
      </c>
      <c r="EU50" s="36">
        <v>0.82637864025613716</v>
      </c>
      <c r="EV50" s="36">
        <v>0.90464155864188311</v>
      </c>
      <c r="EW50" s="36">
        <v>1.1754136626798506</v>
      </c>
      <c r="EX50" s="82">
        <v>0.69874519743473373</v>
      </c>
      <c r="EY50" s="25">
        <v>2025</v>
      </c>
      <c r="EZ50" s="25" t="s">
        <v>873</v>
      </c>
      <c r="FA50" s="100" t="s">
        <v>1007</v>
      </c>
      <c r="FB50" s="55" t="s">
        <v>929</v>
      </c>
    </row>
    <row r="51" spans="2:158" ht="15" customHeight="1" x14ac:dyDescent="0.35">
      <c r="B51" s="18" t="s">
        <v>868</v>
      </c>
      <c r="C51" s="95">
        <v>230302</v>
      </c>
      <c r="D51" s="9" t="s">
        <v>944</v>
      </c>
      <c r="E51" s="17">
        <v>0.73512742162486233</v>
      </c>
      <c r="F51" s="17">
        <v>0.53623762501722827</v>
      </c>
      <c r="G51" s="17">
        <v>0.63571757283061547</v>
      </c>
      <c r="H51" s="17">
        <v>0.82565866134674626</v>
      </c>
      <c r="I51" s="17">
        <v>0.30527324771608827</v>
      </c>
      <c r="J51" s="17">
        <v>0.78380228977326161</v>
      </c>
      <c r="K51" s="17">
        <v>0.3286308983898783</v>
      </c>
      <c r="L51" s="17">
        <v>0.18150915018078453</v>
      </c>
      <c r="M51" s="17">
        <v>0.36839347683500795</v>
      </c>
      <c r="N51" s="17">
        <v>0.25695087379933351</v>
      </c>
      <c r="O51" s="17">
        <v>0.7354835396297974</v>
      </c>
      <c r="P51" s="17">
        <v>0.48320135410077669</v>
      </c>
      <c r="Q51" s="17">
        <v>0.55419901820494821</v>
      </c>
      <c r="R51" s="17">
        <v>0.54106197456863703</v>
      </c>
      <c r="S51" s="17">
        <v>0.96744339082363229</v>
      </c>
      <c r="T51" s="17">
        <v>0.49414588340486443</v>
      </c>
      <c r="U51" s="17">
        <v>0.64365152684884464</v>
      </c>
      <c r="V51" s="17">
        <v>0.74279038159518085</v>
      </c>
      <c r="W51" s="17">
        <v>0.28618707282643691</v>
      </c>
      <c r="X51" s="17">
        <v>0.54931829420300737</v>
      </c>
      <c r="Y51" s="17">
        <v>0.74184543252765067</v>
      </c>
      <c r="Z51" s="17">
        <v>0.55376434247752437</v>
      </c>
      <c r="AA51" s="17">
        <v>0.43657279998998777</v>
      </c>
      <c r="AB51" s="17">
        <v>0.13267041814602129</v>
      </c>
      <c r="AC51" s="17">
        <v>0.31537440938709971</v>
      </c>
      <c r="AD51" s="17">
        <v>1.6012308837206943</v>
      </c>
      <c r="AE51" s="17">
        <v>0.42654677154176612</v>
      </c>
      <c r="AF51" s="17">
        <v>0.45883272013370102</v>
      </c>
      <c r="AG51" s="17">
        <v>0.71090511003777768</v>
      </c>
      <c r="AH51" s="17">
        <v>0.37843568736552546</v>
      </c>
      <c r="AI51" s="17">
        <v>0.34058833070466754</v>
      </c>
      <c r="AJ51" s="17">
        <v>0.36205306485455041</v>
      </c>
      <c r="AK51" s="17">
        <v>0.34588330513333532</v>
      </c>
      <c r="AL51" s="17">
        <v>0.20842095920074682</v>
      </c>
      <c r="AM51" s="17">
        <v>0.83688628046028957</v>
      </c>
      <c r="AN51" s="17">
        <v>0.18097017242529062</v>
      </c>
      <c r="AO51" s="17">
        <v>0.52330162099213262</v>
      </c>
      <c r="AP51" s="17">
        <v>1.0445445607657506</v>
      </c>
      <c r="AQ51" s="17">
        <v>0.56088417049251571</v>
      </c>
      <c r="AR51" s="17">
        <v>1.2140835001036039</v>
      </c>
      <c r="AS51" s="17">
        <v>0.22247709268941754</v>
      </c>
      <c r="AT51" s="17">
        <v>0.38486936753226475</v>
      </c>
      <c r="AU51" s="17">
        <v>0.41270590899875309</v>
      </c>
      <c r="AV51" s="17">
        <v>0.22600979785164754</v>
      </c>
      <c r="AW51" s="17">
        <v>0.72404088995951765</v>
      </c>
      <c r="AX51" s="17">
        <v>0.1801165945176339</v>
      </c>
      <c r="AY51" s="17">
        <v>0.55352469566858342</v>
      </c>
      <c r="AZ51" s="17">
        <v>0.24044271901064618</v>
      </c>
      <c r="BA51" s="17">
        <v>0.60062543597249307</v>
      </c>
      <c r="BB51" s="17">
        <v>0.6142035806731827</v>
      </c>
      <c r="BC51" s="17">
        <v>0.46490760330206943</v>
      </c>
      <c r="BD51" s="17">
        <v>0.63245750739615991</v>
      </c>
      <c r="BE51" s="17">
        <v>0.40092895494540742</v>
      </c>
      <c r="BF51" s="17">
        <v>0.54808948829239246</v>
      </c>
      <c r="BG51" s="17">
        <v>0.49674748537778968</v>
      </c>
      <c r="BH51" s="17">
        <v>0.2342795815928907</v>
      </c>
      <c r="BI51" s="17">
        <v>0.77238103665637547</v>
      </c>
      <c r="BJ51" s="17">
        <v>0.40847582743048666</v>
      </c>
      <c r="BK51" s="17">
        <v>0.53811068429138686</v>
      </c>
      <c r="BL51" s="17">
        <v>0.3883583916323417</v>
      </c>
      <c r="BM51" s="17">
        <v>0.67230859589784653</v>
      </c>
      <c r="BN51" s="17">
        <v>0.74626459661285549</v>
      </c>
      <c r="BO51" s="17">
        <v>0.22774780810379361</v>
      </c>
      <c r="BP51" s="17">
        <v>1.420544699920878</v>
      </c>
      <c r="BQ51" s="17">
        <v>1.0809020963719633</v>
      </c>
      <c r="BR51" s="17">
        <v>0.21360636496032351</v>
      </c>
      <c r="BS51" s="17">
        <v>0.22109372416913778</v>
      </c>
      <c r="BT51" s="17">
        <v>0.20480128377045548</v>
      </c>
      <c r="BU51" s="17">
        <v>0.76842055906938578</v>
      </c>
      <c r="BV51" s="17">
        <v>0.80709372992962247</v>
      </c>
      <c r="BW51" s="17">
        <v>0.26619200148620614</v>
      </c>
      <c r="BX51" s="17">
        <v>0.79440386389313211</v>
      </c>
      <c r="BY51" s="17">
        <v>0.39264281166655346</v>
      </c>
      <c r="BZ51" s="17">
        <v>0.38353984079698855</v>
      </c>
      <c r="CA51" s="17">
        <v>0.90405611181936063</v>
      </c>
      <c r="CB51" s="17">
        <v>0.53164011523740373</v>
      </c>
      <c r="CC51" s="17">
        <v>0.33962539222579191</v>
      </c>
      <c r="CD51" s="17">
        <v>0.90256664315412227</v>
      </c>
      <c r="CE51" s="17">
        <v>0.75790079194670079</v>
      </c>
      <c r="CF51" s="17">
        <v>0.72457810091947095</v>
      </c>
      <c r="CG51" s="17">
        <v>0.5419964748150975</v>
      </c>
      <c r="CH51" s="17">
        <v>0.51165561693696304</v>
      </c>
      <c r="CI51" s="17">
        <v>0.97231902185803254</v>
      </c>
      <c r="CJ51" s="17">
        <v>0.20363052969946488</v>
      </c>
      <c r="CK51" s="17">
        <v>0.24881614606195129</v>
      </c>
      <c r="CL51" s="17">
        <v>0.30213577403750225</v>
      </c>
      <c r="CM51" s="17">
        <v>0.6566311892450859</v>
      </c>
      <c r="CN51" s="17">
        <v>0.88443623667588955</v>
      </c>
      <c r="CO51" s="17">
        <v>0.87560485137195199</v>
      </c>
      <c r="CP51" s="17">
        <v>0.31100228666952934</v>
      </c>
      <c r="CQ51" s="17">
        <v>0.88367703037748135</v>
      </c>
      <c r="CR51" s="17">
        <v>0.50016989973446369</v>
      </c>
      <c r="CS51" s="17">
        <v>0.45102817448272031</v>
      </c>
      <c r="CT51" s="17">
        <v>1.2930904201767985</v>
      </c>
      <c r="CU51" s="17">
        <v>1.2245856964349404</v>
      </c>
      <c r="CV51" s="17">
        <v>0.65858943802806824</v>
      </c>
      <c r="CW51" s="17">
        <v>0.53052688190070396</v>
      </c>
      <c r="CX51" s="17">
        <v>1.0027436502812617</v>
      </c>
      <c r="CY51" s="17">
        <v>0.62023610903969506</v>
      </c>
      <c r="CZ51" s="17">
        <v>0.43708115448540924</v>
      </c>
      <c r="DA51" s="17">
        <v>0.50637078887956832</v>
      </c>
      <c r="DB51" s="17">
        <v>0.69379594367306763</v>
      </c>
      <c r="DC51" s="17">
        <v>0.21911708616701547</v>
      </c>
      <c r="DD51" s="17">
        <v>0.19467486332324102</v>
      </c>
      <c r="DE51" s="17">
        <v>0.6081451258912085</v>
      </c>
      <c r="DF51" s="17">
        <v>0.76389583050215115</v>
      </c>
      <c r="DG51" s="17">
        <v>0.30615493066683641</v>
      </c>
      <c r="DH51" s="17">
        <v>1.0602304750917693</v>
      </c>
      <c r="DI51" s="17">
        <v>0.86412785449817797</v>
      </c>
      <c r="DJ51" s="17">
        <v>0.27677109560556029</v>
      </c>
      <c r="DK51" s="17">
        <v>0.48042964695381568</v>
      </c>
      <c r="DL51" s="17">
        <v>0.60668056390367642</v>
      </c>
      <c r="DM51" s="17">
        <v>0.38873547506152795</v>
      </c>
      <c r="DN51" s="17">
        <v>0.29462245786763908</v>
      </c>
      <c r="DO51" s="17">
        <v>0.48923577503307208</v>
      </c>
      <c r="DP51" s="17">
        <v>0.80990037085231859</v>
      </c>
      <c r="DQ51" s="17">
        <v>0.41836255665644645</v>
      </c>
      <c r="DR51" s="17">
        <v>0.30544026099792798</v>
      </c>
      <c r="DS51" s="17">
        <v>0.87031238022686708</v>
      </c>
      <c r="DT51" s="17">
        <v>0.41871622083255833</v>
      </c>
      <c r="DU51" s="17">
        <v>0.83950994226221187</v>
      </c>
      <c r="DV51" s="17">
        <v>0.67418205236160633</v>
      </c>
      <c r="DW51" s="17">
        <v>0.51542481786416616</v>
      </c>
      <c r="DX51" s="17">
        <v>0.56177004284324972</v>
      </c>
      <c r="DY51" s="17">
        <v>0.54813826600695048</v>
      </c>
      <c r="DZ51" s="17">
        <v>0.59523304730320026</v>
      </c>
      <c r="EA51" s="17">
        <v>0.24442797575963801</v>
      </c>
      <c r="EB51" s="17">
        <v>0.33127136967075682</v>
      </c>
      <c r="EC51" s="17">
        <v>0.17489188356942584</v>
      </c>
      <c r="ED51" s="17">
        <v>0.62882372931077224</v>
      </c>
      <c r="EE51" s="17">
        <v>1.0772086810825003</v>
      </c>
      <c r="EF51" s="17">
        <v>0.4410536525851329</v>
      </c>
      <c r="EG51" s="17">
        <v>0.62531487724592205</v>
      </c>
      <c r="EH51" s="17">
        <v>1.0158787336666477</v>
      </c>
      <c r="EI51" s="17">
        <v>0.84681404210661315</v>
      </c>
      <c r="EJ51" s="17">
        <v>1.2100187639311564</v>
      </c>
      <c r="EK51" s="17">
        <v>0.99638146608517542</v>
      </c>
      <c r="EL51" s="17">
        <v>0.68627115428981378</v>
      </c>
      <c r="EM51" s="17">
        <v>0.60069980274347423</v>
      </c>
      <c r="EN51" s="17">
        <v>0.41786095176605265</v>
      </c>
      <c r="EO51" s="17">
        <v>0.35866911447073851</v>
      </c>
      <c r="EP51" s="17">
        <v>1.2632507775631256</v>
      </c>
      <c r="EQ51" s="17">
        <v>0.29657294399877632</v>
      </c>
      <c r="ER51" s="17">
        <v>0.29581921903322927</v>
      </c>
      <c r="ES51" s="17">
        <v>0.53836679012927924</v>
      </c>
      <c r="ET51" s="17">
        <v>1.2005938561503398</v>
      </c>
      <c r="EU51" s="17">
        <v>0.65387389389395589</v>
      </c>
      <c r="EV51" s="17">
        <v>0.6939752638203982</v>
      </c>
      <c r="EW51" s="17">
        <v>0.88862862954738309</v>
      </c>
      <c r="EX51" s="90">
        <v>0.54106197456863703</v>
      </c>
      <c r="EY51" s="14">
        <v>2025</v>
      </c>
      <c r="EZ51" s="14" t="s">
        <v>873</v>
      </c>
      <c r="FA51" s="48" t="s">
        <v>1007</v>
      </c>
      <c r="FB51" s="9" t="s">
        <v>929</v>
      </c>
    </row>
    <row r="52" spans="2:158" ht="15" customHeight="1" x14ac:dyDescent="0.35">
      <c r="B52" s="18" t="s">
        <v>868</v>
      </c>
      <c r="C52" s="95">
        <v>811100</v>
      </c>
      <c r="D52" s="9" t="s">
        <v>996</v>
      </c>
      <c r="E52" s="17">
        <v>0.25166408532589646</v>
      </c>
      <c r="F52" s="17">
        <v>0.20004416841135231</v>
      </c>
      <c r="G52" s="17">
        <v>0.20104636160334363</v>
      </c>
      <c r="H52" s="17">
        <v>0.27971866992948052</v>
      </c>
      <c r="I52" s="17">
        <v>0.16418266730343967</v>
      </c>
      <c r="J52" s="17">
        <v>0.25868407113173914</v>
      </c>
      <c r="K52" s="17">
        <v>0.28747704089096032</v>
      </c>
      <c r="L52" s="17">
        <v>0.13682279177322448</v>
      </c>
      <c r="M52" s="17">
        <v>0.1202695306188425</v>
      </c>
      <c r="N52" s="17">
        <v>0.1943988944087908</v>
      </c>
      <c r="O52" s="17">
        <v>0.22198348425375397</v>
      </c>
      <c r="P52" s="17">
        <v>0.15768453744265903</v>
      </c>
      <c r="Q52" s="17">
        <v>0.18240201031369974</v>
      </c>
      <c r="R52" s="17">
        <v>0.30685520059459548</v>
      </c>
      <c r="S52" s="17">
        <v>0.309383809059526</v>
      </c>
      <c r="T52" s="17">
        <v>0.1631288393819591</v>
      </c>
      <c r="U52" s="17">
        <v>0.21348561408717526</v>
      </c>
      <c r="V52" s="17">
        <v>0.22406006799771816</v>
      </c>
      <c r="W52" s="17">
        <v>0.15215710714264399</v>
      </c>
      <c r="X52" s="17">
        <v>0.17810042679860591</v>
      </c>
      <c r="Y52" s="17">
        <v>0.22973829551550698</v>
      </c>
      <c r="Z52" s="17">
        <v>0.1838149440429338</v>
      </c>
      <c r="AA52" s="17">
        <v>0.26186353595982925</v>
      </c>
      <c r="AB52" s="17">
        <v>0.14067613555781971</v>
      </c>
      <c r="AC52" s="17">
        <v>0.23056616170065911</v>
      </c>
      <c r="AD52" s="17">
        <v>1.7209709806236437</v>
      </c>
      <c r="AE52" s="17">
        <v>0.14191025205021315</v>
      </c>
      <c r="AF52" s="17">
        <v>0.14546467265832427</v>
      </c>
      <c r="AG52" s="17">
        <v>0.22380156929549005</v>
      </c>
      <c r="AH52" s="17">
        <v>0.18590958804686805</v>
      </c>
      <c r="AI52" s="17">
        <v>0.12773214265205252</v>
      </c>
      <c r="AJ52" s="17">
        <v>0.20907746487101922</v>
      </c>
      <c r="AK52" s="17">
        <v>0.28691599336859619</v>
      </c>
      <c r="AL52" s="17">
        <v>0.13188813745926584</v>
      </c>
      <c r="AM52" s="17">
        <v>0.28017855989477708</v>
      </c>
      <c r="AN52" s="17">
        <v>0.123604297737392</v>
      </c>
      <c r="AO52" s="17">
        <v>0.16844421723696548</v>
      </c>
      <c r="AP52" s="17">
        <v>0.32363458177192994</v>
      </c>
      <c r="AQ52" s="17">
        <v>0.16970830651555904</v>
      </c>
      <c r="AR52" s="17">
        <v>0.37428679862012931</v>
      </c>
      <c r="AS52" s="17">
        <v>0.15125779357713479</v>
      </c>
      <c r="AT52" s="17">
        <v>0.26659382156828659</v>
      </c>
      <c r="AU52" s="17">
        <v>0.12481070728533418</v>
      </c>
      <c r="AV52" s="17">
        <v>0.13782692257160747</v>
      </c>
      <c r="AW52" s="17">
        <v>0.23157149316616762</v>
      </c>
      <c r="AX52" s="17">
        <v>0.12999452785786628</v>
      </c>
      <c r="AY52" s="17">
        <v>0.16979285648735445</v>
      </c>
      <c r="AZ52" s="17">
        <v>0.20307704519484449</v>
      </c>
      <c r="BA52" s="17">
        <v>0.19484180370734808</v>
      </c>
      <c r="BB52" s="17">
        <v>0.19828010914949673</v>
      </c>
      <c r="BC52" s="17">
        <v>0.15143308779688222</v>
      </c>
      <c r="BD52" s="17">
        <v>0.20387979681634469</v>
      </c>
      <c r="BE52" s="17">
        <v>0.17340969567107728</v>
      </c>
      <c r="BF52" s="17">
        <v>0.18069748633004795</v>
      </c>
      <c r="BG52" s="17">
        <v>0.15912852864024432</v>
      </c>
      <c r="BH52" s="17">
        <v>0.4862671250530024</v>
      </c>
      <c r="BI52" s="17">
        <v>0.2494992477243359</v>
      </c>
      <c r="BJ52" s="17">
        <v>0.22779901635334371</v>
      </c>
      <c r="BK52" s="17">
        <v>0.19655720494001305</v>
      </c>
      <c r="BL52" s="17">
        <v>0.26824552467995022</v>
      </c>
      <c r="BM52" s="17">
        <v>0.31042075872878755</v>
      </c>
      <c r="BN52" s="17">
        <v>0.24568703015489768</v>
      </c>
      <c r="BO52" s="17">
        <v>0.13323190247821154</v>
      </c>
      <c r="BP52" s="17">
        <v>0.42674198949142761</v>
      </c>
      <c r="BQ52" s="17">
        <v>0.36670350984005246</v>
      </c>
      <c r="BR52" s="17">
        <v>0.23299865837898592</v>
      </c>
      <c r="BS52" s="17">
        <v>0.10270048165665449</v>
      </c>
      <c r="BT52" s="17">
        <v>0.15273432884390425</v>
      </c>
      <c r="BU52" s="17">
        <v>0.2400279609376457</v>
      </c>
      <c r="BV52" s="17">
        <v>0.25969439291968444</v>
      </c>
      <c r="BW52" s="17">
        <v>0.21911926329954015</v>
      </c>
      <c r="BX52" s="17">
        <v>0.29974329351595069</v>
      </c>
      <c r="BY52" s="17">
        <v>0.12096732325983567</v>
      </c>
      <c r="BZ52" s="17">
        <v>0.36156252313348453</v>
      </c>
      <c r="CA52" s="17">
        <v>0.30291455246011034</v>
      </c>
      <c r="CB52" s="17">
        <v>0.17834446194128176</v>
      </c>
      <c r="CC52" s="17">
        <v>0.83569356060020128</v>
      </c>
      <c r="CD52" s="17">
        <v>0.32463948078523491</v>
      </c>
      <c r="CE52" s="17">
        <v>0.66173496900622319</v>
      </c>
      <c r="CF52" s="17">
        <v>0.22894241054375369</v>
      </c>
      <c r="CG52" s="17">
        <v>0.18314320996030212</v>
      </c>
      <c r="CH52" s="17">
        <v>0.16673945396804196</v>
      </c>
      <c r="CI52" s="17">
        <v>0.32716030786700057</v>
      </c>
      <c r="CJ52" s="17">
        <v>0.10727625205038517</v>
      </c>
      <c r="CK52" s="17">
        <v>0.17548837859465158</v>
      </c>
      <c r="CL52" s="17">
        <v>0.16031834523356006</v>
      </c>
      <c r="CM52" s="17">
        <v>0.23972319027371727</v>
      </c>
      <c r="CN52" s="17">
        <v>0.28249993098744414</v>
      </c>
      <c r="CO52" s="17">
        <v>0.29303855593077044</v>
      </c>
      <c r="CP52" s="17">
        <v>0.13261299340231564</v>
      </c>
      <c r="CQ52" s="17">
        <v>0.28773474391930082</v>
      </c>
      <c r="CR52" s="17">
        <v>0.16220906294999871</v>
      </c>
      <c r="CS52" s="17">
        <v>0.76056886857170158</v>
      </c>
      <c r="CT52" s="17">
        <v>0.50098711635766746</v>
      </c>
      <c r="CU52" s="17">
        <v>0.38820251926059446</v>
      </c>
      <c r="CV52" s="17">
        <v>0.21734816489474443</v>
      </c>
      <c r="CW52" s="17">
        <v>0.17385331805458695</v>
      </c>
      <c r="CX52" s="17">
        <v>0.51590770696218424</v>
      </c>
      <c r="CY52" s="17">
        <v>0.20251197604722018</v>
      </c>
      <c r="CZ52" s="17">
        <v>0.15175106961588136</v>
      </c>
      <c r="DA52" s="17">
        <v>0.16644592419888751</v>
      </c>
      <c r="DB52" s="17">
        <v>0.22007380882505229</v>
      </c>
      <c r="DC52" s="17">
        <v>0.16336266222786996</v>
      </c>
      <c r="DD52" s="17">
        <v>0.21600488767001016</v>
      </c>
      <c r="DE52" s="17">
        <v>0.18637336933986212</v>
      </c>
      <c r="DF52" s="17">
        <v>0.26256772335923378</v>
      </c>
      <c r="DG52" s="17">
        <v>0.16541611248243451</v>
      </c>
      <c r="DH52" s="17">
        <v>0.32992303550142832</v>
      </c>
      <c r="DI52" s="17">
        <v>0.25584879139717959</v>
      </c>
      <c r="DJ52" s="17">
        <v>0.10724508697257414</v>
      </c>
      <c r="DK52" s="17">
        <v>0.35380823168373293</v>
      </c>
      <c r="DL52" s="17">
        <v>0.1951781499553224</v>
      </c>
      <c r="DM52" s="17">
        <v>0.2460634303401211</v>
      </c>
      <c r="DN52" s="17">
        <v>0.16269578149090455</v>
      </c>
      <c r="DO52" s="17">
        <v>0.15471276205258278</v>
      </c>
      <c r="DP52" s="17">
        <v>0.29646729950377571</v>
      </c>
      <c r="DQ52" s="17">
        <v>0.20978810449122642</v>
      </c>
      <c r="DR52" s="17">
        <v>0.13648759265269367</v>
      </c>
      <c r="DS52" s="17">
        <v>0.41653645770379494</v>
      </c>
      <c r="DT52" s="17">
        <v>0.13902424511027872</v>
      </c>
      <c r="DU52" s="17">
        <v>0.44254461932160738</v>
      </c>
      <c r="DV52" s="17">
        <v>0.21390062825725051</v>
      </c>
      <c r="DW52" s="17">
        <v>0.6306923744027384</v>
      </c>
      <c r="DX52" s="17">
        <v>0.18433779890063653</v>
      </c>
      <c r="DY52" s="17">
        <v>0.17586068071479163</v>
      </c>
      <c r="DZ52" s="17">
        <v>0.18949719615451963</v>
      </c>
      <c r="EA52" s="17">
        <v>0.25678360845104664</v>
      </c>
      <c r="EB52" s="17">
        <v>0.23488669402240553</v>
      </c>
      <c r="EC52" s="17">
        <v>0.12612500257905199</v>
      </c>
      <c r="ED52" s="17">
        <v>0.19665768779106862</v>
      </c>
      <c r="EE52" s="17">
        <v>0.35756910469815645</v>
      </c>
      <c r="EF52" s="17">
        <v>0.15973637684192071</v>
      </c>
      <c r="EG52" s="17">
        <v>0.19453774899088963</v>
      </c>
      <c r="EH52" s="17">
        <v>0.23799965259967951</v>
      </c>
      <c r="EI52" s="17">
        <v>0.2662213140890099</v>
      </c>
      <c r="EJ52" s="17">
        <v>0.37534365042044016</v>
      </c>
      <c r="EK52" s="17">
        <v>0.19822873512115205</v>
      </c>
      <c r="EL52" s="17">
        <v>0.36405548424204048</v>
      </c>
      <c r="EM52" s="17">
        <v>0.21287303785449413</v>
      </c>
      <c r="EN52" s="17">
        <v>0.145758769524031</v>
      </c>
      <c r="EO52" s="17">
        <v>0.10958495639643091</v>
      </c>
      <c r="EP52" s="17">
        <v>0.3772659113850772</v>
      </c>
      <c r="EQ52" s="17">
        <v>9.3594222018117457E-2</v>
      </c>
      <c r="ER52" s="17">
        <v>0.14109849611439632</v>
      </c>
      <c r="ES52" s="17">
        <v>0.1782766779474019</v>
      </c>
      <c r="ET52" s="17">
        <v>0.6508104690502704</v>
      </c>
      <c r="EU52" s="17">
        <v>0.21995204866826454</v>
      </c>
      <c r="EV52" s="17">
        <v>0.22079821948757875</v>
      </c>
      <c r="EW52" s="17">
        <v>0.42977082100738423</v>
      </c>
      <c r="EX52" s="90">
        <v>0.20978810449122642</v>
      </c>
      <c r="EY52" s="14">
        <v>2025</v>
      </c>
      <c r="EZ52" s="14" t="s">
        <v>873</v>
      </c>
      <c r="FA52" s="48" t="s">
        <v>1007</v>
      </c>
      <c r="FB52" s="9" t="s">
        <v>929</v>
      </c>
    </row>
    <row r="53" spans="2:158" x14ac:dyDescent="0.35">
      <c r="B53" s="18" t="s">
        <v>868</v>
      </c>
      <c r="C53" s="95">
        <v>811200</v>
      </c>
      <c r="D53" s="9" t="s">
        <v>997</v>
      </c>
      <c r="E53" s="17">
        <v>0.60475085753467117</v>
      </c>
      <c r="F53" s="17">
        <v>0.48302820652062839</v>
      </c>
      <c r="G53" s="17">
        <v>0.47596533900357152</v>
      </c>
      <c r="H53" s="17">
        <v>0.67899056920172296</v>
      </c>
      <c r="I53" s="17">
        <v>0.25589507870445677</v>
      </c>
      <c r="J53" s="17">
        <v>0.62646516060098878</v>
      </c>
      <c r="K53" s="17">
        <v>0.28690822681645689</v>
      </c>
      <c r="L53" s="17">
        <v>0.20209707704286919</v>
      </c>
      <c r="M53" s="17">
        <v>0.28590408945229318</v>
      </c>
      <c r="N53" s="17">
        <v>0.25271197998155709</v>
      </c>
      <c r="O53" s="17">
        <v>0.50971937149060886</v>
      </c>
      <c r="P53" s="17">
        <v>0.37283918154973034</v>
      </c>
      <c r="Q53" s="17">
        <v>0.42407418742265285</v>
      </c>
      <c r="R53" s="17">
        <v>0.32073329231259218</v>
      </c>
      <c r="S53" s="17">
        <v>0.74780137410863945</v>
      </c>
      <c r="T53" s="17">
        <v>0.3900647018042504</v>
      </c>
      <c r="U53" s="17">
        <v>0.51492242015975442</v>
      </c>
      <c r="V53" s="17">
        <v>0.51116857343663435</v>
      </c>
      <c r="W53" s="17">
        <v>0.22693540480990443</v>
      </c>
      <c r="X53" s="17">
        <v>0.42290354079866233</v>
      </c>
      <c r="Y53" s="17">
        <v>0.54456759973400626</v>
      </c>
      <c r="Z53" s="17">
        <v>0.44181489914692029</v>
      </c>
      <c r="AA53" s="17">
        <v>0.44504575127991869</v>
      </c>
      <c r="AB53" s="17">
        <v>0.15069028699020567</v>
      </c>
      <c r="AC53" s="17">
        <v>0.38720369691624468</v>
      </c>
      <c r="AD53" s="17">
        <v>1.3382403125231832</v>
      </c>
      <c r="AE53" s="17">
        <v>0.33335438925066646</v>
      </c>
      <c r="AF53" s="17">
        <v>0.33496278729093676</v>
      </c>
      <c r="AG53" s="17">
        <v>0.53026387302062306</v>
      </c>
      <c r="AH53" s="17">
        <v>0.3124080292877382</v>
      </c>
      <c r="AI53" s="17">
        <v>9.7654517717966363E-2</v>
      </c>
      <c r="AJ53" s="17">
        <v>0.17817572971201331</v>
      </c>
      <c r="AK53" s="17">
        <v>0.34512097625352167</v>
      </c>
      <c r="AL53" s="17">
        <v>0.17908231536935834</v>
      </c>
      <c r="AM53" s="17">
        <v>0.68108611259471263</v>
      </c>
      <c r="AN53" s="17">
        <v>0.10020465720040199</v>
      </c>
      <c r="AO53" s="17">
        <v>0.39331191872246474</v>
      </c>
      <c r="AP53" s="17">
        <v>0.74095238914597861</v>
      </c>
      <c r="AQ53" s="17">
        <v>0.38443912826569193</v>
      </c>
      <c r="AR53" s="17">
        <v>0.84962102167628439</v>
      </c>
      <c r="AS53" s="17">
        <v>0.17570733441150951</v>
      </c>
      <c r="AT53" s="17">
        <v>0.34459105746795227</v>
      </c>
      <c r="AU53" s="17">
        <v>0.28477641939000037</v>
      </c>
      <c r="AV53" s="17">
        <v>0.22014397730755036</v>
      </c>
      <c r="AW53" s="17">
        <v>0.55363365669559339</v>
      </c>
      <c r="AX53" s="17">
        <v>0.13606397047865446</v>
      </c>
      <c r="AY53" s="17">
        <v>0.38561302832443056</v>
      </c>
      <c r="AZ53" s="17">
        <v>0.15379918897483763</v>
      </c>
      <c r="BA53" s="17">
        <v>0.4660010357356566</v>
      </c>
      <c r="BB53" s="17">
        <v>0.46992625595351967</v>
      </c>
      <c r="BC53" s="17">
        <v>0.35733975632206583</v>
      </c>
      <c r="BD53" s="17">
        <v>0.48415181790620698</v>
      </c>
      <c r="BE53" s="17">
        <v>0.23726338292546639</v>
      </c>
      <c r="BF53" s="17">
        <v>0.43353484994721331</v>
      </c>
      <c r="BG53" s="17">
        <v>0.3718796933188413</v>
      </c>
      <c r="BH53" s="17">
        <v>0.48634994758665973</v>
      </c>
      <c r="BI53" s="17">
        <v>0.6000051740744673</v>
      </c>
      <c r="BJ53" s="17">
        <v>0.22754423256461068</v>
      </c>
      <c r="BK53" s="17">
        <v>0.47792056231666669</v>
      </c>
      <c r="BL53" s="17">
        <v>0.22740634676311938</v>
      </c>
      <c r="BM53" s="17">
        <v>0.59700316930483377</v>
      </c>
      <c r="BN53" s="17">
        <v>0.71831907604159451</v>
      </c>
      <c r="BO53" s="17">
        <v>7.4345200736376335E-2</v>
      </c>
      <c r="BP53" s="17">
        <v>0.96307083524989601</v>
      </c>
      <c r="BQ53" s="17">
        <v>0.85228661882632284</v>
      </c>
      <c r="BR53" s="17">
        <v>0.13444472280694014</v>
      </c>
      <c r="BS53" s="17">
        <v>0.31035349905327042</v>
      </c>
      <c r="BT53" s="17">
        <v>0.18907556286420457</v>
      </c>
      <c r="BU53" s="17">
        <v>0.568473862613318</v>
      </c>
      <c r="BV53" s="17">
        <v>0.61949071706368108</v>
      </c>
      <c r="BW53" s="17">
        <v>0.17288086511705453</v>
      </c>
      <c r="BX53" s="17">
        <v>0.53225671817864784</v>
      </c>
      <c r="BY53" s="17">
        <v>0.27747886806015093</v>
      </c>
      <c r="BZ53" s="17">
        <v>0.59512021822384398</v>
      </c>
      <c r="CA53" s="17">
        <v>0.73761955262781165</v>
      </c>
      <c r="CB53" s="17">
        <v>0.42971933638391951</v>
      </c>
      <c r="CC53" s="17">
        <v>0.82968865983936269</v>
      </c>
      <c r="CD53" s="17">
        <v>0.7850101799803032</v>
      </c>
      <c r="CE53" s="17">
        <v>0.50946626208877299</v>
      </c>
      <c r="CF53" s="17">
        <v>0.54159471059115194</v>
      </c>
      <c r="CG53" s="17">
        <v>0.44171309881103471</v>
      </c>
      <c r="CH53" s="17">
        <v>0.39218461781285757</v>
      </c>
      <c r="CI53" s="17">
        <v>0.7976790101947917</v>
      </c>
      <c r="CJ53" s="17">
        <v>0.15652881472002436</v>
      </c>
      <c r="CK53" s="17">
        <v>0.17351203525301939</v>
      </c>
      <c r="CL53" s="17">
        <v>0.21544660573001176</v>
      </c>
      <c r="CM53" s="17">
        <v>0.2807581545645127</v>
      </c>
      <c r="CN53" s="17">
        <v>0.67371878286891884</v>
      </c>
      <c r="CO53" s="17">
        <v>0.71304071579728745</v>
      </c>
      <c r="CP53" s="17">
        <v>0.36562283485069297</v>
      </c>
      <c r="CQ53" s="17">
        <v>0.69698459461620577</v>
      </c>
      <c r="CR53" s="17">
        <v>0.3842327976349682</v>
      </c>
      <c r="CS53" s="17">
        <v>0.48311476639526857</v>
      </c>
      <c r="CT53" s="17">
        <v>0.61024338747555484</v>
      </c>
      <c r="CU53" s="17">
        <v>0.93528777123935036</v>
      </c>
      <c r="CV53" s="17">
        <v>0.52276061783956684</v>
      </c>
      <c r="CW53" s="17">
        <v>0.41693600474642761</v>
      </c>
      <c r="CX53" s="17">
        <v>0.86337762489638115</v>
      </c>
      <c r="CY53" s="17">
        <v>0.4833483899745627</v>
      </c>
      <c r="CZ53" s="17">
        <v>0.36218804019493533</v>
      </c>
      <c r="DA53" s="17">
        <v>0.38286688990104728</v>
      </c>
      <c r="DB53" s="17">
        <v>0.52389572366155157</v>
      </c>
      <c r="DC53" s="17">
        <v>0.13907580775972511</v>
      </c>
      <c r="DD53" s="17">
        <v>0.1849217783140904</v>
      </c>
      <c r="DE53" s="17">
        <v>0.43589660028354005</v>
      </c>
      <c r="DF53" s="17">
        <v>0.63835494614605826</v>
      </c>
      <c r="DG53" s="17">
        <v>0.20182966513541206</v>
      </c>
      <c r="DH53" s="17">
        <v>0.7699468722835312</v>
      </c>
      <c r="DI53" s="17">
        <v>0.56494085542316153</v>
      </c>
      <c r="DJ53" s="17">
        <v>0.18667023227188242</v>
      </c>
      <c r="DK53" s="17">
        <v>0.40937165732579411</v>
      </c>
      <c r="DL53" s="17">
        <v>0.46476099736679266</v>
      </c>
      <c r="DM53" s="17">
        <v>0.35039790711164476</v>
      </c>
      <c r="DN53" s="17">
        <v>0.23086006592272912</v>
      </c>
      <c r="DO53" s="17">
        <v>0.36440737254253008</v>
      </c>
      <c r="DP53" s="17">
        <v>0.71490910010487119</v>
      </c>
      <c r="DQ53" s="17">
        <v>0.19191811791841612</v>
      </c>
      <c r="DR53" s="17">
        <v>0.33089838449364473</v>
      </c>
      <c r="DS53" s="17">
        <v>0.80810230644314185</v>
      </c>
      <c r="DT53" s="17">
        <v>0.33268996670094558</v>
      </c>
      <c r="DU53" s="17">
        <v>0.81732503867735107</v>
      </c>
      <c r="DV53" s="17">
        <v>0.50210938490756796</v>
      </c>
      <c r="DW53" s="17">
        <v>0.26349448898926731</v>
      </c>
      <c r="DX53" s="17">
        <v>0.44218686548855451</v>
      </c>
      <c r="DY53" s="17">
        <v>0.4163331798866346</v>
      </c>
      <c r="DZ53" s="17">
        <v>0.4506603111660229</v>
      </c>
      <c r="EA53" s="17">
        <v>0.25674068723208537</v>
      </c>
      <c r="EB53" s="17">
        <v>0.28847725095960264</v>
      </c>
      <c r="EC53" s="17">
        <v>0.14641821419782003</v>
      </c>
      <c r="ED53" s="17">
        <v>0.46402660499300724</v>
      </c>
      <c r="EE53" s="17">
        <v>0.87728875298510645</v>
      </c>
      <c r="EF53" s="17">
        <v>0.39032992947047451</v>
      </c>
      <c r="EG53" s="17">
        <v>0.45098500330033059</v>
      </c>
      <c r="EH53" s="17">
        <v>0.57004381237888879</v>
      </c>
      <c r="EI53" s="17">
        <v>0.63562553913068964</v>
      </c>
      <c r="EJ53" s="17">
        <v>0.87609231542757016</v>
      </c>
      <c r="EK53" s="17">
        <v>0.46350173175092602</v>
      </c>
      <c r="EL53" s="17">
        <v>0.56114239245529862</v>
      </c>
      <c r="EM53" s="17">
        <v>0.41934262241878717</v>
      </c>
      <c r="EN53" s="17">
        <v>0.34334257349281511</v>
      </c>
      <c r="EO53" s="17">
        <v>0.2513508366574258</v>
      </c>
      <c r="EP53" s="17">
        <v>0.88251131140530858</v>
      </c>
      <c r="EQ53" s="17">
        <v>0.21849309982838777</v>
      </c>
      <c r="ER53" s="17">
        <v>0.13406753066736549</v>
      </c>
      <c r="ES53" s="17">
        <v>0.42830148226834813</v>
      </c>
      <c r="ET53" s="17">
        <v>0.9645281787941008</v>
      </c>
      <c r="EU53" s="17">
        <v>0.53248122256924124</v>
      </c>
      <c r="EV53" s="17">
        <v>0.52520149429366902</v>
      </c>
      <c r="EW53" s="17">
        <v>1.3235022235988734</v>
      </c>
      <c r="EX53" s="90">
        <v>0.42971933638391951</v>
      </c>
      <c r="EY53" s="14">
        <v>2025</v>
      </c>
      <c r="EZ53" s="14" t="s">
        <v>873</v>
      </c>
      <c r="FA53" s="48" t="s">
        <v>1007</v>
      </c>
      <c r="FB53" s="9" t="s">
        <v>929</v>
      </c>
    </row>
    <row r="54" spans="2:158" x14ac:dyDescent="0.35">
      <c r="B54" s="18" t="s">
        <v>868</v>
      </c>
      <c r="C54" s="95">
        <v>811300</v>
      </c>
      <c r="D54" s="9" t="s">
        <v>998</v>
      </c>
      <c r="E54" s="17">
        <v>0.77307771317330687</v>
      </c>
      <c r="F54" s="17">
        <v>0.56337160799398411</v>
      </c>
      <c r="G54" s="17">
        <v>0.63061988632130483</v>
      </c>
      <c r="H54" s="17">
        <v>0.88159701999261264</v>
      </c>
      <c r="I54" s="17">
        <v>0.34961038516068732</v>
      </c>
      <c r="J54" s="17">
        <v>0.79919674225588433</v>
      </c>
      <c r="K54" s="17">
        <v>0.30859750728635277</v>
      </c>
      <c r="L54" s="17">
        <v>0.19205185793830357</v>
      </c>
      <c r="M54" s="17">
        <v>0.35232861696247786</v>
      </c>
      <c r="N54" s="17">
        <v>0.23660661224444607</v>
      </c>
      <c r="O54" s="17">
        <v>0.71708222094099372</v>
      </c>
      <c r="P54" s="17">
        <v>0.47238669092421803</v>
      </c>
      <c r="Q54" s="17">
        <v>0.54381604445654397</v>
      </c>
      <c r="R54" s="17">
        <v>0.30154920102134186</v>
      </c>
      <c r="S54" s="17">
        <v>1.0681611536334854</v>
      </c>
      <c r="T54" s="17">
        <v>0.48406052078189338</v>
      </c>
      <c r="U54" s="17">
        <v>0.6415648584423328</v>
      </c>
      <c r="V54" s="17">
        <v>0.71852855856097642</v>
      </c>
      <c r="W54" s="17">
        <v>0.22785451612317795</v>
      </c>
      <c r="X54" s="17">
        <v>0.54117003749598469</v>
      </c>
      <c r="Y54" s="17">
        <v>0.74891765916652231</v>
      </c>
      <c r="Z54" s="17">
        <v>0.54641339002703737</v>
      </c>
      <c r="AA54" s="17">
        <v>0.37220200074975035</v>
      </c>
      <c r="AB54" s="17">
        <v>0.14989984266825113</v>
      </c>
      <c r="AC54" s="17">
        <v>0.35675800588605106</v>
      </c>
      <c r="AD54" s="17">
        <v>1.6294812303719188</v>
      </c>
      <c r="AE54" s="17">
        <v>0.41679459845490996</v>
      </c>
      <c r="AF54" s="17">
        <v>0.43772745685349629</v>
      </c>
      <c r="AG54" s="17">
        <v>0.71693287555516672</v>
      </c>
      <c r="AH54" s="17">
        <v>0.31165757135963534</v>
      </c>
      <c r="AI54" s="17">
        <v>0.17171512873864397</v>
      </c>
      <c r="AJ54" s="17">
        <v>0.1882987356614268</v>
      </c>
      <c r="AK54" s="17">
        <v>0.34084288857291051</v>
      </c>
      <c r="AL54" s="17">
        <v>0.17486807878288918</v>
      </c>
      <c r="AM54" s="17">
        <v>0.85648394007970607</v>
      </c>
      <c r="AN54" s="17">
        <v>0.14119956744343756</v>
      </c>
      <c r="AO54" s="17">
        <v>0.5101023232466807</v>
      </c>
      <c r="AP54" s="17">
        <v>1.0423111909511515</v>
      </c>
      <c r="AQ54" s="17">
        <v>0.52795881780898946</v>
      </c>
      <c r="AR54" s="17">
        <v>1.2013218872099412</v>
      </c>
      <c r="AS54" s="17">
        <v>0.20402079692396344</v>
      </c>
      <c r="AT54" s="17">
        <v>0.36438887248960738</v>
      </c>
      <c r="AU54" s="17">
        <v>0.38322864537351925</v>
      </c>
      <c r="AV54" s="17">
        <v>0.1443162128873966</v>
      </c>
      <c r="AW54" s="17">
        <v>0.7358140809692848</v>
      </c>
      <c r="AX54" s="17">
        <v>0.18096067327772936</v>
      </c>
      <c r="AY54" s="17">
        <v>0.52328138086034792</v>
      </c>
      <c r="AZ54" s="17">
        <v>0.5285513755745006</v>
      </c>
      <c r="BA54" s="17">
        <v>0.59410014497818797</v>
      </c>
      <c r="BB54" s="17">
        <v>0.61239457401297359</v>
      </c>
      <c r="BC54" s="17">
        <v>0.45273792036004928</v>
      </c>
      <c r="BD54" s="17">
        <v>0.63260869349045434</v>
      </c>
      <c r="BE54" s="17">
        <v>0.2700393653012742</v>
      </c>
      <c r="BF54" s="17">
        <v>0.53898914391002295</v>
      </c>
      <c r="BG54" s="17">
        <v>0.48170045107811554</v>
      </c>
      <c r="BH54" s="17">
        <v>0.60339783339809749</v>
      </c>
      <c r="BI54" s="17">
        <v>0.79574693236542882</v>
      </c>
      <c r="BJ54" s="17">
        <v>0.19614030458419515</v>
      </c>
      <c r="BK54" s="17">
        <v>0.56195937126112416</v>
      </c>
      <c r="BL54" s="17">
        <v>0.25077691898470278</v>
      </c>
      <c r="BM54" s="17">
        <v>0.79063161891586387</v>
      </c>
      <c r="BN54" s="17">
        <v>0.93181176588888315</v>
      </c>
      <c r="BO54" s="17">
        <v>7.6098288969665598E-2</v>
      </c>
      <c r="BP54" s="17">
        <v>1.4095837231398551</v>
      </c>
      <c r="BQ54" s="17">
        <v>1.1001743908404547</v>
      </c>
      <c r="BR54" s="17">
        <v>0.14674347150821929</v>
      </c>
      <c r="BS54" s="17">
        <v>0.31577306598950144</v>
      </c>
      <c r="BT54" s="17">
        <v>0.22954186304598906</v>
      </c>
      <c r="BU54" s="17">
        <v>0.78403586423645899</v>
      </c>
      <c r="BV54" s="17">
        <v>0.84293336183887801</v>
      </c>
      <c r="BW54" s="17">
        <v>0.38050741913111358</v>
      </c>
      <c r="BX54" s="17">
        <v>0.52998648554535288</v>
      </c>
      <c r="BY54" s="17">
        <v>0.36698345266951793</v>
      </c>
      <c r="BZ54" s="17">
        <v>0.65151544677533424</v>
      </c>
      <c r="CA54" s="17">
        <v>0.92333921381710626</v>
      </c>
      <c r="CB54" s="17">
        <v>0.52392117455101372</v>
      </c>
      <c r="CC54" s="17">
        <v>0.91449639051292109</v>
      </c>
      <c r="CD54" s="17">
        <v>0.99486574911461079</v>
      </c>
      <c r="CE54" s="17">
        <v>0.83050319901817304</v>
      </c>
      <c r="CF54" s="17">
        <v>0.73379650652282802</v>
      </c>
      <c r="CG54" s="17">
        <v>0.53811671264415684</v>
      </c>
      <c r="CH54" s="17">
        <v>0.5018940410246947</v>
      </c>
      <c r="CI54" s="17">
        <v>0.99074245974991682</v>
      </c>
      <c r="CJ54" s="17">
        <v>0.17704230461917442</v>
      </c>
      <c r="CK54" s="17">
        <v>0.2333177890176836</v>
      </c>
      <c r="CL54" s="17">
        <v>0.25028672707068761</v>
      </c>
      <c r="CM54" s="17">
        <v>0.27811552502084042</v>
      </c>
      <c r="CN54" s="17">
        <v>0.94006296793474686</v>
      </c>
      <c r="CO54" s="17">
        <v>0.89365133439981137</v>
      </c>
      <c r="CP54" s="17">
        <v>0.48330998134389996</v>
      </c>
      <c r="CQ54" s="17">
        <v>0.94318491760567924</v>
      </c>
      <c r="CR54" s="17">
        <v>0.48855397678061535</v>
      </c>
      <c r="CS54" s="17">
        <v>0.46430184772393346</v>
      </c>
      <c r="CT54" s="17">
        <v>0.61919242819187925</v>
      </c>
      <c r="CU54" s="17">
        <v>1.4421861114043517</v>
      </c>
      <c r="CV54" s="17">
        <v>0.66395522822258013</v>
      </c>
      <c r="CW54" s="17">
        <v>0.51675232636716129</v>
      </c>
      <c r="CX54" s="17">
        <v>1.0168127083227982</v>
      </c>
      <c r="CY54" s="17">
        <v>0.62156458252544289</v>
      </c>
      <c r="CZ54" s="17">
        <v>0.4379155177074826</v>
      </c>
      <c r="DA54" s="17">
        <v>0.48983957777468151</v>
      </c>
      <c r="DB54" s="17">
        <v>0.69801441768884576</v>
      </c>
      <c r="DC54" s="17">
        <v>0.16790139101971988</v>
      </c>
      <c r="DD54" s="17">
        <v>0.19504216033741803</v>
      </c>
      <c r="DE54" s="17">
        <v>0.59116979889249899</v>
      </c>
      <c r="DF54" s="17">
        <v>0.73246292641056032</v>
      </c>
      <c r="DG54" s="17">
        <v>0.26975252795387561</v>
      </c>
      <c r="DH54" s="17">
        <v>1.1083329140700657</v>
      </c>
      <c r="DI54" s="17">
        <v>0.80456715617987706</v>
      </c>
      <c r="DJ54" s="17">
        <v>0.33006410773584821</v>
      </c>
      <c r="DK54" s="17">
        <v>0.48647929740434415</v>
      </c>
      <c r="DL54" s="17">
        <v>0.6013178774759862</v>
      </c>
      <c r="DM54" s="17">
        <v>0.37516430878778823</v>
      </c>
      <c r="DN54" s="17">
        <v>0.22744603244779268</v>
      </c>
      <c r="DO54" s="17">
        <v>0.47091486930428528</v>
      </c>
      <c r="DP54" s="17">
        <v>0.87404115995727705</v>
      </c>
      <c r="DQ54" s="17">
        <v>0.22630966259815566</v>
      </c>
      <c r="DR54" s="17">
        <v>0.29328908712541091</v>
      </c>
      <c r="DS54" s="17">
        <v>0.839919834969032</v>
      </c>
      <c r="DT54" s="17">
        <v>0.40597185146982528</v>
      </c>
      <c r="DU54" s="17">
        <v>1.6229879319614817</v>
      </c>
      <c r="DV54" s="17">
        <v>0.67283140661155405</v>
      </c>
      <c r="DW54" s="17">
        <v>0.37245725687382847</v>
      </c>
      <c r="DX54" s="17">
        <v>0.55187783834867743</v>
      </c>
      <c r="DY54" s="17">
        <v>0.53731240929836532</v>
      </c>
      <c r="DZ54" s="17">
        <v>0.58466126406030172</v>
      </c>
      <c r="EA54" s="17">
        <v>0.29347395137575227</v>
      </c>
      <c r="EB54" s="17">
        <v>0.26288067042093249</v>
      </c>
      <c r="EC54" s="17">
        <v>0.18116275473911467</v>
      </c>
      <c r="ED54" s="17">
        <v>0.61973543219112148</v>
      </c>
      <c r="EE54" s="17">
        <v>1.19242241650877</v>
      </c>
      <c r="EF54" s="17">
        <v>0.44690885966913113</v>
      </c>
      <c r="EG54" s="17">
        <v>0.60949397243935077</v>
      </c>
      <c r="EH54" s="17">
        <v>0.64265280911181932</v>
      </c>
      <c r="EI54" s="17">
        <v>0.88811463400959589</v>
      </c>
      <c r="EJ54" s="17">
        <v>1.2872220874446316</v>
      </c>
      <c r="EK54" s="17">
        <v>0.63512557046060547</v>
      </c>
      <c r="EL54" s="17">
        <v>0.60528171137475095</v>
      </c>
      <c r="EM54" s="17">
        <v>0.53892934211177534</v>
      </c>
      <c r="EN54" s="17">
        <v>0.4161947659968433</v>
      </c>
      <c r="EO54" s="17">
        <v>0.33247183017004012</v>
      </c>
      <c r="EP54" s="17">
        <v>1.3764117286264539</v>
      </c>
      <c r="EQ54" s="17">
        <v>0.27706877318018996</v>
      </c>
      <c r="ER54" s="17">
        <v>0.16567575156266903</v>
      </c>
      <c r="ES54" s="17">
        <v>0.52862085555910443</v>
      </c>
      <c r="ET54" s="17">
        <v>1.0439874876563582</v>
      </c>
      <c r="EU54" s="17">
        <v>0.65108125118443905</v>
      </c>
      <c r="EV54" s="17">
        <v>0.69978800540894925</v>
      </c>
      <c r="EW54" s="17">
        <v>1.3667654595243695</v>
      </c>
      <c r="EX54" s="90">
        <v>0.53731240929836532</v>
      </c>
      <c r="EY54" s="14">
        <v>2025</v>
      </c>
      <c r="EZ54" s="14" t="s">
        <v>873</v>
      </c>
      <c r="FA54" s="48" t="s">
        <v>1007</v>
      </c>
      <c r="FB54" s="9" t="s">
        <v>929</v>
      </c>
    </row>
    <row r="55" spans="2:158" x14ac:dyDescent="0.35">
      <c r="B55" s="18" t="s">
        <v>868</v>
      </c>
      <c r="C55" s="95">
        <v>811400</v>
      </c>
      <c r="D55" s="9" t="s">
        <v>999</v>
      </c>
      <c r="E55" s="17">
        <v>0.28419808821905024</v>
      </c>
      <c r="F55" s="17">
        <v>0.22204613382003421</v>
      </c>
      <c r="G55" s="17">
        <v>0.23602963369932176</v>
      </c>
      <c r="H55" s="17">
        <v>0.32791340438217115</v>
      </c>
      <c r="I55" s="17">
        <v>0.24662229048705886</v>
      </c>
      <c r="J55" s="17">
        <v>0.31597898848459116</v>
      </c>
      <c r="K55" s="17">
        <v>0.15726179001178447</v>
      </c>
      <c r="L55" s="17">
        <v>0.11743320494724016</v>
      </c>
      <c r="M55" s="17">
        <v>0.14713544174261714</v>
      </c>
      <c r="N55" s="17">
        <v>0.16269724468172558</v>
      </c>
      <c r="O55" s="17">
        <v>0.24443745379006807</v>
      </c>
      <c r="P55" s="17">
        <v>0.18500172469329934</v>
      </c>
      <c r="Q55" s="17">
        <v>0.20128483179258219</v>
      </c>
      <c r="R55" s="17">
        <v>0.35461715139702399</v>
      </c>
      <c r="S55" s="17">
        <v>0.35019147899484637</v>
      </c>
      <c r="T55" s="17">
        <v>0.19736106057968109</v>
      </c>
      <c r="U55" s="17">
        <v>0.26160381123628651</v>
      </c>
      <c r="V55" s="17">
        <v>0.24413473246072406</v>
      </c>
      <c r="W55" s="17">
        <v>0.2419462518978997</v>
      </c>
      <c r="X55" s="17">
        <v>0.21068407969810307</v>
      </c>
      <c r="Y55" s="17">
        <v>0.26801871178548936</v>
      </c>
      <c r="Z55" s="17">
        <v>0.22436003087204051</v>
      </c>
      <c r="AA55" s="17">
        <v>0.21862491484754834</v>
      </c>
      <c r="AB55" s="17">
        <v>8.1941848738437642E-2</v>
      </c>
      <c r="AC55" s="17">
        <v>0.15223329947570841</v>
      </c>
      <c r="AD55" s="17">
        <v>1.442908748706089</v>
      </c>
      <c r="AE55" s="17">
        <v>0.162191079342838</v>
      </c>
      <c r="AF55" s="17">
        <v>0.16372081221973772</v>
      </c>
      <c r="AG55" s="17">
        <v>0.25932003589007524</v>
      </c>
      <c r="AH55" s="17">
        <v>0.18389987810026776</v>
      </c>
      <c r="AI55" s="17">
        <v>0.12933980163975464</v>
      </c>
      <c r="AJ55" s="17">
        <v>0.17018904511943075</v>
      </c>
      <c r="AK55" s="17">
        <v>0.25842144686556295</v>
      </c>
      <c r="AL55" s="17">
        <v>0.10302261420073316</v>
      </c>
      <c r="AM55" s="17">
        <v>0.34486294584150862</v>
      </c>
      <c r="AN55" s="17">
        <v>9.3038510720779968E-2</v>
      </c>
      <c r="AO55" s="17">
        <v>0.19136060901376817</v>
      </c>
      <c r="AP55" s="17">
        <v>0.33824145761615476</v>
      </c>
      <c r="AQ55" s="17">
        <v>0.18782979911168712</v>
      </c>
      <c r="AR55" s="17">
        <v>0.3850252461040381</v>
      </c>
      <c r="AS55" s="17">
        <v>0.13836508352106386</v>
      </c>
      <c r="AT55" s="17">
        <v>0.41776728520973322</v>
      </c>
      <c r="AU55" s="17">
        <v>0.14394501448641084</v>
      </c>
      <c r="AV55" s="17">
        <v>0.14741423777494042</v>
      </c>
      <c r="AW55" s="17">
        <v>0.27337236247109298</v>
      </c>
      <c r="AX55" s="17">
        <v>0.12452843728985014</v>
      </c>
      <c r="AY55" s="17">
        <v>0.18741644673225488</v>
      </c>
      <c r="AZ55" s="17">
        <v>9.5084476212306604E-2</v>
      </c>
      <c r="BA55" s="17">
        <v>0.23532043775860534</v>
      </c>
      <c r="BB55" s="17">
        <v>0.23040721943720643</v>
      </c>
      <c r="BC55" s="17">
        <v>0.17743689700543983</v>
      </c>
      <c r="BD55" s="17">
        <v>0.23792300923233348</v>
      </c>
      <c r="BE55" s="17">
        <v>0.255754334652397</v>
      </c>
      <c r="BF55" s="17">
        <v>0.22047195829355648</v>
      </c>
      <c r="BG55" s="17">
        <v>0.18276709951772796</v>
      </c>
      <c r="BH55" s="17">
        <v>0.38522062435800947</v>
      </c>
      <c r="BI55" s="17">
        <v>0.29597126454594358</v>
      </c>
      <c r="BJ55" s="17">
        <v>0.19156438652773039</v>
      </c>
      <c r="BK55" s="17">
        <v>0.22727076835000312</v>
      </c>
      <c r="BL55" s="17">
        <v>0.22001020437767138</v>
      </c>
      <c r="BM55" s="17">
        <v>0.33024050109133174</v>
      </c>
      <c r="BN55" s="17">
        <v>0.61331880729745203</v>
      </c>
      <c r="BO55" s="17">
        <v>0.14505611574095592</v>
      </c>
      <c r="BP55" s="17">
        <v>0.43269334618321031</v>
      </c>
      <c r="BQ55" s="17">
        <v>0.38102231735907421</v>
      </c>
      <c r="BR55" s="17">
        <v>9.0487768520106204E-2</v>
      </c>
      <c r="BS55" s="17">
        <v>0.20603329399463818</v>
      </c>
      <c r="BT55" s="17">
        <v>0.20106096009208221</v>
      </c>
      <c r="BU55" s="17">
        <v>0.27504766537716657</v>
      </c>
      <c r="BV55" s="17">
        <v>0.29472188627485668</v>
      </c>
      <c r="BW55" s="17">
        <v>0.24272031186495324</v>
      </c>
      <c r="BX55" s="17">
        <v>1.4821548679017349</v>
      </c>
      <c r="BY55" s="17">
        <v>0.13964211028428322</v>
      </c>
      <c r="BZ55" s="17">
        <v>0.27152520594355223</v>
      </c>
      <c r="CA55" s="17">
        <v>0.37586872294398188</v>
      </c>
      <c r="CB55" s="17">
        <v>0.21889029125904574</v>
      </c>
      <c r="CC55" s="17">
        <v>0</v>
      </c>
      <c r="CD55" s="17">
        <v>0.35071831713034735</v>
      </c>
      <c r="CE55" s="17">
        <v>0.63666165348854398</v>
      </c>
      <c r="CF55" s="17">
        <v>0.26215447478968795</v>
      </c>
      <c r="CG55" s="17">
        <v>0.22331822047012559</v>
      </c>
      <c r="CH55" s="17">
        <v>0.19163055920014929</v>
      </c>
      <c r="CI55" s="17">
        <v>0.40840904686734147</v>
      </c>
      <c r="CJ55" s="17">
        <v>0.12064728105343099</v>
      </c>
      <c r="CK55" s="17">
        <v>0.12827541465335249</v>
      </c>
      <c r="CL55" s="17">
        <v>0.17637263079241058</v>
      </c>
      <c r="CM55" s="17">
        <v>0.26468560835411248</v>
      </c>
      <c r="CN55" s="17">
        <v>0.3151620393900913</v>
      </c>
      <c r="CO55" s="17">
        <v>0.36289223500711348</v>
      </c>
      <c r="CP55" s="17">
        <v>0.17456476165939888</v>
      </c>
      <c r="CQ55" s="17">
        <v>0.33851254539127384</v>
      </c>
      <c r="CR55" s="17">
        <v>0.19208434264743879</v>
      </c>
      <c r="CS55" s="17">
        <v>0.33730379622423068</v>
      </c>
      <c r="CT55" s="17">
        <v>0.48306938446774284</v>
      </c>
      <c r="CU55" s="17">
        <v>0.40289370979549266</v>
      </c>
      <c r="CV55" s="17">
        <v>0.26125241387511461</v>
      </c>
      <c r="CW55" s="17">
        <v>0.21430141270074571</v>
      </c>
      <c r="CX55" s="17">
        <v>0.43764810710079027</v>
      </c>
      <c r="CY55" s="17">
        <v>0.23895065413452152</v>
      </c>
      <c r="CZ55" s="17">
        <v>0.17473203691383896</v>
      </c>
      <c r="DA55" s="17">
        <v>0.18160668024969967</v>
      </c>
      <c r="DB55" s="17">
        <v>0.25924846790830819</v>
      </c>
      <c r="DC55" s="17">
        <v>0.15054537081560918</v>
      </c>
      <c r="DD55" s="17">
        <v>0.15496065487085731</v>
      </c>
      <c r="DE55" s="17">
        <v>0.21757770351090946</v>
      </c>
      <c r="DF55" s="17">
        <v>0.3382364402402131</v>
      </c>
      <c r="DG55" s="17">
        <v>0.16108506675726178</v>
      </c>
      <c r="DH55" s="17">
        <v>0.34766005715861631</v>
      </c>
      <c r="DI55" s="17">
        <v>0.26844794827433754</v>
      </c>
      <c r="DJ55" s="17">
        <v>0.10286614042540876</v>
      </c>
      <c r="DK55" s="17">
        <v>0.55077105456138786</v>
      </c>
      <c r="DL55" s="17">
        <v>0.23241623719685445</v>
      </c>
      <c r="DM55" s="17">
        <v>0.28024441090148949</v>
      </c>
      <c r="DN55" s="17">
        <v>0.16632973485747476</v>
      </c>
      <c r="DO55" s="17">
        <v>0.1846381907561836</v>
      </c>
      <c r="DP55" s="17">
        <v>0.32031216524442646</v>
      </c>
      <c r="DQ55" s="17">
        <v>0.21486078697626812</v>
      </c>
      <c r="DR55" s="17">
        <v>0.1350228325399197</v>
      </c>
      <c r="DS55" s="17">
        <v>0.58711904814186289</v>
      </c>
      <c r="DT55" s="17">
        <v>0.17005509539447247</v>
      </c>
      <c r="DU55" s="17">
        <v>0.22753950288120744</v>
      </c>
      <c r="DV55" s="17">
        <v>0.24174152897640316</v>
      </c>
      <c r="DW55" s="17">
        <v>0.31846364909801145</v>
      </c>
      <c r="DX55" s="17">
        <v>0.2254252606315707</v>
      </c>
      <c r="DY55" s="17">
        <v>0.20792173710636228</v>
      </c>
      <c r="DZ55" s="17">
        <v>0.22772528424417401</v>
      </c>
      <c r="EA55" s="17">
        <v>0.19712911726862592</v>
      </c>
      <c r="EB55" s="17">
        <v>0.22763027015555601</v>
      </c>
      <c r="EC55" s="17">
        <v>9.1519344400417063E-2</v>
      </c>
      <c r="ED55" s="17">
        <v>0.23090879986526244</v>
      </c>
      <c r="EE55" s="17">
        <v>0.42650378211346662</v>
      </c>
      <c r="EF55" s="17">
        <v>0.19444092321366815</v>
      </c>
      <c r="EG55" s="17">
        <v>0.21857605650762513</v>
      </c>
      <c r="EH55" s="17">
        <v>0.66694793010998954</v>
      </c>
      <c r="EI55" s="17">
        <v>0.30454943857890748</v>
      </c>
      <c r="EJ55" s="17">
        <v>0.38753823656887648</v>
      </c>
      <c r="EK55" s="17">
        <v>0.27704259421107985</v>
      </c>
      <c r="EL55" s="17">
        <v>0.53675852096989396</v>
      </c>
      <c r="EM55" s="17">
        <v>0.30301789777512861</v>
      </c>
      <c r="EN55" s="17">
        <v>0.16217672258033608</v>
      </c>
      <c r="EO55" s="17">
        <v>0.12825562297426502</v>
      </c>
      <c r="EP55" s="17">
        <v>0.38709332135422853</v>
      </c>
      <c r="EQ55" s="17">
        <v>0.11295179779176175</v>
      </c>
      <c r="ER55" s="17">
        <v>0.11106976401502382</v>
      </c>
      <c r="ES55" s="17">
        <v>0.21847142337091024</v>
      </c>
      <c r="ET55" s="17">
        <v>0.84653871253590951</v>
      </c>
      <c r="EU55" s="17">
        <v>0.27211315953868592</v>
      </c>
      <c r="EV55" s="17">
        <v>0.25842544800015743</v>
      </c>
      <c r="EW55" s="17">
        <v>0.58753155533729184</v>
      </c>
      <c r="EX55" s="90">
        <v>0.22772528424417401</v>
      </c>
      <c r="EY55" s="14">
        <v>2025</v>
      </c>
      <c r="EZ55" s="14" t="s">
        <v>873</v>
      </c>
      <c r="FA55" s="48" t="s">
        <v>1007</v>
      </c>
      <c r="FB55" s="9" t="s">
        <v>929</v>
      </c>
    </row>
    <row r="56" spans="2:158" x14ac:dyDescent="0.35">
      <c r="B56" s="22" t="s">
        <v>869</v>
      </c>
      <c r="C56" s="95">
        <v>221200</v>
      </c>
      <c r="D56" s="9" t="s">
        <v>941</v>
      </c>
      <c r="E56" s="36">
        <v>1.4165746155988721</v>
      </c>
      <c r="F56" s="36">
        <v>0.90645894500513191</v>
      </c>
      <c r="G56" s="36">
        <v>1.0969596398072454</v>
      </c>
      <c r="H56" s="36">
        <v>1.4574200949163687</v>
      </c>
      <c r="I56" s="36">
        <v>1.0775718263762459</v>
      </c>
      <c r="J56" s="36">
        <v>1.0796560675504898</v>
      </c>
      <c r="K56" s="36">
        <v>1.2772678868427734</v>
      </c>
      <c r="L56" s="36">
        <v>0.7705509370357605</v>
      </c>
      <c r="M56" s="36">
        <v>0.42164214208064243</v>
      </c>
      <c r="N56" s="36">
        <v>0.43075993072785435</v>
      </c>
      <c r="O56" s="36">
        <v>1.6384691680577559</v>
      </c>
      <c r="P56" s="36">
        <v>0.74176940621935084</v>
      </c>
      <c r="Q56" s="36">
        <v>1.06697539458866</v>
      </c>
      <c r="R56" s="36">
        <v>1.1874745783178207</v>
      </c>
      <c r="S56" s="36">
        <v>2.31260230559305</v>
      </c>
      <c r="T56" s="36">
        <v>0.6321551995576602</v>
      </c>
      <c r="U56" s="36">
        <v>0.79779388245119254</v>
      </c>
      <c r="V56" s="36">
        <v>1.6760484692030488</v>
      </c>
      <c r="W56" s="36">
        <v>0.38747202038979878</v>
      </c>
      <c r="X56" s="36">
        <v>0.84609627612081229</v>
      </c>
      <c r="Y56" s="36">
        <v>1.4302087188413966</v>
      </c>
      <c r="Z56" s="36">
        <v>0.67684319234513068</v>
      </c>
      <c r="AA56" s="36">
        <v>0.43517246364769346</v>
      </c>
      <c r="AB56" s="36">
        <v>0.22932684209239701</v>
      </c>
      <c r="AC56" s="36">
        <v>1.1908006526772019</v>
      </c>
      <c r="AD56" s="36">
        <v>2.3340420036988481</v>
      </c>
      <c r="AE56" s="36">
        <v>0.69580343472739736</v>
      </c>
      <c r="AF56" s="36">
        <v>0.83304236441183188</v>
      </c>
      <c r="AG56" s="36">
        <v>1.352998470553469</v>
      </c>
      <c r="AH56" s="36">
        <v>0.80050341041079043</v>
      </c>
      <c r="AI56" s="36">
        <v>4.6936030882008838E-2</v>
      </c>
      <c r="AJ56" s="36">
        <v>0.84044552635204617</v>
      </c>
      <c r="AK56" s="36">
        <v>1.2055957742379255</v>
      </c>
      <c r="AL56" s="36">
        <v>0.64011946250120877</v>
      </c>
      <c r="AM56" s="36">
        <v>1.0592520807538444</v>
      </c>
      <c r="AN56" s="36">
        <v>0.37422615847741286</v>
      </c>
      <c r="AO56" s="36">
        <v>0.93818788637950834</v>
      </c>
      <c r="AP56" s="36">
        <v>2.661434182002107</v>
      </c>
      <c r="AQ56" s="36">
        <v>1.1395784152681183</v>
      </c>
      <c r="AR56" s="36">
        <v>3.1764804697042317</v>
      </c>
      <c r="AS56" s="36">
        <v>0.56268257817488365</v>
      </c>
      <c r="AT56" s="36">
        <v>1.2489968708520673</v>
      </c>
      <c r="AU56" s="36">
        <v>0.71140919206703956</v>
      </c>
      <c r="AV56" s="36">
        <v>0.39125461359709141</v>
      </c>
      <c r="AW56" s="36">
        <v>1.2648929678909975</v>
      </c>
      <c r="AX56" s="36">
        <v>0.42835860441379514</v>
      </c>
      <c r="AY56" s="36">
        <v>1.1169173194359181</v>
      </c>
      <c r="AZ56" s="36">
        <v>0.35592415234616154</v>
      </c>
      <c r="BA56" s="36">
        <v>0.84756204558823156</v>
      </c>
      <c r="BB56" s="36">
        <v>1.0641236824474181</v>
      </c>
      <c r="BC56" s="36">
        <v>0.71337838374118046</v>
      </c>
      <c r="BD56" s="36">
        <v>1.0902941565590567</v>
      </c>
      <c r="BE56" s="36">
        <v>0.84964979042043953</v>
      </c>
      <c r="BF56" s="36">
        <v>0.68033538377011038</v>
      </c>
      <c r="BG56" s="36">
        <v>0.85299019410417631</v>
      </c>
      <c r="BH56" s="36">
        <v>0.83065635329567822</v>
      </c>
      <c r="BI56" s="36">
        <v>1.3358690392266706</v>
      </c>
      <c r="BJ56" s="36">
        <v>0.3052662075945124</v>
      </c>
      <c r="BK56" s="36">
        <v>0.77736055763666934</v>
      </c>
      <c r="BL56" s="36">
        <v>0.72878375528528028</v>
      </c>
      <c r="BM56" s="36">
        <v>3.9577012001318206</v>
      </c>
      <c r="BN56" s="36">
        <v>1.59108575470045</v>
      </c>
      <c r="BO56" s="36">
        <v>0.26095863734234181</v>
      </c>
      <c r="BP56" s="36">
        <v>3.9627798396704206</v>
      </c>
      <c r="BQ56" s="36">
        <v>2.5568616995546014</v>
      </c>
      <c r="BR56" s="36">
        <v>0.1132351996123223</v>
      </c>
      <c r="BS56" s="36">
        <v>0.92293368675703846</v>
      </c>
      <c r="BT56" s="36">
        <v>0.83913068780679734</v>
      </c>
      <c r="BU56" s="36">
        <v>1.5811234236546179</v>
      </c>
      <c r="BV56" s="36">
        <v>1.7024695894741888</v>
      </c>
      <c r="BW56" s="36">
        <v>0.89387932463209674</v>
      </c>
      <c r="BX56" s="36">
        <v>3.3747126979870279</v>
      </c>
      <c r="BY56" s="36">
        <v>0.65762200547605176</v>
      </c>
      <c r="BZ56" s="36">
        <v>1.9061215741877944</v>
      </c>
      <c r="CA56" s="36">
        <v>1.0712591031538921</v>
      </c>
      <c r="CB56" s="36">
        <v>0.59948574141622546</v>
      </c>
      <c r="CC56" s="36">
        <v>0.97109564226898926</v>
      </c>
      <c r="CD56" s="36">
        <v>2.0370774541360674</v>
      </c>
      <c r="CE56" s="36">
        <v>1.9615984728834384</v>
      </c>
      <c r="CF56" s="36">
        <v>1.4381995814281325</v>
      </c>
      <c r="CG56" s="36">
        <v>0.63665212799512982</v>
      </c>
      <c r="CH56" s="36">
        <v>0.86736824654646949</v>
      </c>
      <c r="CI56" s="36">
        <v>1.0707598923271784</v>
      </c>
      <c r="CJ56" s="36">
        <v>0.32757502613306061</v>
      </c>
      <c r="CK56" s="36">
        <v>0.34966505077028981</v>
      </c>
      <c r="CL56" s="36">
        <v>0.52681400289391656</v>
      </c>
      <c r="CM56" s="36">
        <v>1.0395704372865568</v>
      </c>
      <c r="CN56" s="36">
        <v>2.0591818243516729</v>
      </c>
      <c r="CO56" s="36">
        <v>1.0557331419329661</v>
      </c>
      <c r="CP56" s="36">
        <v>0.8495312777141073</v>
      </c>
      <c r="CQ56" s="36">
        <v>1.6804085343896398</v>
      </c>
      <c r="CR56" s="36">
        <v>0.74734115277228819</v>
      </c>
      <c r="CS56" s="36">
        <v>1.3206938813163935</v>
      </c>
      <c r="CT56" s="36">
        <v>2.5804560672603714</v>
      </c>
      <c r="CU56" s="36">
        <v>4.0160504506414858</v>
      </c>
      <c r="CV56" s="36">
        <v>0.9560099243665513</v>
      </c>
      <c r="CW56" s="36">
        <v>0.61195091539885993</v>
      </c>
      <c r="CX56" s="36">
        <v>1.5503974102080464</v>
      </c>
      <c r="CY56" s="36">
        <v>0.99441688572722864</v>
      </c>
      <c r="CZ56" s="36">
        <v>0.66143145044716289</v>
      </c>
      <c r="DA56" s="36">
        <v>0.98205120211427555</v>
      </c>
      <c r="DB56" s="36">
        <v>1.2155605180891982</v>
      </c>
      <c r="DC56" s="36">
        <v>0.69661703106002126</v>
      </c>
      <c r="DD56" s="36">
        <v>7.8720850816365651E-2</v>
      </c>
      <c r="DE56" s="36">
        <v>1.0941285006117529</v>
      </c>
      <c r="DF56" s="36">
        <v>0.39623384366947961</v>
      </c>
      <c r="DG56" s="36">
        <v>0.48887156872475301</v>
      </c>
      <c r="DH56" s="36">
        <v>2.8612921496207528</v>
      </c>
      <c r="DI56" s="36">
        <v>2.0415847575269437</v>
      </c>
      <c r="DJ56" s="36">
        <v>0.45329973270529417</v>
      </c>
      <c r="DK56" s="36">
        <v>0.9171995059573228</v>
      </c>
      <c r="DL56" s="36">
        <v>0.94305857063751275</v>
      </c>
      <c r="DM56" s="36">
        <v>1.1535796439129844</v>
      </c>
      <c r="DN56" s="36">
        <v>1.2116554190638387</v>
      </c>
      <c r="DO56" s="36">
        <v>0.72573356261298583</v>
      </c>
      <c r="DP56" s="36">
        <v>1.6912991386478371</v>
      </c>
      <c r="DQ56" s="36">
        <v>0.70974611590214232</v>
      </c>
      <c r="DR56" s="36">
        <v>1.7420825362058732</v>
      </c>
      <c r="DS56" s="36">
        <v>2.6113772902691648</v>
      </c>
      <c r="DT56" s="36">
        <v>0.47278957592167964</v>
      </c>
      <c r="DU56" s="36">
        <v>1.6082808009409517</v>
      </c>
      <c r="DV56" s="36">
        <v>1.3403881127280679</v>
      </c>
      <c r="DW56" s="36">
        <v>2.4097478666333401</v>
      </c>
      <c r="DX56" s="36">
        <v>0.69754842406660766</v>
      </c>
      <c r="DY56" s="36">
        <v>0.85849167953780547</v>
      </c>
      <c r="DZ56" s="36">
        <v>0.89099216968291539</v>
      </c>
      <c r="EA56" s="36">
        <v>0.75928488751659806</v>
      </c>
      <c r="EB56" s="36">
        <v>0.54980378031507815</v>
      </c>
      <c r="EC56" s="36">
        <v>0.14718907180374721</v>
      </c>
      <c r="ED56" s="36">
        <v>1.0950721211634329</v>
      </c>
      <c r="EE56" s="36">
        <v>1.9724642647074224</v>
      </c>
      <c r="EF56" s="36">
        <v>0.41828738902999818</v>
      </c>
      <c r="EG56" s="36">
        <v>1.246827633739126</v>
      </c>
      <c r="EH56" s="36">
        <v>0.97115723119628528</v>
      </c>
      <c r="EI56" s="36">
        <v>1.8325161938601899</v>
      </c>
      <c r="EJ56" s="36">
        <v>3.5198617999239419</v>
      </c>
      <c r="EK56" s="36">
        <v>1.9824572413031896</v>
      </c>
      <c r="EL56" s="36">
        <v>9.5206887303693026</v>
      </c>
      <c r="EM56" s="36">
        <v>1.7928596619118484</v>
      </c>
      <c r="EN56" s="36">
        <v>0.71460649413356336</v>
      </c>
      <c r="EO56" s="36">
        <v>0.56813767035707796</v>
      </c>
      <c r="EP56" s="36">
        <v>4.0087567388746823</v>
      </c>
      <c r="EQ56" s="36">
        <v>0.38081460952360818</v>
      </c>
      <c r="ER56" s="36">
        <v>0.76360895493655467</v>
      </c>
      <c r="ES56" s="36">
        <v>0.63681263827918466</v>
      </c>
      <c r="ET56" s="36">
        <v>1.993514829345123</v>
      </c>
      <c r="EU56" s="36">
        <v>0.71782746730876679</v>
      </c>
      <c r="EV56" s="36">
        <v>1.2444800936893339</v>
      </c>
      <c r="EW56" s="36">
        <v>2.5749159149788725</v>
      </c>
      <c r="EX56" s="82">
        <v>0.97109564226898926</v>
      </c>
      <c r="EY56" s="25">
        <v>2025</v>
      </c>
      <c r="EZ56" s="25" t="s">
        <v>873</v>
      </c>
      <c r="FA56" s="100" t="s">
        <v>1007</v>
      </c>
      <c r="FB56" s="55" t="s">
        <v>929</v>
      </c>
    </row>
    <row r="57" spans="2:158" x14ac:dyDescent="0.35">
      <c r="B57" s="18" t="s">
        <v>869</v>
      </c>
      <c r="C57" s="95">
        <v>221300</v>
      </c>
      <c r="D57" s="9" t="s">
        <v>942</v>
      </c>
      <c r="E57" s="17">
        <v>2.2375927932369586</v>
      </c>
      <c r="F57" s="17">
        <v>1.6975106842694916</v>
      </c>
      <c r="G57" s="17">
        <v>1.5308576676219814</v>
      </c>
      <c r="H57" s="17">
        <v>2.3254119419646946</v>
      </c>
      <c r="I57" s="17">
        <v>1.4171639824971409</v>
      </c>
      <c r="J57" s="17">
        <v>1.7638743135854671</v>
      </c>
      <c r="K57" s="17">
        <v>1.030064237795588</v>
      </c>
      <c r="L57" s="17">
        <v>0.98779992006524708</v>
      </c>
      <c r="M57" s="17">
        <v>0.72723246908190864</v>
      </c>
      <c r="N57" s="17">
        <v>1.017277480298413</v>
      </c>
      <c r="O57" s="17">
        <v>1.9807227721443681</v>
      </c>
      <c r="P57" s="17">
        <v>1.1430338852320479</v>
      </c>
      <c r="Q57" s="17">
        <v>1.5252008612183683</v>
      </c>
      <c r="R57" s="17">
        <v>1.5805244049016092</v>
      </c>
      <c r="S57" s="17">
        <v>2.999856231906362</v>
      </c>
      <c r="T57" s="17">
        <v>1.0741065018360176</v>
      </c>
      <c r="U57" s="17">
        <v>1.3865456356738466</v>
      </c>
      <c r="V57" s="17">
        <v>2.0152920519748529</v>
      </c>
      <c r="W57" s="17">
        <v>0.69862295029782395</v>
      </c>
      <c r="X57" s="17">
        <v>1.2892754843789982</v>
      </c>
      <c r="Y57" s="17">
        <v>1.8500280045385742</v>
      </c>
      <c r="Z57" s="17">
        <v>1.1882300846961404</v>
      </c>
      <c r="AA57" s="17">
        <v>2.1071778124081071</v>
      </c>
      <c r="AB57" s="17">
        <v>0.48839350575601548</v>
      </c>
      <c r="AC57" s="17">
        <v>1.2164676048999337</v>
      </c>
      <c r="AD57" s="17">
        <v>1.9341318474361027</v>
      </c>
      <c r="AE57" s="17">
        <v>1.0747842750483514</v>
      </c>
      <c r="AF57" s="17">
        <v>1.1326312985895037</v>
      </c>
      <c r="AG57" s="17">
        <v>1.8223734822081215</v>
      </c>
      <c r="AH57" s="17">
        <v>1.3374017302716308</v>
      </c>
      <c r="AI57" s="17">
        <v>1.3376436759675852</v>
      </c>
      <c r="AJ57" s="17">
        <v>1.0601705751505672</v>
      </c>
      <c r="AK57" s="17">
        <v>1.9083789881061468</v>
      </c>
      <c r="AL57" s="17">
        <v>0.86309561345983898</v>
      </c>
      <c r="AM57" s="17">
        <v>1.8539456419299551</v>
      </c>
      <c r="AN57" s="17">
        <v>0.45884072001949266</v>
      </c>
      <c r="AO57" s="17">
        <v>1.3316491211582937</v>
      </c>
      <c r="AP57" s="17">
        <v>3.269695541215051</v>
      </c>
      <c r="AQ57" s="17">
        <v>1.3920379238064626</v>
      </c>
      <c r="AR57" s="17">
        <v>3.8393749125565826</v>
      </c>
      <c r="AS57" s="17">
        <v>1.3318265343659685</v>
      </c>
      <c r="AT57" s="17">
        <v>1.599332905070429</v>
      </c>
      <c r="AU57" s="17">
        <v>0.90004574547737148</v>
      </c>
      <c r="AV57" s="17">
        <v>0.74173009098298071</v>
      </c>
      <c r="AW57" s="17">
        <v>1.7929179963279365</v>
      </c>
      <c r="AX57" s="17">
        <v>0.69273779379688194</v>
      </c>
      <c r="AY57" s="17">
        <v>1.3962937031214173</v>
      </c>
      <c r="AZ57" s="17">
        <v>0.26243231516945298</v>
      </c>
      <c r="BA57" s="17">
        <v>1.3303087892026206</v>
      </c>
      <c r="BB57" s="17">
        <v>1.5492416342380133</v>
      </c>
      <c r="BC57" s="17">
        <v>1.0934350972654296</v>
      </c>
      <c r="BD57" s="17">
        <v>1.5852478935745744</v>
      </c>
      <c r="BE57" s="17">
        <v>1.5909397742059519</v>
      </c>
      <c r="BF57" s="17">
        <v>1.1665788657225362</v>
      </c>
      <c r="BG57" s="17">
        <v>1.2163433755246291</v>
      </c>
      <c r="BH57" s="17">
        <v>0.66453582493351038</v>
      </c>
      <c r="BI57" s="17">
        <v>1.9322090523023081</v>
      </c>
      <c r="BJ57" s="17">
        <v>1.0124291814221766</v>
      </c>
      <c r="BK57" s="17">
        <v>1.551216331491938</v>
      </c>
      <c r="BL57" s="17">
        <v>1.2904152155852575</v>
      </c>
      <c r="BM57" s="17">
        <v>1.7769200365387263</v>
      </c>
      <c r="BN57" s="17">
        <v>1.6428384049213454</v>
      </c>
      <c r="BO57" s="17">
        <v>0.47302419836345488</v>
      </c>
      <c r="BP57" s="17">
        <v>4.5868237675571599</v>
      </c>
      <c r="BQ57" s="17">
        <v>3.6027016783017061</v>
      </c>
      <c r="BR57" s="17">
        <v>1.0146885819811418</v>
      </c>
      <c r="BS57" s="17">
        <v>1.0760500011246077</v>
      </c>
      <c r="BT57" s="17">
        <v>0.88625095998784265</v>
      </c>
      <c r="BU57" s="17">
        <v>2.0579383432971485</v>
      </c>
      <c r="BV57" s="17">
        <v>2.3313590645280282</v>
      </c>
      <c r="BW57" s="17">
        <v>0.44805077837219537</v>
      </c>
      <c r="BX57" s="17">
        <v>2.8943583095238137</v>
      </c>
      <c r="BY57" s="17">
        <v>0.86786275538417312</v>
      </c>
      <c r="BZ57" s="17">
        <v>1.7146015099515632</v>
      </c>
      <c r="CA57" s="17">
        <v>1.925843686914348</v>
      </c>
      <c r="CB57" s="17">
        <v>1.1196850600727166</v>
      </c>
      <c r="CC57" s="17">
        <v>2.1402629172642738</v>
      </c>
      <c r="CD57" s="17">
        <v>3.3099341888960851</v>
      </c>
      <c r="CE57" s="17">
        <v>1.8826455489954814</v>
      </c>
      <c r="CF57" s="17">
        <v>1.9340456058772726</v>
      </c>
      <c r="CG57" s="17">
        <v>1.1895620393895026</v>
      </c>
      <c r="CH57" s="17">
        <v>1.2859996946840395</v>
      </c>
      <c r="CI57" s="17">
        <v>2.0120964343254255</v>
      </c>
      <c r="CJ57" s="17">
        <v>1.2160371796950429</v>
      </c>
      <c r="CK57" s="17">
        <v>0.397688600705352</v>
      </c>
      <c r="CL57" s="17">
        <v>1.3532976499813147</v>
      </c>
      <c r="CM57" s="17">
        <v>1.2367049418669707</v>
      </c>
      <c r="CN57" s="17">
        <v>2.7163317897580028</v>
      </c>
      <c r="CO57" s="17">
        <v>1.879499033263986</v>
      </c>
      <c r="CP57" s="17">
        <v>2.1164844383729871</v>
      </c>
      <c r="CQ57" s="17">
        <v>2.3886574955543458</v>
      </c>
      <c r="CR57" s="17">
        <v>1.1495492142870454</v>
      </c>
      <c r="CS57" s="17">
        <v>1.0413087976610862</v>
      </c>
      <c r="CT57" s="17">
        <v>1.9685737942134198</v>
      </c>
      <c r="CU57" s="17">
        <v>4.8707705177700982</v>
      </c>
      <c r="CV57" s="17">
        <v>1.546116788669933</v>
      </c>
      <c r="CW57" s="17">
        <v>1.0638164262950718</v>
      </c>
      <c r="CX57" s="17">
        <v>2.21444732456394</v>
      </c>
      <c r="CY57" s="17">
        <v>1.5193963555430638</v>
      </c>
      <c r="CZ57" s="17">
        <v>1.1484997598654909</v>
      </c>
      <c r="DA57" s="17">
        <v>1.3738972957618727</v>
      </c>
      <c r="DB57" s="17">
        <v>1.6949888137219105</v>
      </c>
      <c r="DC57" s="17">
        <v>0.57079752976338094</v>
      </c>
      <c r="DD57" s="17">
        <v>0.70485726366618073</v>
      </c>
      <c r="DE57" s="17">
        <v>1.4170055604186222</v>
      </c>
      <c r="DF57" s="17">
        <v>1.2387579736379499</v>
      </c>
      <c r="DG57" s="17">
        <v>0.74455011981272068</v>
      </c>
      <c r="DH57" s="17">
        <v>3.5285773580720625</v>
      </c>
      <c r="DI57" s="17">
        <v>2.3210561813135526</v>
      </c>
      <c r="DJ57" s="17">
        <v>0.96945586216660118</v>
      </c>
      <c r="DK57" s="17">
        <v>1.1150295599533877</v>
      </c>
      <c r="DL57" s="17">
        <v>1.407805934637359</v>
      </c>
      <c r="DM57" s="17">
        <v>1.5232890879205363</v>
      </c>
      <c r="DN57" s="17">
        <v>1.0771944389827546</v>
      </c>
      <c r="DO57" s="17">
        <v>1.0583032707088496</v>
      </c>
      <c r="DP57" s="17">
        <v>2.8698344443760075</v>
      </c>
      <c r="DQ57" s="17">
        <v>0.78571347407461956</v>
      </c>
      <c r="DR57" s="17">
        <v>1.445805330987294</v>
      </c>
      <c r="DS57" s="17">
        <v>3.7096589306728163</v>
      </c>
      <c r="DT57" s="17">
        <v>0.85711225567978733</v>
      </c>
      <c r="DU57" s="17">
        <v>2.1473497732571305</v>
      </c>
      <c r="DV57" s="17">
        <v>1.8162751442795877</v>
      </c>
      <c r="DW57" s="17">
        <v>0.94905693819223369</v>
      </c>
      <c r="DX57" s="17">
        <v>1.1812014838029921</v>
      </c>
      <c r="DY57" s="17">
        <v>1.2716113487005816</v>
      </c>
      <c r="DZ57" s="17">
        <v>1.3126966901518629</v>
      </c>
      <c r="EA57" s="17">
        <v>1.0736042317132812</v>
      </c>
      <c r="EB57" s="17">
        <v>1.4875121650327974</v>
      </c>
      <c r="EC57" s="17">
        <v>0.9499397262242022</v>
      </c>
      <c r="ED57" s="17">
        <v>1.4891097698729523</v>
      </c>
      <c r="EE57" s="17">
        <v>2.9285081615294564</v>
      </c>
      <c r="EF57" s="17">
        <v>1.0306792889242866</v>
      </c>
      <c r="EG57" s="17">
        <v>1.6234074194705048</v>
      </c>
      <c r="EH57" s="17">
        <v>1.6997682786480157</v>
      </c>
      <c r="EI57" s="17">
        <v>2.3746340873952052</v>
      </c>
      <c r="EJ57" s="17">
        <v>4.2695535651464143</v>
      </c>
      <c r="EK57" s="17">
        <v>2.2539249897848679</v>
      </c>
      <c r="EL57" s="17">
        <v>2.573932482665096</v>
      </c>
      <c r="EM57" s="17">
        <v>1.6811000175853661</v>
      </c>
      <c r="EN57" s="17">
        <v>1.1596360395025802</v>
      </c>
      <c r="EO57" s="17">
        <v>0.74873528200789563</v>
      </c>
      <c r="EP57" s="17">
        <v>4.5399494365966229</v>
      </c>
      <c r="EQ57" s="17">
        <v>0.57589315797163521</v>
      </c>
      <c r="ER57" s="17">
        <v>1.379814350890096</v>
      </c>
      <c r="ES57" s="17">
        <v>1.1263319552773361</v>
      </c>
      <c r="ET57" s="17">
        <v>2.8294583366699837</v>
      </c>
      <c r="EU57" s="17">
        <v>1.3649767341964452</v>
      </c>
      <c r="EV57" s="17">
        <v>1.7378481994309753</v>
      </c>
      <c r="EW57" s="17">
        <v>1.539799344646219</v>
      </c>
      <c r="EX57" s="90">
        <v>1.3962937031214173</v>
      </c>
      <c r="EY57" s="14">
        <v>2025</v>
      </c>
      <c r="EZ57" s="14" t="s">
        <v>873</v>
      </c>
      <c r="FA57" s="48" t="s">
        <v>1007</v>
      </c>
      <c r="FB57" s="9" t="s">
        <v>929</v>
      </c>
    </row>
    <row r="58" spans="2:158" x14ac:dyDescent="0.35">
      <c r="B58" s="18" t="s">
        <v>869</v>
      </c>
      <c r="C58" s="95">
        <v>221100</v>
      </c>
      <c r="D58" s="9" t="s">
        <v>940</v>
      </c>
      <c r="E58" s="17">
        <v>11.080570659394759</v>
      </c>
      <c r="F58" s="17">
        <v>10.157636010420187</v>
      </c>
      <c r="G58" s="17">
        <v>2.2029162762981529</v>
      </c>
      <c r="H58" s="17">
        <v>10.969192030528911</v>
      </c>
      <c r="I58" s="17">
        <v>4.5084611914880517</v>
      </c>
      <c r="J58" s="17">
        <v>2.1260714711222692</v>
      </c>
      <c r="K58" s="17">
        <v>5.6074668781815644</v>
      </c>
      <c r="L58" s="17">
        <v>1.4144156385997038</v>
      </c>
      <c r="M58" s="17">
        <v>0.94416776847566353</v>
      </c>
      <c r="N58" s="17">
        <v>0.86196280801232039</v>
      </c>
      <c r="O58" s="17">
        <v>3.6972021534871025</v>
      </c>
      <c r="P58" s="17">
        <v>2.8711592478499126</v>
      </c>
      <c r="Q58" s="17">
        <v>5.5848349395074317</v>
      </c>
      <c r="R58" s="17">
        <v>4.0888923917519948</v>
      </c>
      <c r="S58" s="17">
        <v>6.2422745865659799</v>
      </c>
      <c r="T58" s="17">
        <v>2.222283201297885</v>
      </c>
      <c r="U58" s="17">
        <v>2.4460822348150155</v>
      </c>
      <c r="V58" s="17">
        <v>4.2195324998202759</v>
      </c>
      <c r="W58" s="17">
        <v>1.2111092849922747</v>
      </c>
      <c r="X58" s="17">
        <v>2.7581123693533338</v>
      </c>
      <c r="Y58" s="17">
        <v>0.86989228731126245</v>
      </c>
      <c r="Z58" s="17">
        <v>2.3770322192888984</v>
      </c>
      <c r="AA58" s="17">
        <v>1.8320308890460004</v>
      </c>
      <c r="AB58" s="17">
        <v>0.67665755395659521</v>
      </c>
      <c r="AC58" s="17">
        <v>3.5375674844845761</v>
      </c>
      <c r="AD58" s="17">
        <v>9.7112065367834823</v>
      </c>
      <c r="AE58" s="17">
        <v>3.586873285527211</v>
      </c>
      <c r="AF58" s="17">
        <v>2.8934699303746516</v>
      </c>
      <c r="AG58" s="17">
        <v>2.8783115603729397</v>
      </c>
      <c r="AH58" s="17">
        <v>2.9389273733539301</v>
      </c>
      <c r="AI58" s="17">
        <v>0.27978708706145611</v>
      </c>
      <c r="AJ58" s="17">
        <v>6.3746988340286483</v>
      </c>
      <c r="AK58" s="17">
        <v>4.6178481403017697</v>
      </c>
      <c r="AL58" s="17">
        <v>2.5162961743829761</v>
      </c>
      <c r="AM58" s="17">
        <v>3.6635887257821094</v>
      </c>
      <c r="AN58" s="17">
        <v>1.6606146212971908</v>
      </c>
      <c r="AO58" s="17">
        <v>3.7411226760621767</v>
      </c>
      <c r="AP58" s="17">
        <v>10.945133391053906</v>
      </c>
      <c r="AQ58" s="17">
        <v>2.6151199907449763</v>
      </c>
      <c r="AR58" s="17">
        <v>13.158331259290511</v>
      </c>
      <c r="AS58" s="17">
        <v>1.5936866579437199</v>
      </c>
      <c r="AT58" s="17">
        <v>7.5329716818065</v>
      </c>
      <c r="AU58" s="17">
        <v>0.8564688368346024</v>
      </c>
      <c r="AV58" s="17">
        <v>0.74198698997443502</v>
      </c>
      <c r="AW58" s="17">
        <v>2.5255296254612802</v>
      </c>
      <c r="AX58" s="17">
        <v>0.9022845224617092</v>
      </c>
      <c r="AY58" s="17">
        <v>3.0994359376976606</v>
      </c>
      <c r="AZ58" s="17">
        <v>0.95747955889378966</v>
      </c>
      <c r="BA58" s="17">
        <v>1.8415741078041212</v>
      </c>
      <c r="BB58" s="17">
        <v>3.8441945850664507</v>
      </c>
      <c r="BC58" s="17">
        <v>2.70390669713395</v>
      </c>
      <c r="BD58" s="17">
        <v>3.670688776906379</v>
      </c>
      <c r="BE58" s="17">
        <v>3.7146898647857749</v>
      </c>
      <c r="BF58" s="17">
        <v>2.0099820112406235</v>
      </c>
      <c r="BG58" s="17">
        <v>3.0113433878966771</v>
      </c>
      <c r="BH58" s="17">
        <v>4.4188326506775644</v>
      </c>
      <c r="BI58" s="17">
        <v>2.8475031918896421</v>
      </c>
      <c r="BJ58" s="17">
        <v>1.5165577137863617</v>
      </c>
      <c r="BK58" s="17">
        <v>9.067075331551008</v>
      </c>
      <c r="BL58" s="17">
        <v>2.9675743491969553</v>
      </c>
      <c r="BM58" s="17">
        <v>14.470858287396656</v>
      </c>
      <c r="BN58" s="17">
        <v>10.705418175936686</v>
      </c>
      <c r="BO58" s="17">
        <v>1.450505774215856</v>
      </c>
      <c r="BP58" s="17">
        <v>14.290233475708009</v>
      </c>
      <c r="BQ58" s="17">
        <v>17.732801559322219</v>
      </c>
      <c r="BR58" s="17">
        <v>0.14361109328689117</v>
      </c>
      <c r="BS58" s="17">
        <v>3.842892398641518</v>
      </c>
      <c r="BT58" s="17">
        <v>2.678077165336489</v>
      </c>
      <c r="BU58" s="17">
        <v>3.1551112962886099</v>
      </c>
      <c r="BV58" s="17">
        <v>6.7586965586935515</v>
      </c>
      <c r="BW58" s="17">
        <v>2.5433150478883402</v>
      </c>
      <c r="BX58" s="17">
        <v>19.669435066180011</v>
      </c>
      <c r="BY58" s="17">
        <v>1.1989611775275957</v>
      </c>
      <c r="BZ58" s="17">
        <v>8.7399286934710805</v>
      </c>
      <c r="CA58" s="17">
        <v>2.0813192788473009</v>
      </c>
      <c r="CB58" s="17">
        <v>2.5146460863183995</v>
      </c>
      <c r="CC58" s="17">
        <v>3.2495816807929998</v>
      </c>
      <c r="CD58" s="17">
        <v>22.251114623466716</v>
      </c>
      <c r="CE58" s="17">
        <v>9.6930309508376009</v>
      </c>
      <c r="CF58" s="17">
        <v>4.0541008752625407</v>
      </c>
      <c r="CG58" s="17">
        <v>3.3080651798901384</v>
      </c>
      <c r="CH58" s="17">
        <v>3.7368096334386878</v>
      </c>
      <c r="CI58" s="17">
        <v>1.40418193393633</v>
      </c>
      <c r="CJ58" s="17">
        <v>0.87477870773795174</v>
      </c>
      <c r="CK58" s="17">
        <v>0.64839385643770941</v>
      </c>
      <c r="CL58" s="17">
        <v>1.46779465366882</v>
      </c>
      <c r="CM58" s="17">
        <v>6.2868318958568956</v>
      </c>
      <c r="CN58" s="17">
        <v>8.1242455789449455</v>
      </c>
      <c r="CO58" s="17">
        <v>2.3815633978828719</v>
      </c>
      <c r="CP58" s="17">
        <v>7.4620261785796975</v>
      </c>
      <c r="CQ58" s="17">
        <v>4.3479246248657075</v>
      </c>
      <c r="CR58" s="17">
        <v>2.4288429841863728</v>
      </c>
      <c r="CS58" s="17">
        <v>2.9138663774317637</v>
      </c>
      <c r="CT58" s="17">
        <v>13.071122562783348</v>
      </c>
      <c r="CU58" s="17">
        <v>19.031821071815529</v>
      </c>
      <c r="CV58" s="17">
        <v>3.5402947164925291</v>
      </c>
      <c r="CW58" s="17">
        <v>1.0978061589475963</v>
      </c>
      <c r="CX58" s="17">
        <v>12.178445423019015</v>
      </c>
      <c r="CY58" s="17">
        <v>3.729343419987396</v>
      </c>
      <c r="CZ58" s="17">
        <v>4.8475194615041444</v>
      </c>
      <c r="DA58" s="17">
        <v>4.989182164068187</v>
      </c>
      <c r="DB58" s="17">
        <v>2.1213145530007131</v>
      </c>
      <c r="DC58" s="17">
        <v>3.4769554594264798</v>
      </c>
      <c r="DD58" s="17">
        <v>0.29017317515193325</v>
      </c>
      <c r="DE58" s="17">
        <v>0.91155265712201639</v>
      </c>
      <c r="DF58" s="17">
        <v>3.0353621838372011</v>
      </c>
      <c r="DG58" s="17">
        <v>1.277161654088083</v>
      </c>
      <c r="DH58" s="17">
        <v>11.814654427388998</v>
      </c>
      <c r="DI58" s="17">
        <v>5.3804487784734212</v>
      </c>
      <c r="DJ58" s="17">
        <v>2.9473001772287826</v>
      </c>
      <c r="DK58" s="17">
        <v>4.3045850816258753</v>
      </c>
      <c r="DL58" s="17">
        <v>2.2554513274381733</v>
      </c>
      <c r="DM58" s="17">
        <v>5.9910436573914891</v>
      </c>
      <c r="DN58" s="17">
        <v>2.6418982469468215</v>
      </c>
      <c r="DO58" s="17">
        <v>1.1440663825862396</v>
      </c>
      <c r="DP58" s="17">
        <v>18.557851144530904</v>
      </c>
      <c r="DQ58" s="17">
        <v>2.5460911285406587</v>
      </c>
      <c r="DR58" s="17">
        <v>4.6666081958738301</v>
      </c>
      <c r="DS58" s="17">
        <v>11.566791895325261</v>
      </c>
      <c r="DT58" s="17">
        <v>1.6040192131126445</v>
      </c>
      <c r="DU58" s="17">
        <v>13.329136909392362</v>
      </c>
      <c r="DV58" s="17">
        <v>4.7490568684610937</v>
      </c>
      <c r="DW58" s="17">
        <v>7.0089155241229166</v>
      </c>
      <c r="DX58" s="17">
        <v>1.6676473968218561</v>
      </c>
      <c r="DY58" s="17">
        <v>2.3024147340910845</v>
      </c>
      <c r="DZ58" s="17">
        <v>1.0845074885557056</v>
      </c>
      <c r="EA58" s="17">
        <v>1.6597361844986287</v>
      </c>
      <c r="EB58" s="17">
        <v>2.7858010454685989</v>
      </c>
      <c r="EC58" s="17">
        <v>0.59271854634155174</v>
      </c>
      <c r="ED58" s="17">
        <v>1.5603048147210503</v>
      </c>
      <c r="EE58" s="17">
        <v>2.471366722451207</v>
      </c>
      <c r="EF58" s="17">
        <v>5.0976814599411746</v>
      </c>
      <c r="EG58" s="17">
        <v>3.6141706747497864</v>
      </c>
      <c r="EH58" s="17">
        <v>4.6199552560784012</v>
      </c>
      <c r="EI58" s="17">
        <v>3.5417158750314313</v>
      </c>
      <c r="EJ58" s="17">
        <v>15.18409800246708</v>
      </c>
      <c r="EK58" s="17">
        <v>9.5414721451691165</v>
      </c>
      <c r="EL58" s="17">
        <v>23.501853871875248</v>
      </c>
      <c r="EM58" s="17">
        <v>8.4272764560136881</v>
      </c>
      <c r="EN58" s="17">
        <v>5.1417783490162154</v>
      </c>
      <c r="EO58" s="17">
        <v>0.61816799034587588</v>
      </c>
      <c r="EP58" s="17">
        <v>10.881479094764249</v>
      </c>
      <c r="EQ58" s="17">
        <v>0.44593878446365431</v>
      </c>
      <c r="ER58" s="17">
        <v>3.6232609958468411</v>
      </c>
      <c r="ES58" s="17">
        <v>1.9632649357501608</v>
      </c>
      <c r="ET58" s="17">
        <v>9.3316351172603866</v>
      </c>
      <c r="EU58" s="17">
        <v>2.971312872417859</v>
      </c>
      <c r="EV58" s="17">
        <v>2.8589245095015117</v>
      </c>
      <c r="EW58" s="17">
        <v>16.463004092037441</v>
      </c>
      <c r="EX58" s="90">
        <v>3.1551112962886099</v>
      </c>
      <c r="EY58" s="14">
        <v>2025</v>
      </c>
      <c r="EZ58" s="14" t="s">
        <v>873</v>
      </c>
      <c r="FA58" s="48" t="s">
        <v>1007</v>
      </c>
      <c r="FB58" s="9" t="s">
        <v>929</v>
      </c>
    </row>
    <row r="59" spans="2:158" x14ac:dyDescent="0.35">
      <c r="B59" s="22" t="s">
        <v>870</v>
      </c>
      <c r="C59" s="95">
        <v>541700</v>
      </c>
      <c r="D59" s="9" t="s">
        <v>988</v>
      </c>
      <c r="E59" s="36">
        <v>0.35467900889468285</v>
      </c>
      <c r="F59" s="36">
        <v>0.28375470312749601</v>
      </c>
      <c r="G59" s="36">
        <v>0.27346546996767856</v>
      </c>
      <c r="H59" s="36">
        <v>0.39491306309616619</v>
      </c>
      <c r="I59" s="36">
        <v>0.15718557571840686</v>
      </c>
      <c r="J59" s="36">
        <v>0.36147323423076039</v>
      </c>
      <c r="K59" s="36">
        <v>0.20352725313583861</v>
      </c>
      <c r="L59" s="36">
        <v>0.11114264298089881</v>
      </c>
      <c r="M59" s="36">
        <v>0.16734212447175634</v>
      </c>
      <c r="N59" s="36">
        <v>8.2560327748373907E-2</v>
      </c>
      <c r="O59" s="36">
        <v>0.28800760655457674</v>
      </c>
      <c r="P59" s="36">
        <v>0.21682505428245438</v>
      </c>
      <c r="Q59" s="36">
        <v>0.24358194065497138</v>
      </c>
      <c r="R59" s="36">
        <v>0.19612363393210183</v>
      </c>
      <c r="S59" s="36">
        <v>0.41528837330926266</v>
      </c>
      <c r="T59" s="36">
        <v>0.2283666059991166</v>
      </c>
      <c r="U59" s="36">
        <v>0.30079646515429909</v>
      </c>
      <c r="V59" s="36">
        <v>0.28859079996931097</v>
      </c>
      <c r="W59" s="36">
        <v>6.3050431794399758E-2</v>
      </c>
      <c r="X59" s="36">
        <v>0.24567395907007047</v>
      </c>
      <c r="Y59" s="36">
        <v>0.30776091082870743</v>
      </c>
      <c r="Z59" s="36">
        <v>0.25897355471125355</v>
      </c>
      <c r="AA59" s="36">
        <v>0.20424330055454684</v>
      </c>
      <c r="AB59" s="36">
        <v>8.158726040382891E-2</v>
      </c>
      <c r="AC59" s="36">
        <v>8.756243335458784E-2</v>
      </c>
      <c r="AD59" s="36">
        <v>1.0454649157314746</v>
      </c>
      <c r="AE59" s="36">
        <v>0.19308289471545573</v>
      </c>
      <c r="AF59" s="36">
        <v>0.19177091416271638</v>
      </c>
      <c r="AG59" s="36">
        <v>0.30279648625694422</v>
      </c>
      <c r="AH59" s="36">
        <v>8.4439727854429533E-2</v>
      </c>
      <c r="AI59" s="36">
        <v>6.6728109999178109E-2</v>
      </c>
      <c r="AJ59" s="36">
        <v>0.10461636637546989</v>
      </c>
      <c r="AK59" s="36">
        <v>0.24376395443049265</v>
      </c>
      <c r="AL59" s="36">
        <v>8.1237001054996733E-2</v>
      </c>
      <c r="AM59" s="36">
        <v>0.3946528743174042</v>
      </c>
      <c r="AN59" s="36">
        <v>7.6355793525860222E-2</v>
      </c>
      <c r="AO59" s="36">
        <v>0.22678218482231138</v>
      </c>
      <c r="AP59" s="36">
        <v>0.41855616613568214</v>
      </c>
      <c r="AQ59" s="36">
        <v>0.21770478252610634</v>
      </c>
      <c r="AR59" s="36">
        <v>0.47780556717418587</v>
      </c>
      <c r="AS59" s="36">
        <v>0.16130346738438348</v>
      </c>
      <c r="AT59" s="36">
        <v>0.24741762668185358</v>
      </c>
      <c r="AU59" s="36">
        <v>0.16259096021657216</v>
      </c>
      <c r="AV59" s="36">
        <v>0.10026988995364099</v>
      </c>
      <c r="AW59" s="36">
        <v>0.31704639273252672</v>
      </c>
      <c r="AX59" s="36">
        <v>6.8314773225773145E-2</v>
      </c>
      <c r="AY59" s="36">
        <v>0.21874144829439107</v>
      </c>
      <c r="AZ59" s="36">
        <v>0.1510409570782974</v>
      </c>
      <c r="BA59" s="36">
        <v>0.27049315266055485</v>
      </c>
      <c r="BB59" s="36">
        <v>0.27192101037194838</v>
      </c>
      <c r="BC59" s="36">
        <v>0.20765019156473913</v>
      </c>
      <c r="BD59" s="36">
        <v>0.27989794314843214</v>
      </c>
      <c r="BE59" s="36">
        <v>0.13945301864427107</v>
      </c>
      <c r="BF59" s="36">
        <v>0.25361432952583879</v>
      </c>
      <c r="BG59" s="36">
        <v>0.21461790783932991</v>
      </c>
      <c r="BH59" s="36">
        <v>0.10689807817284523</v>
      </c>
      <c r="BI59" s="36">
        <v>0.34312823705683632</v>
      </c>
      <c r="BJ59" s="36">
        <v>0.23449100317318253</v>
      </c>
      <c r="BK59" s="36">
        <v>0.28463914118836336</v>
      </c>
      <c r="BL59" s="36">
        <v>0.21020269521275936</v>
      </c>
      <c r="BM59" s="36">
        <v>0.26024465731655194</v>
      </c>
      <c r="BN59" s="36">
        <v>0.81624835394852213</v>
      </c>
      <c r="BO59" s="36">
        <v>8.3084857430730741E-2</v>
      </c>
      <c r="BP59" s="36">
        <v>0.53726495792908635</v>
      </c>
      <c r="BQ59" s="36">
        <v>0.48754689129803358</v>
      </c>
      <c r="BR59" s="36">
        <v>7.7893171211086312E-2</v>
      </c>
      <c r="BS59" s="36">
        <v>7.2007628967793905E-2</v>
      </c>
      <c r="BT59" s="36">
        <v>0.14673793477653135</v>
      </c>
      <c r="BU59" s="36">
        <v>0.32239538201116363</v>
      </c>
      <c r="BV59" s="36">
        <v>0.35445008667578226</v>
      </c>
      <c r="BW59" s="36">
        <v>0.19020432636611603</v>
      </c>
      <c r="BX59" s="36">
        <v>0.53818476404281934</v>
      </c>
      <c r="BY59" s="36">
        <v>0.15895720667496396</v>
      </c>
      <c r="BZ59" s="36">
        <v>0.49118470607010806</v>
      </c>
      <c r="CA59" s="36">
        <v>0.42609576306403751</v>
      </c>
      <c r="CB59" s="36">
        <v>0.25294034521274078</v>
      </c>
      <c r="CC59" s="36">
        <v>0.98528909720059443</v>
      </c>
      <c r="CD59" s="36">
        <v>0.46478642057829883</v>
      </c>
      <c r="CE59" s="36">
        <v>0.74335077197559873</v>
      </c>
      <c r="CF59" s="36">
        <v>0.30969082248165825</v>
      </c>
      <c r="CG59" s="36">
        <v>0.26037281848555421</v>
      </c>
      <c r="CH59" s="36">
        <v>0.22723373885712064</v>
      </c>
      <c r="CI59" s="36">
        <v>0.46092782134352223</v>
      </c>
      <c r="CJ59" s="36">
        <v>0.1080836551063348</v>
      </c>
      <c r="CK59" s="36">
        <v>0.11944036019555124</v>
      </c>
      <c r="CL59" s="36">
        <v>0.10777886100258123</v>
      </c>
      <c r="CM59" s="36">
        <v>5.3729671877345661E-2</v>
      </c>
      <c r="CN59" s="36">
        <v>0.38244581951253165</v>
      </c>
      <c r="CO59" s="36">
        <v>0.41229509710184647</v>
      </c>
      <c r="CP59" s="36">
        <v>0.17517650840751595</v>
      </c>
      <c r="CQ59" s="36">
        <v>0.39427161552478263</v>
      </c>
      <c r="CR59" s="36">
        <v>0.22341056255822231</v>
      </c>
      <c r="CS59" s="36">
        <v>0.39285324458953824</v>
      </c>
      <c r="CT59" s="36">
        <v>0.44434443425282011</v>
      </c>
      <c r="CU59" s="36">
        <v>0.51079251075433174</v>
      </c>
      <c r="CV59" s="36">
        <v>0.30433889831143029</v>
      </c>
      <c r="CW59" s="36">
        <v>0.24374316703961446</v>
      </c>
      <c r="CX59" s="36">
        <v>0.39970309059738252</v>
      </c>
      <c r="CY59" s="36">
        <v>0.28075017713961636</v>
      </c>
      <c r="CZ59" s="36">
        <v>0.2119254755645758</v>
      </c>
      <c r="DA59" s="36">
        <v>0.21805310611284637</v>
      </c>
      <c r="DB59" s="36">
        <v>0.29996316816422641</v>
      </c>
      <c r="DC59" s="36">
        <v>9.7900158197739437E-2</v>
      </c>
      <c r="DD59" s="36">
        <v>0.15473522375235593</v>
      </c>
      <c r="DE59" s="36">
        <v>0.24849424514646329</v>
      </c>
      <c r="DF59" s="36">
        <v>0.38145328036115839</v>
      </c>
      <c r="DG59" s="36">
        <v>9.6252438654320718E-2</v>
      </c>
      <c r="DH59" s="36">
        <v>0.43452212709487448</v>
      </c>
      <c r="DI59" s="36">
        <v>0.3145385011011767</v>
      </c>
      <c r="DJ59" s="36">
        <v>8.6045767033771689E-2</v>
      </c>
      <c r="DK59" s="36">
        <v>0.2674145988233057</v>
      </c>
      <c r="DL59" s="36">
        <v>0.26890061959454492</v>
      </c>
      <c r="DM59" s="36">
        <v>0.24421685995948691</v>
      </c>
      <c r="DN59" s="36">
        <v>0.11896232184567804</v>
      </c>
      <c r="DO59" s="36">
        <v>0.21077947023911581</v>
      </c>
      <c r="DP59" s="36">
        <v>0.42232346725408931</v>
      </c>
      <c r="DQ59" s="36">
        <v>0.24110739022883781</v>
      </c>
      <c r="DR59" s="36">
        <v>0.1251720004733933</v>
      </c>
      <c r="DS59" s="36">
        <v>0.46070969567037029</v>
      </c>
      <c r="DT59" s="36">
        <v>0.19539680143909424</v>
      </c>
      <c r="DU59" s="36">
        <v>1.159101325480657</v>
      </c>
      <c r="DV59" s="36">
        <v>0.28830509126448683</v>
      </c>
      <c r="DW59" s="36">
        <v>0.30004376375574582</v>
      </c>
      <c r="DX59" s="36">
        <v>0.25820669349545272</v>
      </c>
      <c r="DY59" s="36">
        <v>0.24116634650566673</v>
      </c>
      <c r="DZ59" s="36">
        <v>0.26002902151023549</v>
      </c>
      <c r="EA59" s="36">
        <v>0.29813347705347215</v>
      </c>
      <c r="EB59" s="36">
        <v>0.20068258618082535</v>
      </c>
      <c r="EC59" s="36">
        <v>7.3856764713786716E-2</v>
      </c>
      <c r="ED59" s="36">
        <v>0.265771152878371</v>
      </c>
      <c r="EE59" s="36">
        <v>0.4862091343985997</v>
      </c>
      <c r="EF59" s="36">
        <v>0.23375184179621616</v>
      </c>
      <c r="EG59" s="36">
        <v>0.25771980728417321</v>
      </c>
      <c r="EH59" s="36">
        <v>0.49055874945395755</v>
      </c>
      <c r="EI59" s="36">
        <v>0.35769843786978373</v>
      </c>
      <c r="EJ59" s="36">
        <v>0.49191009743417446</v>
      </c>
      <c r="EK59" s="36">
        <v>0.36688437458487072</v>
      </c>
      <c r="EL59" s="36">
        <v>0.47408805169610674</v>
      </c>
      <c r="EM59" s="36">
        <v>0.28674915830749614</v>
      </c>
      <c r="EN59" s="36">
        <v>0.19795576441282134</v>
      </c>
      <c r="EO59" s="36">
        <v>0.14421288388132375</v>
      </c>
      <c r="EP59" s="36">
        <v>0.48160267426703562</v>
      </c>
      <c r="EQ59" s="36">
        <v>0.12684013005323916</v>
      </c>
      <c r="ER59" s="36">
        <v>0.11585217237542218</v>
      </c>
      <c r="ES59" s="36">
        <v>0.25103995915851446</v>
      </c>
      <c r="ET59" s="36">
        <v>0.69135556450361635</v>
      </c>
      <c r="EU59" s="36">
        <v>0.3129095936437834</v>
      </c>
      <c r="EV59" s="36">
        <v>0.30118851250764095</v>
      </c>
      <c r="EW59" s="36">
        <v>0.66086645895411522</v>
      </c>
      <c r="EX59" s="82">
        <v>0.25361432952583879</v>
      </c>
      <c r="EY59" s="25">
        <v>2025</v>
      </c>
      <c r="EZ59" s="25" t="s">
        <v>873</v>
      </c>
      <c r="FA59" s="100" t="s">
        <v>1007</v>
      </c>
      <c r="FB59" s="55" t="s">
        <v>929</v>
      </c>
    </row>
    <row r="60" spans="2:158" x14ac:dyDescent="0.35">
      <c r="B60" s="18" t="s">
        <v>870</v>
      </c>
      <c r="C60" s="95">
        <v>541700</v>
      </c>
      <c r="D60" s="9" t="s">
        <v>988</v>
      </c>
      <c r="E60" s="17">
        <v>0.35467900889468285</v>
      </c>
      <c r="F60" s="17">
        <v>0.28375470312749601</v>
      </c>
      <c r="G60" s="17">
        <v>0.27346546996767856</v>
      </c>
      <c r="H60" s="17">
        <v>0.39491306309616619</v>
      </c>
      <c r="I60" s="17">
        <v>0.15718557571840686</v>
      </c>
      <c r="J60" s="17">
        <v>0.36147323423076039</v>
      </c>
      <c r="K60" s="17">
        <v>0.20352725313583861</v>
      </c>
      <c r="L60" s="17">
        <v>0.11114264298089881</v>
      </c>
      <c r="M60" s="17">
        <v>0.16734212447175634</v>
      </c>
      <c r="N60" s="17">
        <v>8.2560327748373907E-2</v>
      </c>
      <c r="O60" s="17">
        <v>0.28800760655457674</v>
      </c>
      <c r="P60" s="17">
        <v>0.21682505428245438</v>
      </c>
      <c r="Q60" s="17">
        <v>0.24358194065497138</v>
      </c>
      <c r="R60" s="17">
        <v>0.19612363393210183</v>
      </c>
      <c r="S60" s="17">
        <v>0.41528837330926266</v>
      </c>
      <c r="T60" s="17">
        <v>0.2283666059991166</v>
      </c>
      <c r="U60" s="17">
        <v>0.30079646515429909</v>
      </c>
      <c r="V60" s="17">
        <v>0.28859079996931097</v>
      </c>
      <c r="W60" s="17">
        <v>6.3050431794399758E-2</v>
      </c>
      <c r="X60" s="17">
        <v>0.24567395907007047</v>
      </c>
      <c r="Y60" s="17">
        <v>0.30776091082870743</v>
      </c>
      <c r="Z60" s="17">
        <v>0.25897355471125355</v>
      </c>
      <c r="AA60" s="17">
        <v>0.20424330055454684</v>
      </c>
      <c r="AB60" s="17">
        <v>8.158726040382891E-2</v>
      </c>
      <c r="AC60" s="17">
        <v>8.756243335458784E-2</v>
      </c>
      <c r="AD60" s="17">
        <v>1.0454649157314746</v>
      </c>
      <c r="AE60" s="17">
        <v>0.19308289471545573</v>
      </c>
      <c r="AF60" s="17">
        <v>0.19177091416271638</v>
      </c>
      <c r="AG60" s="17">
        <v>0.30279648625694422</v>
      </c>
      <c r="AH60" s="17">
        <v>8.4439727854429533E-2</v>
      </c>
      <c r="AI60" s="17">
        <v>6.6728109999178109E-2</v>
      </c>
      <c r="AJ60" s="17">
        <v>0.10461636637546989</v>
      </c>
      <c r="AK60" s="17">
        <v>0.24376395443049265</v>
      </c>
      <c r="AL60" s="17">
        <v>8.1237001054996733E-2</v>
      </c>
      <c r="AM60" s="17">
        <v>0.3946528743174042</v>
      </c>
      <c r="AN60" s="17">
        <v>7.6355793525860222E-2</v>
      </c>
      <c r="AO60" s="17">
        <v>0.22678218482231138</v>
      </c>
      <c r="AP60" s="17">
        <v>0.41855616613568214</v>
      </c>
      <c r="AQ60" s="17">
        <v>0.21770478252610634</v>
      </c>
      <c r="AR60" s="17">
        <v>0.47780556717418587</v>
      </c>
      <c r="AS60" s="17">
        <v>0.16130346738438348</v>
      </c>
      <c r="AT60" s="17">
        <v>0.24741762668185358</v>
      </c>
      <c r="AU60" s="17">
        <v>0.16259096021657216</v>
      </c>
      <c r="AV60" s="17">
        <v>0.10026988995364099</v>
      </c>
      <c r="AW60" s="17">
        <v>0.31704639273252672</v>
      </c>
      <c r="AX60" s="17">
        <v>6.8314773225773145E-2</v>
      </c>
      <c r="AY60" s="17">
        <v>0.21874144829439107</v>
      </c>
      <c r="AZ60" s="17">
        <v>0.1510409570782974</v>
      </c>
      <c r="BA60" s="17">
        <v>0.27049315266055485</v>
      </c>
      <c r="BB60" s="17">
        <v>0.27192101037194838</v>
      </c>
      <c r="BC60" s="17">
        <v>0.20765019156473913</v>
      </c>
      <c r="BD60" s="17">
        <v>0.27989794314843214</v>
      </c>
      <c r="BE60" s="17">
        <v>0.13945301864427107</v>
      </c>
      <c r="BF60" s="17">
        <v>0.25361432952583879</v>
      </c>
      <c r="BG60" s="17">
        <v>0.21461790783932991</v>
      </c>
      <c r="BH60" s="17">
        <v>0.10689807817284523</v>
      </c>
      <c r="BI60" s="17">
        <v>0.34312823705683632</v>
      </c>
      <c r="BJ60" s="17">
        <v>0.23449100317318253</v>
      </c>
      <c r="BK60" s="17">
        <v>0.28463914118836336</v>
      </c>
      <c r="BL60" s="17">
        <v>0.21020269521275936</v>
      </c>
      <c r="BM60" s="17">
        <v>0.26024465731655194</v>
      </c>
      <c r="BN60" s="17">
        <v>0.81624835394852213</v>
      </c>
      <c r="BO60" s="17">
        <v>8.3084857430730741E-2</v>
      </c>
      <c r="BP60" s="17">
        <v>0.53726495792908635</v>
      </c>
      <c r="BQ60" s="17">
        <v>0.48754689129803358</v>
      </c>
      <c r="BR60" s="17">
        <v>7.7893171211086312E-2</v>
      </c>
      <c r="BS60" s="17">
        <v>7.2007628967793905E-2</v>
      </c>
      <c r="BT60" s="17">
        <v>0.14673793477653135</v>
      </c>
      <c r="BU60" s="17">
        <v>0.32239538201116363</v>
      </c>
      <c r="BV60" s="17">
        <v>0.35445008667578226</v>
      </c>
      <c r="BW60" s="17">
        <v>0.19020432636611603</v>
      </c>
      <c r="BX60" s="17">
        <v>0.53818476404281934</v>
      </c>
      <c r="BY60" s="17">
        <v>0.15895720667496396</v>
      </c>
      <c r="BZ60" s="17">
        <v>0.49118470607010806</v>
      </c>
      <c r="CA60" s="17">
        <v>0.42609576306403751</v>
      </c>
      <c r="CB60" s="17">
        <v>0.25294034521274078</v>
      </c>
      <c r="CC60" s="17">
        <v>0.98528909720059443</v>
      </c>
      <c r="CD60" s="17">
        <v>0.46478642057829883</v>
      </c>
      <c r="CE60" s="17">
        <v>0.74335077197559873</v>
      </c>
      <c r="CF60" s="17">
        <v>0.30969082248165825</v>
      </c>
      <c r="CG60" s="17">
        <v>0.26037281848555421</v>
      </c>
      <c r="CH60" s="17">
        <v>0.22723373885712064</v>
      </c>
      <c r="CI60" s="17">
        <v>0.46092782134352223</v>
      </c>
      <c r="CJ60" s="17">
        <v>0.1080836551063348</v>
      </c>
      <c r="CK60" s="17">
        <v>0.11944036019555124</v>
      </c>
      <c r="CL60" s="17">
        <v>0.10777886100258123</v>
      </c>
      <c r="CM60" s="17">
        <v>5.3729671877345661E-2</v>
      </c>
      <c r="CN60" s="17">
        <v>0.38244581951253165</v>
      </c>
      <c r="CO60" s="17">
        <v>0.41229509710184647</v>
      </c>
      <c r="CP60" s="17">
        <v>0.17517650840751595</v>
      </c>
      <c r="CQ60" s="17">
        <v>0.39427161552478263</v>
      </c>
      <c r="CR60" s="17">
        <v>0.22341056255822231</v>
      </c>
      <c r="CS60" s="17">
        <v>0.39285324458953824</v>
      </c>
      <c r="CT60" s="17">
        <v>0.44434443425282011</v>
      </c>
      <c r="CU60" s="17">
        <v>0.51079251075433174</v>
      </c>
      <c r="CV60" s="17">
        <v>0.30433889831143029</v>
      </c>
      <c r="CW60" s="17">
        <v>0.24374316703961446</v>
      </c>
      <c r="CX60" s="17">
        <v>0.39970309059738252</v>
      </c>
      <c r="CY60" s="17">
        <v>0.28075017713961636</v>
      </c>
      <c r="CZ60" s="17">
        <v>0.2119254755645758</v>
      </c>
      <c r="DA60" s="17">
        <v>0.21805310611284637</v>
      </c>
      <c r="DB60" s="17">
        <v>0.29996316816422641</v>
      </c>
      <c r="DC60" s="17">
        <v>9.7900158197739437E-2</v>
      </c>
      <c r="DD60" s="17">
        <v>0.15473522375235593</v>
      </c>
      <c r="DE60" s="17">
        <v>0.24849424514646329</v>
      </c>
      <c r="DF60" s="17">
        <v>0.38145328036115839</v>
      </c>
      <c r="DG60" s="17">
        <v>9.6252438654320718E-2</v>
      </c>
      <c r="DH60" s="17">
        <v>0.43452212709487448</v>
      </c>
      <c r="DI60" s="17">
        <v>0.3145385011011767</v>
      </c>
      <c r="DJ60" s="17">
        <v>8.6045767033771689E-2</v>
      </c>
      <c r="DK60" s="17">
        <v>0.2674145988233057</v>
      </c>
      <c r="DL60" s="17">
        <v>0.26890061959454492</v>
      </c>
      <c r="DM60" s="17">
        <v>0.24421685995948691</v>
      </c>
      <c r="DN60" s="17">
        <v>0.11896232184567804</v>
      </c>
      <c r="DO60" s="17">
        <v>0.21077947023911581</v>
      </c>
      <c r="DP60" s="17">
        <v>0.42232346725408931</v>
      </c>
      <c r="DQ60" s="17">
        <v>0.24110739022883781</v>
      </c>
      <c r="DR60" s="17">
        <v>0.1251720004733933</v>
      </c>
      <c r="DS60" s="17">
        <v>0.46070969567037029</v>
      </c>
      <c r="DT60" s="17">
        <v>0.19539680143909424</v>
      </c>
      <c r="DU60" s="17">
        <v>1.159101325480657</v>
      </c>
      <c r="DV60" s="17">
        <v>0.28830509126448683</v>
      </c>
      <c r="DW60" s="17">
        <v>0.30004376375574582</v>
      </c>
      <c r="DX60" s="17">
        <v>0.25820669349545272</v>
      </c>
      <c r="DY60" s="17">
        <v>0.24116634650566673</v>
      </c>
      <c r="DZ60" s="17">
        <v>0.26002902151023549</v>
      </c>
      <c r="EA60" s="17">
        <v>0.29813347705347215</v>
      </c>
      <c r="EB60" s="17">
        <v>0.20068258618082535</v>
      </c>
      <c r="EC60" s="17">
        <v>7.3856764713786716E-2</v>
      </c>
      <c r="ED60" s="17">
        <v>0.265771152878371</v>
      </c>
      <c r="EE60" s="17">
        <v>0.4862091343985997</v>
      </c>
      <c r="EF60" s="17">
        <v>0.23375184179621616</v>
      </c>
      <c r="EG60" s="17">
        <v>0.25771980728417321</v>
      </c>
      <c r="EH60" s="17">
        <v>0.49055874945395755</v>
      </c>
      <c r="EI60" s="17">
        <v>0.35769843786978373</v>
      </c>
      <c r="EJ60" s="17">
        <v>0.49191009743417446</v>
      </c>
      <c r="EK60" s="17">
        <v>0.36688437458487072</v>
      </c>
      <c r="EL60" s="17">
        <v>0.47408805169610674</v>
      </c>
      <c r="EM60" s="17">
        <v>0.28674915830749614</v>
      </c>
      <c r="EN60" s="17">
        <v>0.19795576441282134</v>
      </c>
      <c r="EO60" s="17">
        <v>0.14421288388132375</v>
      </c>
      <c r="EP60" s="17">
        <v>0.48160267426703562</v>
      </c>
      <c r="EQ60" s="17">
        <v>0.12684013005323916</v>
      </c>
      <c r="ER60" s="17">
        <v>0.11585217237542218</v>
      </c>
      <c r="ES60" s="17">
        <v>0.25103995915851446</v>
      </c>
      <c r="ET60" s="17">
        <v>0.69135556450361635</v>
      </c>
      <c r="EU60" s="17">
        <v>0.3129095936437834</v>
      </c>
      <c r="EV60" s="17">
        <v>0.30118851250764095</v>
      </c>
      <c r="EW60" s="17">
        <v>0.66086645895411522</v>
      </c>
      <c r="EX60" s="90">
        <v>0.25361432952583879</v>
      </c>
      <c r="EY60" s="14">
        <v>2025</v>
      </c>
      <c r="EZ60" s="14" t="s">
        <v>873</v>
      </c>
      <c r="FA60" s="48" t="s">
        <v>1007</v>
      </c>
      <c r="FB60" s="9" t="s">
        <v>929</v>
      </c>
    </row>
    <row r="61" spans="2:158" s="42" customFormat="1" ht="15" thickBot="1" x14ac:dyDescent="0.4"/>
    <row r="62" spans="2:158" ht="15" thickTop="1" x14ac:dyDescent="0.35"/>
    <row r="63" spans="2:158" ht="17" x14ac:dyDescent="0.35">
      <c r="B63" s="41" t="s">
        <v>1126</v>
      </c>
      <c r="C63" s="67"/>
      <c r="D63" s="67"/>
      <c r="E63" s="67"/>
      <c r="F63" s="67"/>
      <c r="G63" s="67"/>
      <c r="H63" s="67"/>
      <c r="I63" s="67"/>
      <c r="J63" s="67"/>
    </row>
    <row r="65" spans="2:10" x14ac:dyDescent="0.35">
      <c r="B65" s="19" t="s">
        <v>846</v>
      </c>
      <c r="C65" s="20" t="s">
        <v>1127</v>
      </c>
      <c r="D65" s="20" t="s">
        <v>1128</v>
      </c>
      <c r="E65" s="20" t="s">
        <v>40</v>
      </c>
      <c r="F65" s="20" t="s">
        <v>245</v>
      </c>
      <c r="G65" s="21" t="s">
        <v>1144</v>
      </c>
      <c r="H65" s="20" t="s">
        <v>38</v>
      </c>
      <c r="I65" s="20" t="s">
        <v>46</v>
      </c>
      <c r="J65" s="20" t="s">
        <v>47</v>
      </c>
    </row>
    <row r="66" spans="2:10" x14ac:dyDescent="0.35">
      <c r="B66" s="18" t="s">
        <v>1110</v>
      </c>
      <c r="C66" s="9" t="s">
        <v>1140</v>
      </c>
      <c r="D66" s="9" t="s">
        <v>1129</v>
      </c>
      <c r="E66" s="9" t="s">
        <v>45</v>
      </c>
      <c r="F66" s="17">
        <v>8.9831099999999999</v>
      </c>
      <c r="G66" s="90">
        <v>0.55000000000000004</v>
      </c>
      <c r="H66" s="31" t="s">
        <v>53</v>
      </c>
      <c r="I66" s="31">
        <v>2025</v>
      </c>
      <c r="J66" s="77" t="s">
        <v>54</v>
      </c>
    </row>
    <row r="67" spans="2:10" x14ac:dyDescent="0.35">
      <c r="B67" s="18" t="s">
        <v>1111</v>
      </c>
      <c r="C67" s="9" t="s">
        <v>1139</v>
      </c>
      <c r="D67" s="9" t="s">
        <v>1131</v>
      </c>
      <c r="E67" s="9" t="s">
        <v>45</v>
      </c>
      <c r="F67" s="17">
        <v>4.6856799999999996</v>
      </c>
      <c r="G67" s="90">
        <v>0.1</v>
      </c>
      <c r="H67" s="9" t="s">
        <v>53</v>
      </c>
      <c r="I67" s="9">
        <v>2025</v>
      </c>
      <c r="J67" s="48" t="s">
        <v>54</v>
      </c>
    </row>
    <row r="68" spans="2:10" x14ac:dyDescent="0.35">
      <c r="B68" s="18" t="s">
        <v>1112</v>
      </c>
      <c r="C68" s="9" t="s">
        <v>1132</v>
      </c>
      <c r="D68" s="9" t="s">
        <v>1131</v>
      </c>
      <c r="E68" s="9" t="s">
        <v>45</v>
      </c>
      <c r="F68" s="17">
        <v>4.6856799999999996</v>
      </c>
      <c r="G68" s="90">
        <v>0.03</v>
      </c>
      <c r="H68" s="9" t="s">
        <v>53</v>
      </c>
      <c r="I68" s="9">
        <v>2025</v>
      </c>
      <c r="J68" s="48" t="s">
        <v>54</v>
      </c>
    </row>
    <row r="69" spans="2:10" x14ac:dyDescent="0.35">
      <c r="B69" s="18" t="s">
        <v>1113</v>
      </c>
      <c r="C69" s="9" t="s">
        <v>1141</v>
      </c>
      <c r="D69" s="9" t="s">
        <v>1133</v>
      </c>
      <c r="E69" s="9" t="s">
        <v>45</v>
      </c>
      <c r="F69" s="17">
        <v>4.6856799999999996</v>
      </c>
      <c r="G69" s="90">
        <v>0.6</v>
      </c>
      <c r="H69" s="9" t="s">
        <v>53</v>
      </c>
      <c r="I69" s="9">
        <v>2025</v>
      </c>
      <c r="J69" s="48" t="s">
        <v>54</v>
      </c>
    </row>
    <row r="70" spans="2:10" x14ac:dyDescent="0.35">
      <c r="B70" s="18" t="s">
        <v>1114</v>
      </c>
      <c r="C70" s="9" t="s">
        <v>1114</v>
      </c>
      <c r="D70" s="9" t="s">
        <v>1131</v>
      </c>
      <c r="E70" s="9" t="s">
        <v>45</v>
      </c>
      <c r="F70" s="17">
        <v>4.6856799999999996</v>
      </c>
      <c r="G70" s="90">
        <v>0.6</v>
      </c>
      <c r="H70" s="9" t="s">
        <v>53</v>
      </c>
      <c r="I70" s="9">
        <v>2025</v>
      </c>
      <c r="J70" s="48" t="s">
        <v>54</v>
      </c>
    </row>
    <row r="71" spans="2:10" x14ac:dyDescent="0.35">
      <c r="B71" s="18" t="s">
        <v>1142</v>
      </c>
      <c r="C71" s="9" t="s">
        <v>1134</v>
      </c>
      <c r="D71" s="9" t="s">
        <v>1130</v>
      </c>
      <c r="E71" s="9" t="s">
        <v>45</v>
      </c>
      <c r="F71" s="17">
        <v>4.6856799999999996</v>
      </c>
      <c r="G71" s="90">
        <v>0.45</v>
      </c>
      <c r="H71" s="9" t="s">
        <v>53</v>
      </c>
      <c r="I71" s="9">
        <v>2025</v>
      </c>
      <c r="J71" s="48" t="s">
        <v>54</v>
      </c>
    </row>
    <row r="72" spans="2:10" x14ac:dyDescent="0.35">
      <c r="B72" s="18" t="s">
        <v>1115</v>
      </c>
      <c r="C72" s="9" t="s">
        <v>1115</v>
      </c>
      <c r="D72" s="9" t="s">
        <v>1129</v>
      </c>
      <c r="E72" s="9" t="s">
        <v>45</v>
      </c>
      <c r="F72" s="17">
        <v>8.9831099999999999</v>
      </c>
      <c r="G72" s="90">
        <v>0.33999999999999997</v>
      </c>
      <c r="H72" s="9" t="s">
        <v>53</v>
      </c>
      <c r="I72" s="9">
        <v>2025</v>
      </c>
      <c r="J72" s="48" t="s">
        <v>54</v>
      </c>
    </row>
    <row r="73" spans="2:10" x14ac:dyDescent="0.35">
      <c r="B73" s="18" t="s">
        <v>1116</v>
      </c>
      <c r="C73" s="9" t="s">
        <v>1116</v>
      </c>
      <c r="D73" s="9" t="s">
        <v>1135</v>
      </c>
      <c r="E73" s="9" t="s">
        <v>45</v>
      </c>
      <c r="F73" s="17">
        <v>5.9416000000000002</v>
      </c>
      <c r="G73" s="90">
        <v>0.60000000000000009</v>
      </c>
      <c r="H73" s="9" t="s">
        <v>53</v>
      </c>
      <c r="I73" s="9">
        <v>2025</v>
      </c>
      <c r="J73" s="48" t="s">
        <v>54</v>
      </c>
    </row>
    <row r="74" spans="2:10" x14ac:dyDescent="0.35">
      <c r="B74" s="18" t="s">
        <v>1117</v>
      </c>
      <c r="C74" s="9" t="s">
        <v>1117</v>
      </c>
      <c r="D74" s="9" t="s">
        <v>1135</v>
      </c>
      <c r="E74" s="9" t="s">
        <v>45</v>
      </c>
      <c r="F74" s="17">
        <v>1.2633799999999999</v>
      </c>
      <c r="G74" s="90">
        <v>1.3</v>
      </c>
      <c r="H74" s="9" t="s">
        <v>53</v>
      </c>
      <c r="I74" s="9">
        <v>2025</v>
      </c>
      <c r="J74" s="48" t="s">
        <v>54</v>
      </c>
    </row>
    <row r="75" spans="2:10" x14ac:dyDescent="0.35">
      <c r="B75" s="18" t="s">
        <v>1118</v>
      </c>
      <c r="C75" s="9" t="s">
        <v>1136</v>
      </c>
      <c r="D75" s="9" t="s">
        <v>1130</v>
      </c>
      <c r="E75" s="9" t="s">
        <v>45</v>
      </c>
      <c r="F75" s="17">
        <v>4.6856799999999996</v>
      </c>
      <c r="G75" s="90">
        <v>1.3</v>
      </c>
      <c r="H75" s="9" t="s">
        <v>53</v>
      </c>
      <c r="I75" s="9">
        <v>2025</v>
      </c>
      <c r="J75" s="48" t="s">
        <v>54</v>
      </c>
    </row>
    <row r="76" spans="2:10" x14ac:dyDescent="0.35">
      <c r="B76" s="18" t="s">
        <v>1119</v>
      </c>
      <c r="C76" s="9" t="s">
        <v>1143</v>
      </c>
      <c r="D76" s="9" t="s">
        <v>1129</v>
      </c>
      <c r="E76" s="9" t="s">
        <v>45</v>
      </c>
      <c r="F76" s="17">
        <v>8.9831099999999999</v>
      </c>
      <c r="G76" s="90">
        <v>0.25</v>
      </c>
      <c r="H76" s="9" t="s">
        <v>53</v>
      </c>
      <c r="I76" s="9">
        <v>2025</v>
      </c>
      <c r="J76" s="48" t="s">
        <v>54</v>
      </c>
    </row>
    <row r="77" spans="2:10" x14ac:dyDescent="0.35">
      <c r="B77" s="22" t="s">
        <v>1120</v>
      </c>
      <c r="C77" s="55" t="s">
        <v>1138</v>
      </c>
      <c r="D77" s="55" t="s">
        <v>1137</v>
      </c>
      <c r="E77" s="55" t="s">
        <v>45</v>
      </c>
      <c r="F77" s="36">
        <v>4.6856799999999996</v>
      </c>
      <c r="G77" s="82">
        <v>0.2</v>
      </c>
      <c r="H77" s="55" t="s">
        <v>53</v>
      </c>
      <c r="I77" s="55">
        <v>2025</v>
      </c>
      <c r="J77" s="100" t="s">
        <v>54</v>
      </c>
    </row>
    <row r="78" spans="2:10" s="42" customFormat="1" ht="15" thickBot="1" x14ac:dyDescent="0.4"/>
    <row r="79" spans="2:10" ht="15" thickTop="1" x14ac:dyDescent="0.35"/>
    <row r="80" spans="2:10" ht="17" x14ac:dyDescent="0.35">
      <c r="B80" s="41" t="s">
        <v>2579</v>
      </c>
      <c r="C80" s="67"/>
      <c r="D80" s="67"/>
      <c r="E80" s="67"/>
      <c r="F80" s="67"/>
      <c r="G80" s="67"/>
      <c r="H80" s="67"/>
    </row>
    <row r="82" spans="2:13" x14ac:dyDescent="0.35">
      <c r="B82" s="19" t="s">
        <v>846</v>
      </c>
      <c r="C82" s="20" t="s">
        <v>847</v>
      </c>
      <c r="D82" s="20" t="s">
        <v>40</v>
      </c>
      <c r="E82" s="20" t="s">
        <v>245</v>
      </c>
      <c r="F82" s="20" t="s">
        <v>38</v>
      </c>
      <c r="G82" s="20" t="s">
        <v>46</v>
      </c>
      <c r="H82" s="21" t="s">
        <v>47</v>
      </c>
    </row>
    <row r="83" spans="2:13" x14ac:dyDescent="0.35">
      <c r="B83" s="18" t="s">
        <v>1150</v>
      </c>
      <c r="C83" s="9" t="s">
        <v>1150</v>
      </c>
      <c r="D83" s="9" t="s">
        <v>1124</v>
      </c>
      <c r="E83" s="17">
        <v>0.1913</v>
      </c>
      <c r="F83" s="9" t="s">
        <v>53</v>
      </c>
      <c r="G83" s="9">
        <v>2025</v>
      </c>
      <c r="H83" s="91" t="s">
        <v>54</v>
      </c>
    </row>
    <row r="84" spans="2:13" x14ac:dyDescent="0.35">
      <c r="B84" s="18" t="s">
        <v>1150</v>
      </c>
      <c r="C84" s="9" t="s">
        <v>1150</v>
      </c>
      <c r="D84" s="55" t="s">
        <v>37</v>
      </c>
      <c r="E84" s="97">
        <f>191.30156/1000000</f>
        <v>0.00019130156</v>
      </c>
      <c r="F84" s="9" t="s">
        <v>53</v>
      </c>
      <c r="G84" s="9">
        <v>2025</v>
      </c>
      <c r="H84" s="91" t="s">
        <v>54</v>
      </c>
    </row>
    <row r="85" spans="2:13" x14ac:dyDescent="0.35">
      <c r="B85" s="18" t="s">
        <v>1151</v>
      </c>
      <c r="C85" s="9" t="s">
        <v>1151</v>
      </c>
      <c r="D85" s="9" t="s">
        <v>1124</v>
      </c>
      <c r="E85" s="17">
        <v>0.17088</v>
      </c>
      <c r="F85" s="9" t="s">
        <v>53</v>
      </c>
      <c r="G85" s="9">
        <v>2025</v>
      </c>
      <c r="H85" s="91" t="s">
        <v>54</v>
      </c>
    </row>
    <row r="86" spans="2:13" x14ac:dyDescent="0.35">
      <c r="B86" s="22" t="s">
        <v>1151</v>
      </c>
      <c r="C86" s="55" t="s">
        <v>1151</v>
      </c>
      <c r="D86" s="55" t="s">
        <v>37</v>
      </c>
      <c r="E86" s="98">
        <f>170.8754/1000000</f>
        <v>0.0001708754</v>
      </c>
      <c r="F86" s="55" t="s">
        <v>53</v>
      </c>
      <c r="G86" s="55">
        <v>2025</v>
      </c>
      <c r="H86" s="78" t="s">
        <v>54</v>
      </c>
    </row>
    <row r="87" spans="2:13" s="42" customFormat="1" ht="15" thickBot="1" x14ac:dyDescent="0.4"/>
    <row r="88" spans="2:13" ht="15" thickTop="1" x14ac:dyDescent="0.35"/>
    <row r="89" spans="2:13" ht="17" x14ac:dyDescent="0.35">
      <c r="B89" s="41" t="s">
        <v>1160</v>
      </c>
      <c r="C89" s="67"/>
      <c r="D89" s="67"/>
      <c r="E89" s="67"/>
      <c r="F89" s="67"/>
      <c r="G89" s="67"/>
      <c r="H89" s="67"/>
      <c r="I89" s="67"/>
      <c r="J89" s="67"/>
      <c r="K89" s="67"/>
      <c r="L89" s="67"/>
      <c r="M89" s="67"/>
    </row>
    <row r="91" spans="2:13" ht="25" customHeight="1" x14ac:dyDescent="0.35">
      <c r="B91" s="19" t="s">
        <v>846</v>
      </c>
      <c r="C91" s="20" t="s">
        <v>1161</v>
      </c>
      <c r="D91" s="20" t="s">
        <v>1162</v>
      </c>
      <c r="E91" s="20" t="s">
        <v>40</v>
      </c>
      <c r="F91" s="20" t="s">
        <v>245</v>
      </c>
      <c r="G91" s="20" t="s">
        <v>246</v>
      </c>
      <c r="H91" s="20" t="s">
        <v>247</v>
      </c>
      <c r="I91" s="20" t="s">
        <v>248</v>
      </c>
      <c r="J91" s="20" t="s">
        <v>1168</v>
      </c>
      <c r="K91" s="20" t="s">
        <v>38</v>
      </c>
      <c r="L91" s="20" t="s">
        <v>46</v>
      </c>
      <c r="M91" s="21" t="s">
        <v>47</v>
      </c>
    </row>
    <row r="92" spans="2:13" x14ac:dyDescent="0.35">
      <c r="B92" s="18" t="s">
        <v>1179</v>
      </c>
      <c r="C92" s="9" t="s">
        <v>1164</v>
      </c>
      <c r="D92" s="9" t="s">
        <v>80</v>
      </c>
      <c r="E92" s="9" t="s">
        <v>72</v>
      </c>
      <c r="F92" s="17">
        <v>7.5590000000000004E-2</v>
      </c>
      <c r="G92" s="17">
        <v>7.4660000000000004E-2</v>
      </c>
      <c r="H92" s="17">
        <v>1.0000000000000001E-5</v>
      </c>
      <c r="I92" s="17">
        <v>9.2000000000000003E-4</v>
      </c>
      <c r="J92" s="17">
        <v>2.2859999999999998E-2</v>
      </c>
      <c r="K92" s="9" t="s">
        <v>53</v>
      </c>
      <c r="L92" s="9">
        <v>2025</v>
      </c>
      <c r="M92" s="35" t="s">
        <v>54</v>
      </c>
    </row>
    <row r="93" spans="2:13" x14ac:dyDescent="0.35">
      <c r="B93" s="18" t="s">
        <v>1179</v>
      </c>
      <c r="C93" s="9" t="s">
        <v>1164</v>
      </c>
      <c r="D93" s="9" t="s">
        <v>1166</v>
      </c>
      <c r="E93" s="9" t="s">
        <v>72</v>
      </c>
      <c r="F93" s="17">
        <v>7.4349999999999999E-2</v>
      </c>
      <c r="G93" s="17">
        <v>7.3440000000000005E-2</v>
      </c>
      <c r="H93" s="17">
        <v>1.0000000000000001E-5</v>
      </c>
      <c r="I93" s="17">
        <v>8.9999999999999998E-4</v>
      </c>
      <c r="J93" s="17">
        <v>2.249E-2</v>
      </c>
      <c r="K93" s="9" t="s">
        <v>53</v>
      </c>
      <c r="L93" s="9">
        <v>2025</v>
      </c>
      <c r="M93" s="35" t="s">
        <v>54</v>
      </c>
    </row>
    <row r="94" spans="2:13" x14ac:dyDescent="0.35">
      <c r="B94" s="18" t="s">
        <v>1179</v>
      </c>
      <c r="C94" s="9" t="s">
        <v>1164</v>
      </c>
      <c r="D94" s="9" t="s">
        <v>1167</v>
      </c>
      <c r="E94" s="9" t="s">
        <v>72</v>
      </c>
      <c r="F94" s="17">
        <v>0.11151999999999999</v>
      </c>
      <c r="G94" s="17">
        <v>0.11015999999999999</v>
      </c>
      <c r="H94" s="17">
        <v>1.0000000000000001E-5</v>
      </c>
      <c r="I94" s="17">
        <v>1.3500000000000001E-3</v>
      </c>
      <c r="J94" s="17">
        <v>3.3730000000000003E-2</v>
      </c>
      <c r="K94" s="9" t="s">
        <v>53</v>
      </c>
      <c r="L94" s="9">
        <v>2025</v>
      </c>
      <c r="M94" s="35" t="s">
        <v>54</v>
      </c>
    </row>
    <row r="95" spans="2:13" x14ac:dyDescent="0.35">
      <c r="B95" s="18" t="s">
        <v>1179</v>
      </c>
      <c r="C95" s="9" t="s">
        <v>1165</v>
      </c>
      <c r="D95" s="9" t="s">
        <v>80</v>
      </c>
      <c r="E95" s="9" t="s">
        <v>72</v>
      </c>
      <c r="F95" s="17">
        <v>9.0429999999999996E-2</v>
      </c>
      <c r="G95" s="17">
        <v>8.9130000000000001E-2</v>
      </c>
      <c r="H95" s="17">
        <v>1.0000000000000001E-5</v>
      </c>
      <c r="I95" s="17">
        <v>1.2899999999999999E-3</v>
      </c>
      <c r="J95" s="17">
        <v>3.2129999999999999E-2</v>
      </c>
      <c r="K95" s="9" t="s">
        <v>53</v>
      </c>
      <c r="L95" s="9">
        <v>2025</v>
      </c>
      <c r="M95" s="35" t="s">
        <v>54</v>
      </c>
    </row>
    <row r="96" spans="2:13" x14ac:dyDescent="0.35">
      <c r="B96" s="18" t="s">
        <v>1179</v>
      </c>
      <c r="C96" s="9" t="s">
        <v>1165</v>
      </c>
      <c r="D96" s="9" t="s">
        <v>1166</v>
      </c>
      <c r="E96" s="9" t="s">
        <v>72</v>
      </c>
      <c r="F96" s="17">
        <v>6.9260000000000002E-2</v>
      </c>
      <c r="G96" s="17">
        <v>6.8260000000000001E-2</v>
      </c>
      <c r="H96" s="17">
        <v>1.0000000000000001E-5</v>
      </c>
      <c r="I96" s="17">
        <v>9.8999999999999999E-4</v>
      </c>
      <c r="J96" s="17">
        <v>2.461E-2</v>
      </c>
      <c r="K96" s="9" t="s">
        <v>53</v>
      </c>
      <c r="L96" s="9">
        <v>2025</v>
      </c>
      <c r="M96" s="35" t="s">
        <v>54</v>
      </c>
    </row>
    <row r="97" spans="2:13" x14ac:dyDescent="0.35">
      <c r="B97" s="22" t="s">
        <v>1179</v>
      </c>
      <c r="C97" s="55" t="s">
        <v>1165</v>
      </c>
      <c r="D97" s="55" t="s">
        <v>1167</v>
      </c>
      <c r="E97" s="55" t="s">
        <v>72</v>
      </c>
      <c r="F97" s="36">
        <v>0.20083000000000001</v>
      </c>
      <c r="G97" s="36">
        <v>0.19794999999999999</v>
      </c>
      <c r="H97" s="36">
        <v>2.0000000000000002E-5</v>
      </c>
      <c r="I97" s="36">
        <v>2.8500000000000001E-3</v>
      </c>
      <c r="J97" s="36">
        <v>7.1370000000000003E-2</v>
      </c>
      <c r="K97" s="55" t="s">
        <v>53</v>
      </c>
      <c r="L97" s="55">
        <v>2025</v>
      </c>
      <c r="M97" s="85" t="s">
        <v>54</v>
      </c>
    </row>
    <row r="98" spans="2:13" x14ac:dyDescent="0.35">
      <c r="B98" s="22" t="s">
        <v>1170</v>
      </c>
      <c r="C98" s="55" t="s">
        <v>1169</v>
      </c>
      <c r="D98" s="9" t="s">
        <v>80</v>
      </c>
      <c r="E98" s="55" t="s">
        <v>72</v>
      </c>
      <c r="F98" s="36">
        <v>3.5459999999999998E-2</v>
      </c>
      <c r="G98" s="36">
        <v>3.5099999999999999E-2</v>
      </c>
      <c r="H98" s="36">
        <v>8.0000000000000007E-5</v>
      </c>
      <c r="I98" s="36">
        <v>2.7999999999999998E-4</v>
      </c>
      <c r="J98" s="36">
        <v>8.9700000000000005E-3</v>
      </c>
      <c r="K98" s="9" t="s">
        <v>53</v>
      </c>
      <c r="L98" s="9">
        <v>2025</v>
      </c>
      <c r="M98" s="35" t="s">
        <v>54</v>
      </c>
    </row>
    <row r="99" spans="2:13" x14ac:dyDescent="0.35">
      <c r="B99" s="22" t="s">
        <v>1170</v>
      </c>
      <c r="C99" s="55" t="s">
        <v>1171</v>
      </c>
      <c r="D99" s="9" t="s">
        <v>80</v>
      </c>
      <c r="E99" s="55" t="s">
        <v>72</v>
      </c>
      <c r="F99" s="36">
        <v>4.4600000000000004E-3</v>
      </c>
      <c r="G99" s="36">
        <v>4.4099999999999999E-3</v>
      </c>
      <c r="H99" s="36">
        <v>2.0000000000000002E-5</v>
      </c>
      <c r="I99" s="36">
        <v>3.0000000000000001E-5</v>
      </c>
      <c r="J99" s="36">
        <v>1.17E-3</v>
      </c>
      <c r="K99" s="9" t="s">
        <v>53</v>
      </c>
      <c r="L99" s="9">
        <v>2025</v>
      </c>
      <c r="M99" s="35" t="s">
        <v>54</v>
      </c>
    </row>
    <row r="100" spans="2:13" x14ac:dyDescent="0.35">
      <c r="B100" s="18" t="s">
        <v>1173</v>
      </c>
      <c r="C100" s="9" t="s">
        <v>80</v>
      </c>
      <c r="D100" s="9" t="s">
        <v>66</v>
      </c>
      <c r="E100" s="9" t="s">
        <v>72</v>
      </c>
      <c r="F100" s="17">
        <v>0.17304</v>
      </c>
      <c r="G100" s="17">
        <v>0.17136000000000001</v>
      </c>
      <c r="H100" s="17">
        <v>5.0000000000000004E-6</v>
      </c>
      <c r="I100" s="17">
        <v>1.67E-3</v>
      </c>
      <c r="J100" s="17">
        <v>4.1459999999999997E-2</v>
      </c>
      <c r="K100" s="55" t="s">
        <v>53</v>
      </c>
      <c r="L100" s="55">
        <v>2025</v>
      </c>
      <c r="M100" s="85" t="s">
        <v>54</v>
      </c>
    </row>
    <row r="101" spans="2:13" x14ac:dyDescent="0.35">
      <c r="B101" s="18" t="s">
        <v>1173</v>
      </c>
      <c r="C101" s="9" t="s">
        <v>80</v>
      </c>
      <c r="D101" s="9" t="s">
        <v>67</v>
      </c>
      <c r="E101" s="9" t="s">
        <v>72</v>
      </c>
      <c r="F101" s="17">
        <v>0.16272</v>
      </c>
      <c r="G101" s="17">
        <v>0.16203999999999999</v>
      </c>
      <c r="H101" s="17">
        <v>3.6000000000000002E-4</v>
      </c>
      <c r="I101" s="17">
        <v>3.2000000000000003E-4</v>
      </c>
      <c r="J101" s="17">
        <v>4.5990000000000003E-2</v>
      </c>
      <c r="K101" s="55" t="s">
        <v>53</v>
      </c>
      <c r="L101" s="55">
        <v>2025</v>
      </c>
      <c r="M101" s="85" t="s">
        <v>54</v>
      </c>
    </row>
    <row r="102" spans="2:13" x14ac:dyDescent="0.35">
      <c r="B102" s="18" t="s">
        <v>1173</v>
      </c>
      <c r="C102" s="9" t="s">
        <v>80</v>
      </c>
      <c r="D102" s="9" t="s">
        <v>68</v>
      </c>
      <c r="E102" s="9" t="s">
        <v>72</v>
      </c>
      <c r="F102" s="17">
        <v>0.12825</v>
      </c>
      <c r="G102" s="17">
        <v>0.12708</v>
      </c>
      <c r="H102" s="17">
        <v>1.9000000000000001E-4</v>
      </c>
      <c r="I102" s="17">
        <v>9.7999999999999997E-4</v>
      </c>
      <c r="J102" s="17">
        <v>3.3149999999999999E-2</v>
      </c>
      <c r="K102" s="55" t="s">
        <v>53</v>
      </c>
      <c r="L102" s="55">
        <v>2025</v>
      </c>
      <c r="M102" s="85" t="s">
        <v>54</v>
      </c>
    </row>
    <row r="103" spans="2:13" x14ac:dyDescent="0.35">
      <c r="B103" s="18" t="s">
        <v>1173</v>
      </c>
      <c r="C103" s="9" t="s">
        <v>80</v>
      </c>
      <c r="D103" s="9" t="s">
        <v>1172</v>
      </c>
      <c r="E103" s="9" t="s">
        <v>72</v>
      </c>
      <c r="F103" s="17">
        <v>0.16725000000000001</v>
      </c>
      <c r="G103" s="17">
        <v>0.16608000000000001</v>
      </c>
      <c r="H103" s="17">
        <v>1.9000000000000001E-4</v>
      </c>
      <c r="I103" s="17">
        <v>9.7999999999999997E-4</v>
      </c>
      <c r="J103" s="17">
        <v>4.3990000000000001E-2</v>
      </c>
      <c r="K103" s="55" t="s">
        <v>53</v>
      </c>
      <c r="L103" s="55">
        <v>2025</v>
      </c>
      <c r="M103" s="85" t="s">
        <v>54</v>
      </c>
    </row>
    <row r="104" spans="2:13" x14ac:dyDescent="0.35">
      <c r="B104" s="18" t="s">
        <v>1173</v>
      </c>
      <c r="C104" s="9" t="s">
        <v>80</v>
      </c>
      <c r="D104" s="9" t="s">
        <v>69</v>
      </c>
      <c r="E104" s="9" t="s">
        <v>72</v>
      </c>
      <c r="F104" s="17">
        <v>0.10460999999999999</v>
      </c>
      <c r="G104" s="17">
        <v>0.10389</v>
      </c>
      <c r="H104" s="17">
        <v>3.6999999999999999E-4</v>
      </c>
      <c r="I104" s="17">
        <v>3.5E-4</v>
      </c>
      <c r="J104" s="17">
        <v>2.9340000000000001E-2</v>
      </c>
      <c r="K104" s="55" t="s">
        <v>53</v>
      </c>
      <c r="L104" s="55">
        <v>2025</v>
      </c>
      <c r="M104" s="85" t="s">
        <v>54</v>
      </c>
    </row>
    <row r="105" spans="2:13" x14ac:dyDescent="0.35">
      <c r="B105" s="22" t="s">
        <v>1173</v>
      </c>
      <c r="C105" s="55" t="s">
        <v>80</v>
      </c>
      <c r="D105" s="55" t="s">
        <v>70</v>
      </c>
      <c r="E105" s="55" t="s">
        <v>72</v>
      </c>
      <c r="F105" s="36">
        <v>4.0469999999999999E-2</v>
      </c>
      <c r="G105" s="36">
        <v>3.9919999999999997E-2</v>
      </c>
      <c r="H105" s="36">
        <v>2.4000000000000001E-4</v>
      </c>
      <c r="I105" s="36">
        <v>3.1E-4</v>
      </c>
      <c r="J105" s="36">
        <v>1.0489999999999999E-2</v>
      </c>
      <c r="K105" s="55" t="s">
        <v>53</v>
      </c>
      <c r="L105" s="55">
        <v>2025</v>
      </c>
      <c r="M105" s="85" t="s">
        <v>54</v>
      </c>
    </row>
    <row r="106" spans="2:13" x14ac:dyDescent="0.35">
      <c r="B106" s="22" t="s">
        <v>1174</v>
      </c>
      <c r="C106" s="55" t="s">
        <v>1175</v>
      </c>
      <c r="D106" s="55" t="s">
        <v>80</v>
      </c>
      <c r="E106" s="55" t="s">
        <v>72</v>
      </c>
      <c r="F106" s="36">
        <v>0.20805999999999999</v>
      </c>
      <c r="G106" s="36">
        <v>0.20638000000000001</v>
      </c>
      <c r="H106" s="36">
        <v>5.0000000000000004E-6</v>
      </c>
      <c r="I106" s="36">
        <v>1.67E-3</v>
      </c>
      <c r="J106" s="36">
        <v>5.176E-2</v>
      </c>
      <c r="K106" s="55" t="s">
        <v>53</v>
      </c>
      <c r="L106" s="55">
        <v>2025</v>
      </c>
      <c r="M106" s="85" t="s">
        <v>54</v>
      </c>
    </row>
    <row r="107" spans="2:13" x14ac:dyDescent="0.35">
      <c r="B107" s="22" t="s">
        <v>1176</v>
      </c>
      <c r="C107" s="55" t="s">
        <v>1177</v>
      </c>
      <c r="D107" s="55" t="s">
        <v>80</v>
      </c>
      <c r="E107" s="55" t="s">
        <v>72</v>
      </c>
      <c r="F107" s="36">
        <v>0.10385</v>
      </c>
      <c r="G107" s="36">
        <v>0.10310999999999999</v>
      </c>
      <c r="H107" s="36">
        <v>1.0000000000000001E-5</v>
      </c>
      <c r="I107" s="36">
        <v>7.2999999999999996E-4</v>
      </c>
      <c r="J107" s="36">
        <v>2.649E-2</v>
      </c>
      <c r="K107" s="55" t="s">
        <v>53</v>
      </c>
      <c r="L107" s="55">
        <v>2025</v>
      </c>
      <c r="M107" s="85" t="s">
        <v>54</v>
      </c>
    </row>
    <row r="109" spans="2:13" x14ac:dyDescent="0.35">
      <c r="B109" s="19" t="s">
        <v>846</v>
      </c>
      <c r="C109" s="20" t="s">
        <v>255</v>
      </c>
      <c r="D109" s="20" t="s">
        <v>40</v>
      </c>
      <c r="E109" s="21" t="s">
        <v>245</v>
      </c>
      <c r="F109" s="20" t="s">
        <v>38</v>
      </c>
      <c r="G109" s="20" t="s">
        <v>46</v>
      </c>
      <c r="H109" s="20" t="s">
        <v>47</v>
      </c>
    </row>
    <row r="110" spans="2:13" x14ac:dyDescent="0.35">
      <c r="B110" s="9" t="s">
        <v>1188</v>
      </c>
      <c r="C110" s="9" t="s">
        <v>437</v>
      </c>
      <c r="D110" s="9" t="s">
        <v>1189</v>
      </c>
      <c r="E110" s="17">
        <v>35</v>
      </c>
      <c r="F110" s="9" t="s">
        <v>53</v>
      </c>
      <c r="G110" s="9">
        <v>2025</v>
      </c>
      <c r="H110" s="9" t="s">
        <v>54</v>
      </c>
    </row>
    <row r="111" spans="2:13" x14ac:dyDescent="0.35">
      <c r="B111" s="18" t="s">
        <v>1188</v>
      </c>
      <c r="C111" s="9" t="s">
        <v>404</v>
      </c>
      <c r="D111" s="9" t="s">
        <v>1189</v>
      </c>
      <c r="E111" s="90">
        <v>12.2</v>
      </c>
      <c r="F111" s="9" t="s">
        <v>53</v>
      </c>
      <c r="G111" s="9">
        <v>2025</v>
      </c>
      <c r="H111" s="9" t="s">
        <v>54</v>
      </c>
    </row>
    <row r="112" spans="2:13" x14ac:dyDescent="0.35">
      <c r="B112" s="18" t="s">
        <v>1188</v>
      </c>
      <c r="C112" s="9" t="s">
        <v>358</v>
      </c>
      <c r="D112" s="9" t="s">
        <v>1189</v>
      </c>
      <c r="E112" s="90">
        <v>8.6999999999999993</v>
      </c>
      <c r="F112" s="9" t="s">
        <v>53</v>
      </c>
      <c r="G112" s="9">
        <v>2025</v>
      </c>
      <c r="H112" s="9" t="s">
        <v>54</v>
      </c>
    </row>
    <row r="113" spans="2:8" x14ac:dyDescent="0.35">
      <c r="B113" s="18" t="s">
        <v>1188</v>
      </c>
      <c r="C113" s="9" t="s">
        <v>423</v>
      </c>
      <c r="D113" s="9" t="s">
        <v>1189</v>
      </c>
      <c r="E113" s="90">
        <v>7.4</v>
      </c>
      <c r="F113" s="9" t="s">
        <v>53</v>
      </c>
      <c r="G113" s="9">
        <v>2025</v>
      </c>
      <c r="H113" s="9" t="s">
        <v>54</v>
      </c>
    </row>
    <row r="114" spans="2:8" x14ac:dyDescent="0.35">
      <c r="B114" s="18" t="s">
        <v>1188</v>
      </c>
      <c r="C114" s="9" t="s">
        <v>627</v>
      </c>
      <c r="D114" s="9" t="s">
        <v>1189</v>
      </c>
      <c r="E114" s="90">
        <v>27.6</v>
      </c>
      <c r="F114" s="9" t="s">
        <v>53</v>
      </c>
      <c r="G114" s="9">
        <v>2025</v>
      </c>
      <c r="H114" s="9" t="s">
        <v>54</v>
      </c>
    </row>
    <row r="115" spans="2:8" x14ac:dyDescent="0.35">
      <c r="B115" s="18" t="s">
        <v>1188</v>
      </c>
      <c r="C115" s="9" t="s">
        <v>516</v>
      </c>
      <c r="D115" s="9" t="s">
        <v>1189</v>
      </c>
      <c r="E115" s="90">
        <v>53.5</v>
      </c>
      <c r="F115" s="9" t="s">
        <v>53</v>
      </c>
      <c r="G115" s="9">
        <v>2025</v>
      </c>
      <c r="H115" s="9" t="s">
        <v>54</v>
      </c>
    </row>
    <row r="116" spans="2:8" x14ac:dyDescent="0.35">
      <c r="B116" s="18" t="s">
        <v>1188</v>
      </c>
      <c r="C116" s="9" t="s">
        <v>460</v>
      </c>
      <c r="D116" s="9" t="s">
        <v>1189</v>
      </c>
      <c r="E116" s="90">
        <v>14.7</v>
      </c>
      <c r="F116" s="9" t="s">
        <v>53</v>
      </c>
      <c r="G116" s="9">
        <v>2025</v>
      </c>
      <c r="H116" s="9" t="s">
        <v>54</v>
      </c>
    </row>
    <row r="117" spans="2:8" x14ac:dyDescent="0.35">
      <c r="B117" s="18" t="s">
        <v>1188</v>
      </c>
      <c r="C117" s="9" t="s">
        <v>495</v>
      </c>
      <c r="D117" s="9" t="s">
        <v>1189</v>
      </c>
      <c r="E117" s="90">
        <v>4.7</v>
      </c>
      <c r="F117" s="9" t="s">
        <v>53</v>
      </c>
      <c r="G117" s="9">
        <v>2025</v>
      </c>
      <c r="H117" s="9" t="s">
        <v>54</v>
      </c>
    </row>
    <row r="118" spans="2:8" x14ac:dyDescent="0.35">
      <c r="B118" s="18" t="s">
        <v>1188</v>
      </c>
      <c r="C118" s="9" t="s">
        <v>696</v>
      </c>
      <c r="D118" s="9" t="s">
        <v>1189</v>
      </c>
      <c r="E118" s="90">
        <v>44.2</v>
      </c>
      <c r="F118" s="9" t="s">
        <v>53</v>
      </c>
      <c r="G118" s="9">
        <v>2025</v>
      </c>
      <c r="H118" s="9" t="s">
        <v>54</v>
      </c>
    </row>
    <row r="119" spans="2:8" x14ac:dyDescent="0.35">
      <c r="B119" s="18" t="s">
        <v>1188</v>
      </c>
      <c r="C119" s="9" t="s">
        <v>440</v>
      </c>
      <c r="D119" s="9" t="s">
        <v>1189</v>
      </c>
      <c r="E119" s="90">
        <v>6.7</v>
      </c>
      <c r="F119" s="9" t="s">
        <v>53</v>
      </c>
      <c r="G119" s="9">
        <v>2025</v>
      </c>
      <c r="H119" s="9" t="s">
        <v>54</v>
      </c>
    </row>
    <row r="120" spans="2:8" x14ac:dyDescent="0.35">
      <c r="B120" s="18" t="s">
        <v>1188</v>
      </c>
      <c r="C120" s="9" t="s">
        <v>306</v>
      </c>
      <c r="D120" s="9" t="s">
        <v>1189</v>
      </c>
      <c r="E120" s="90">
        <v>13.2</v>
      </c>
      <c r="F120" s="9" t="s">
        <v>53</v>
      </c>
      <c r="G120" s="9">
        <v>2025</v>
      </c>
      <c r="H120" s="9" t="s">
        <v>54</v>
      </c>
    </row>
    <row r="121" spans="2:8" x14ac:dyDescent="0.35">
      <c r="B121" s="18" t="s">
        <v>1188</v>
      </c>
      <c r="C121" s="9" t="s">
        <v>896</v>
      </c>
      <c r="D121" s="9" t="s">
        <v>1189</v>
      </c>
      <c r="E121" s="90">
        <v>51.5</v>
      </c>
      <c r="F121" s="9" t="s">
        <v>53</v>
      </c>
      <c r="G121" s="9">
        <v>2025</v>
      </c>
      <c r="H121" s="9" t="s">
        <v>54</v>
      </c>
    </row>
    <row r="122" spans="2:8" x14ac:dyDescent="0.35">
      <c r="B122" s="18" t="s">
        <v>1188</v>
      </c>
      <c r="C122" s="9" t="s">
        <v>591</v>
      </c>
      <c r="D122" s="9" t="s">
        <v>1189</v>
      </c>
      <c r="E122" s="90">
        <v>58.9</v>
      </c>
      <c r="F122" s="9" t="s">
        <v>53</v>
      </c>
      <c r="G122" s="9">
        <v>2025</v>
      </c>
      <c r="H122" s="9" t="s">
        <v>54</v>
      </c>
    </row>
    <row r="123" spans="2:8" x14ac:dyDescent="0.35">
      <c r="B123" s="18" t="s">
        <v>1188</v>
      </c>
      <c r="C123" s="9" t="s">
        <v>545</v>
      </c>
      <c r="D123" s="9" t="s">
        <v>1189</v>
      </c>
      <c r="E123" s="90">
        <v>62.7</v>
      </c>
      <c r="F123" s="9" t="s">
        <v>53</v>
      </c>
      <c r="G123" s="9">
        <v>2025</v>
      </c>
      <c r="H123" s="9" t="s">
        <v>54</v>
      </c>
    </row>
    <row r="124" spans="2:8" x14ac:dyDescent="0.35">
      <c r="B124" s="18" t="s">
        <v>1188</v>
      </c>
      <c r="C124" s="9" t="s">
        <v>366</v>
      </c>
      <c r="D124" s="9" t="s">
        <v>1189</v>
      </c>
      <c r="E124" s="90">
        <v>14.3</v>
      </c>
      <c r="F124" s="9" t="s">
        <v>53</v>
      </c>
      <c r="G124" s="9">
        <v>2025</v>
      </c>
      <c r="H124" s="9" t="s">
        <v>54</v>
      </c>
    </row>
    <row r="125" spans="2:8" x14ac:dyDescent="0.35">
      <c r="B125" s="18" t="s">
        <v>1188</v>
      </c>
      <c r="C125" s="9" t="s">
        <v>343</v>
      </c>
      <c r="D125" s="9" t="s">
        <v>1189</v>
      </c>
      <c r="E125" s="90">
        <v>39</v>
      </c>
      <c r="F125" s="9" t="s">
        <v>53</v>
      </c>
      <c r="G125" s="9">
        <v>2025</v>
      </c>
      <c r="H125" s="9" t="s">
        <v>54</v>
      </c>
    </row>
    <row r="126" spans="2:8" x14ac:dyDescent="0.35">
      <c r="B126" s="18" t="s">
        <v>1188</v>
      </c>
      <c r="C126" s="9" t="s">
        <v>321</v>
      </c>
      <c r="D126" s="9" t="s">
        <v>1189</v>
      </c>
      <c r="E126" s="90">
        <v>68.900000000000006</v>
      </c>
      <c r="F126" s="9" t="s">
        <v>53</v>
      </c>
      <c r="G126" s="9">
        <v>2025</v>
      </c>
      <c r="H126" s="9" t="s">
        <v>54</v>
      </c>
    </row>
    <row r="127" spans="2:8" x14ac:dyDescent="0.35">
      <c r="B127" s="18" t="s">
        <v>1188</v>
      </c>
      <c r="C127" s="9" t="s">
        <v>1190</v>
      </c>
      <c r="D127" s="9" t="s">
        <v>1189</v>
      </c>
      <c r="E127" s="90">
        <v>55.8</v>
      </c>
      <c r="F127" s="9" t="s">
        <v>53</v>
      </c>
      <c r="G127" s="9">
        <v>2025</v>
      </c>
      <c r="H127" s="9" t="s">
        <v>54</v>
      </c>
    </row>
    <row r="128" spans="2:8" x14ac:dyDescent="0.35">
      <c r="B128" s="18" t="s">
        <v>1188</v>
      </c>
      <c r="C128" s="9" t="s">
        <v>465</v>
      </c>
      <c r="D128" s="9" t="s">
        <v>1189</v>
      </c>
      <c r="E128" s="90">
        <v>61.5</v>
      </c>
      <c r="F128" s="9" t="s">
        <v>53</v>
      </c>
      <c r="G128" s="9">
        <v>2025</v>
      </c>
      <c r="H128" s="9" t="s">
        <v>54</v>
      </c>
    </row>
    <row r="129" spans="2:8" x14ac:dyDescent="0.35">
      <c r="B129" s="18" t="s">
        <v>1188</v>
      </c>
      <c r="C129" s="9" t="s">
        <v>904</v>
      </c>
      <c r="D129" s="9" t="s">
        <v>1189</v>
      </c>
      <c r="E129" s="90">
        <v>152.19999999999999</v>
      </c>
      <c r="F129" s="9" t="s">
        <v>53</v>
      </c>
      <c r="G129" s="9">
        <v>2025</v>
      </c>
      <c r="H129" s="9" t="s">
        <v>54</v>
      </c>
    </row>
    <row r="130" spans="2:8" x14ac:dyDescent="0.35">
      <c r="B130" s="18" t="s">
        <v>1188</v>
      </c>
      <c r="C130" s="9" t="s">
        <v>636</v>
      </c>
      <c r="D130" s="9" t="s">
        <v>1189</v>
      </c>
      <c r="E130" s="90">
        <v>19.3</v>
      </c>
      <c r="F130" s="9" t="s">
        <v>53</v>
      </c>
      <c r="G130" s="9">
        <v>2025</v>
      </c>
      <c r="H130" s="9" t="s">
        <v>54</v>
      </c>
    </row>
    <row r="131" spans="2:8" x14ac:dyDescent="0.35">
      <c r="B131" s="18" t="s">
        <v>1188</v>
      </c>
      <c r="C131" s="9" t="s">
        <v>443</v>
      </c>
      <c r="D131" s="9" t="s">
        <v>1189</v>
      </c>
      <c r="E131" s="90">
        <v>14.8</v>
      </c>
      <c r="F131" s="9" t="s">
        <v>53</v>
      </c>
      <c r="G131" s="9">
        <v>2025</v>
      </c>
      <c r="H131" s="9" t="s">
        <v>54</v>
      </c>
    </row>
    <row r="132" spans="2:8" x14ac:dyDescent="0.35">
      <c r="B132" s="18" t="s">
        <v>1188</v>
      </c>
      <c r="C132" s="9" t="s">
        <v>693</v>
      </c>
      <c r="D132" s="9" t="s">
        <v>1189</v>
      </c>
      <c r="E132" s="90">
        <v>90.3</v>
      </c>
      <c r="F132" s="9" t="s">
        <v>53</v>
      </c>
      <c r="G132" s="9">
        <v>2025</v>
      </c>
      <c r="H132" s="9" t="s">
        <v>54</v>
      </c>
    </row>
    <row r="133" spans="2:8" x14ac:dyDescent="0.35">
      <c r="B133" s="18" t="s">
        <v>1188</v>
      </c>
      <c r="C133" s="9" t="s">
        <v>551</v>
      </c>
      <c r="D133" s="9" t="s">
        <v>1189</v>
      </c>
      <c r="E133" s="90">
        <v>54.3</v>
      </c>
      <c r="F133" s="9" t="s">
        <v>53</v>
      </c>
      <c r="G133" s="9">
        <v>2025</v>
      </c>
      <c r="H133" s="9" t="s">
        <v>54</v>
      </c>
    </row>
    <row r="134" spans="2:8" x14ac:dyDescent="0.35">
      <c r="B134" s="18" t="s">
        <v>1188</v>
      </c>
      <c r="C134" s="9" t="s">
        <v>478</v>
      </c>
      <c r="D134" s="9" t="s">
        <v>1189</v>
      </c>
      <c r="E134" s="90">
        <v>19</v>
      </c>
      <c r="F134" s="9" t="s">
        <v>53</v>
      </c>
      <c r="G134" s="9">
        <v>2025</v>
      </c>
      <c r="H134" s="9" t="s">
        <v>54</v>
      </c>
    </row>
    <row r="135" spans="2:8" x14ac:dyDescent="0.35">
      <c r="B135" s="18" t="s">
        <v>1188</v>
      </c>
      <c r="C135" s="9" t="s">
        <v>720</v>
      </c>
      <c r="D135" s="9" t="s">
        <v>1189</v>
      </c>
      <c r="E135" s="90">
        <v>86.2</v>
      </c>
      <c r="F135" s="9" t="s">
        <v>53</v>
      </c>
      <c r="G135" s="9">
        <v>2025</v>
      </c>
      <c r="H135" s="9" t="s">
        <v>54</v>
      </c>
    </row>
    <row r="136" spans="2:8" x14ac:dyDescent="0.35">
      <c r="B136" s="18" t="s">
        <v>1188</v>
      </c>
      <c r="C136" s="9" t="s">
        <v>910</v>
      </c>
      <c r="D136" s="9" t="s">
        <v>1189</v>
      </c>
      <c r="E136" s="90">
        <v>24.2</v>
      </c>
      <c r="F136" s="9" t="s">
        <v>53</v>
      </c>
      <c r="G136" s="9">
        <v>2025</v>
      </c>
      <c r="H136" s="9" t="s">
        <v>54</v>
      </c>
    </row>
    <row r="137" spans="2:8" x14ac:dyDescent="0.35">
      <c r="B137" s="18" t="s">
        <v>1188</v>
      </c>
      <c r="C137" s="9" t="s">
        <v>735</v>
      </c>
      <c r="D137" s="9" t="s">
        <v>1189</v>
      </c>
      <c r="E137" s="90">
        <v>106.4</v>
      </c>
      <c r="F137" s="9" t="s">
        <v>53</v>
      </c>
      <c r="G137" s="9">
        <v>2025</v>
      </c>
      <c r="H137" s="9" t="s">
        <v>54</v>
      </c>
    </row>
    <row r="138" spans="2:8" x14ac:dyDescent="0.35">
      <c r="B138" s="18" t="s">
        <v>1188</v>
      </c>
      <c r="C138" s="9" t="s">
        <v>521</v>
      </c>
      <c r="D138" s="9" t="s">
        <v>1189</v>
      </c>
      <c r="E138" s="90">
        <v>24.5</v>
      </c>
      <c r="F138" s="9" t="s">
        <v>53</v>
      </c>
      <c r="G138" s="9">
        <v>2025</v>
      </c>
      <c r="H138" s="9" t="s">
        <v>54</v>
      </c>
    </row>
    <row r="139" spans="2:8" x14ac:dyDescent="0.35">
      <c r="B139" s="18" t="s">
        <v>1188</v>
      </c>
      <c r="C139" s="9" t="s">
        <v>513</v>
      </c>
      <c r="D139" s="9" t="s">
        <v>1189</v>
      </c>
      <c r="E139" s="90">
        <v>51.4</v>
      </c>
      <c r="F139" s="9" t="s">
        <v>53</v>
      </c>
      <c r="G139" s="9">
        <v>2025</v>
      </c>
      <c r="H139" s="9" t="s">
        <v>54</v>
      </c>
    </row>
    <row r="140" spans="2:8" x14ac:dyDescent="0.35">
      <c r="B140" s="18" t="s">
        <v>1188</v>
      </c>
      <c r="C140" s="9" t="s">
        <v>470</v>
      </c>
      <c r="D140" s="9" t="s">
        <v>1189</v>
      </c>
      <c r="E140" s="90">
        <v>7</v>
      </c>
      <c r="F140" s="9" t="s">
        <v>53</v>
      </c>
      <c r="G140" s="9">
        <v>2025</v>
      </c>
      <c r="H140" s="9" t="s">
        <v>54</v>
      </c>
    </row>
    <row r="141" spans="2:8" x14ac:dyDescent="0.35">
      <c r="B141" s="18" t="s">
        <v>1188</v>
      </c>
      <c r="C141" s="9" t="s">
        <v>446</v>
      </c>
      <c r="D141" s="9" t="s">
        <v>1189</v>
      </c>
      <c r="E141" s="90">
        <v>6.6</v>
      </c>
      <c r="F141" s="9" t="s">
        <v>53</v>
      </c>
      <c r="G141" s="9">
        <v>2025</v>
      </c>
      <c r="H141" s="9" t="s">
        <v>54</v>
      </c>
    </row>
    <row r="142" spans="2:8" x14ac:dyDescent="0.35">
      <c r="B142" s="18" t="s">
        <v>1188</v>
      </c>
      <c r="C142" s="9" t="s">
        <v>585</v>
      </c>
      <c r="D142" s="9" t="s">
        <v>1189</v>
      </c>
      <c r="E142" s="90">
        <v>43.4</v>
      </c>
      <c r="F142" s="9" t="s">
        <v>53</v>
      </c>
      <c r="G142" s="9">
        <v>2025</v>
      </c>
      <c r="H142" s="9" t="s">
        <v>54</v>
      </c>
    </row>
    <row r="143" spans="2:8" x14ac:dyDescent="0.35">
      <c r="B143" s="18" t="s">
        <v>1188</v>
      </c>
      <c r="C143" s="9" t="s">
        <v>917</v>
      </c>
      <c r="D143" s="9" t="s">
        <v>1189</v>
      </c>
      <c r="E143" s="90">
        <v>32.1</v>
      </c>
      <c r="F143" s="9" t="s">
        <v>53</v>
      </c>
      <c r="G143" s="9">
        <v>2025</v>
      </c>
      <c r="H143" s="9" t="s">
        <v>54</v>
      </c>
    </row>
    <row r="144" spans="2:8" x14ac:dyDescent="0.35">
      <c r="B144" s="18" t="s">
        <v>1188</v>
      </c>
      <c r="C144" s="9" t="s">
        <v>651</v>
      </c>
      <c r="D144" s="9" t="s">
        <v>1189</v>
      </c>
      <c r="E144" s="90">
        <v>63.8</v>
      </c>
      <c r="F144" s="9" t="s">
        <v>53</v>
      </c>
      <c r="G144" s="9">
        <v>2025</v>
      </c>
      <c r="H144" s="9" t="s">
        <v>54</v>
      </c>
    </row>
    <row r="145" spans="2:158" x14ac:dyDescent="0.35">
      <c r="B145" s="18" t="s">
        <v>1188</v>
      </c>
      <c r="C145" s="9" t="s">
        <v>420</v>
      </c>
      <c r="D145" s="9" t="s">
        <v>1189</v>
      </c>
      <c r="E145" s="90">
        <v>16.100000000000001</v>
      </c>
      <c r="F145" s="9" t="s">
        <v>53</v>
      </c>
      <c r="G145" s="9">
        <v>2025</v>
      </c>
      <c r="H145" s="9" t="s">
        <v>54</v>
      </c>
    </row>
    <row r="146" spans="2:158" x14ac:dyDescent="0.35">
      <c r="B146" s="22" t="s">
        <v>1188</v>
      </c>
      <c r="C146" s="55" t="s">
        <v>606</v>
      </c>
      <c r="D146" s="55" t="s">
        <v>1189</v>
      </c>
      <c r="E146" s="82">
        <v>38.5</v>
      </c>
      <c r="F146" s="55" t="s">
        <v>53</v>
      </c>
      <c r="G146" s="55">
        <v>2025</v>
      </c>
      <c r="H146" s="55" t="s">
        <v>54</v>
      </c>
    </row>
    <row r="147" spans="2:158" x14ac:dyDescent="0.35">
      <c r="B147" s="22" t="s">
        <v>1188</v>
      </c>
      <c r="C147" s="55" t="s">
        <v>1193</v>
      </c>
      <c r="D147" s="55" t="s">
        <v>1189</v>
      </c>
      <c r="E147" s="82">
        <f>AVERAGE(E110:E146)</f>
        <v>40.2864864864865</v>
      </c>
      <c r="F147" s="55" t="s">
        <v>53</v>
      </c>
      <c r="G147" s="55">
        <v>2025</v>
      </c>
      <c r="H147" s="55" t="s">
        <v>54</v>
      </c>
    </row>
    <row r="149" spans="2:158" ht="35" customHeight="1" x14ac:dyDescent="0.35">
      <c r="B149" s="19" t="s">
        <v>1196</v>
      </c>
      <c r="C149" s="20" t="s">
        <v>877</v>
      </c>
      <c r="D149" s="20" t="s">
        <v>876</v>
      </c>
      <c r="E149" s="20" t="s">
        <v>879</v>
      </c>
      <c r="F149" s="20" t="s">
        <v>714</v>
      </c>
      <c r="G149" s="20" t="s">
        <v>807</v>
      </c>
      <c r="H149" s="20" t="s">
        <v>651</v>
      </c>
      <c r="I149" s="20" t="s">
        <v>597</v>
      </c>
      <c r="J149" s="20" t="s">
        <v>880</v>
      </c>
      <c r="K149" s="20" t="s">
        <v>437</v>
      </c>
      <c r="L149" s="20" t="s">
        <v>324</v>
      </c>
      <c r="M149" s="20" t="s">
        <v>881</v>
      </c>
      <c r="N149" s="20" t="s">
        <v>404</v>
      </c>
      <c r="O149" s="20" t="s">
        <v>705</v>
      </c>
      <c r="P149" s="20" t="s">
        <v>473</v>
      </c>
      <c r="Q149" s="20" t="s">
        <v>654</v>
      </c>
      <c r="R149" s="20" t="s">
        <v>409</v>
      </c>
      <c r="S149" s="20" t="s">
        <v>756</v>
      </c>
      <c r="T149" s="20" t="s">
        <v>882</v>
      </c>
      <c r="U149" s="20" t="s">
        <v>883</v>
      </c>
      <c r="V149" s="20" t="s">
        <v>594</v>
      </c>
      <c r="W149" s="20" t="s">
        <v>358</v>
      </c>
      <c r="X149" s="20" t="s">
        <v>884</v>
      </c>
      <c r="Y149" s="20" t="s">
        <v>885</v>
      </c>
      <c r="Z149" s="20" t="s">
        <v>886</v>
      </c>
      <c r="AA149" s="20" t="s">
        <v>423</v>
      </c>
      <c r="AB149" s="20" t="s">
        <v>446</v>
      </c>
      <c r="AC149" s="20" t="s">
        <v>627</v>
      </c>
      <c r="AD149" s="20" t="s">
        <v>516</v>
      </c>
      <c r="AE149" s="20" t="s">
        <v>887</v>
      </c>
      <c r="AF149" s="20" t="s">
        <v>451</v>
      </c>
      <c r="AG149" s="20" t="s">
        <v>888</v>
      </c>
      <c r="AH149" s="20" t="s">
        <v>460</v>
      </c>
      <c r="AI149" s="20" t="s">
        <v>495</v>
      </c>
      <c r="AJ149" s="20" t="s">
        <v>263</v>
      </c>
      <c r="AK149" s="20" t="s">
        <v>889</v>
      </c>
      <c r="AL149" s="20" t="s">
        <v>306</v>
      </c>
      <c r="AM149" s="20" t="s">
        <v>890</v>
      </c>
      <c r="AN149" s="20" t="s">
        <v>279</v>
      </c>
      <c r="AO149" s="20" t="s">
        <v>532</v>
      </c>
      <c r="AP149" s="20" t="s">
        <v>723</v>
      </c>
      <c r="AQ149" s="20" t="s">
        <v>389</v>
      </c>
      <c r="AR149" s="20" t="s">
        <v>696</v>
      </c>
      <c r="AS149" s="20" t="s">
        <v>470</v>
      </c>
      <c r="AT149" s="20" t="s">
        <v>417</v>
      </c>
      <c r="AU149" s="20" t="s">
        <v>780</v>
      </c>
      <c r="AV149" s="20" t="s">
        <v>300</v>
      </c>
      <c r="AW149" s="20" t="s">
        <v>891</v>
      </c>
      <c r="AX149" s="20" t="s">
        <v>440</v>
      </c>
      <c r="AY149" s="20" t="s">
        <v>624</v>
      </c>
      <c r="AZ149" s="20" t="s">
        <v>377</v>
      </c>
      <c r="BA149" s="20" t="s">
        <v>892</v>
      </c>
      <c r="BB149" s="20" t="s">
        <v>893</v>
      </c>
      <c r="BC149" s="20" t="s">
        <v>894</v>
      </c>
      <c r="BD149" s="20" t="s">
        <v>747</v>
      </c>
      <c r="BE149" s="20" t="s">
        <v>309</v>
      </c>
      <c r="BF149" s="20" t="s">
        <v>895</v>
      </c>
      <c r="BG149" s="20" t="s">
        <v>588</v>
      </c>
      <c r="BH149" s="20" t="s">
        <v>896</v>
      </c>
      <c r="BI149" s="20" t="s">
        <v>580</v>
      </c>
      <c r="BJ149" s="20" t="s">
        <v>454</v>
      </c>
      <c r="BK149" s="20" t="s">
        <v>768</v>
      </c>
      <c r="BL149" s="20" t="s">
        <v>457</v>
      </c>
      <c r="BM149" s="20" t="s">
        <v>545</v>
      </c>
      <c r="BN149" s="20" t="s">
        <v>591</v>
      </c>
      <c r="BO149" s="20" t="s">
        <v>434</v>
      </c>
      <c r="BP149" s="20" t="s">
        <v>897</v>
      </c>
      <c r="BQ149" s="20" t="s">
        <v>726</v>
      </c>
      <c r="BR149" s="20" t="s">
        <v>792</v>
      </c>
      <c r="BS149" s="20" t="s">
        <v>660</v>
      </c>
      <c r="BT149" s="20" t="s">
        <v>366</v>
      </c>
      <c r="BU149" s="20" t="s">
        <v>633</v>
      </c>
      <c r="BV149" s="20" t="s">
        <v>321</v>
      </c>
      <c r="BW149" s="20" t="s">
        <v>343</v>
      </c>
      <c r="BX149" s="20" t="s">
        <v>349</v>
      </c>
      <c r="BY149" s="20" t="s">
        <v>492</v>
      </c>
      <c r="BZ149" s="20" t="s">
        <v>576</v>
      </c>
      <c r="CA149" s="20" t="s">
        <v>898</v>
      </c>
      <c r="CB149" s="20" t="s">
        <v>899</v>
      </c>
      <c r="CC149" s="20" t="s">
        <v>392</v>
      </c>
      <c r="CD149" s="20" t="s">
        <v>729</v>
      </c>
      <c r="CE149" s="20" t="s">
        <v>900</v>
      </c>
      <c r="CF149" s="20" t="s">
        <v>774</v>
      </c>
      <c r="CG149" s="20" t="s">
        <v>901</v>
      </c>
      <c r="CH149" s="20" t="s">
        <v>618</v>
      </c>
      <c r="CI149" s="20" t="s">
        <v>902</v>
      </c>
      <c r="CJ149" s="20" t="s">
        <v>282</v>
      </c>
      <c r="CK149" s="20" t="s">
        <v>288</v>
      </c>
      <c r="CL149" s="20" t="s">
        <v>297</v>
      </c>
      <c r="CM149" s="20" t="s">
        <v>669</v>
      </c>
      <c r="CN149" s="20" t="s">
        <v>903</v>
      </c>
      <c r="CO149" s="20" t="s">
        <v>904</v>
      </c>
      <c r="CP149" s="20" t="s">
        <v>636</v>
      </c>
      <c r="CQ149" s="20" t="s">
        <v>905</v>
      </c>
      <c r="CR149" s="20" t="s">
        <v>639</v>
      </c>
      <c r="CS149" s="20" t="s">
        <v>267</v>
      </c>
      <c r="CT149" s="20" t="s">
        <v>565</v>
      </c>
      <c r="CU149" s="20" t="s">
        <v>675</v>
      </c>
      <c r="CV149" s="20" t="s">
        <v>537</v>
      </c>
      <c r="CW149" s="20" t="s">
        <v>906</v>
      </c>
      <c r="CX149" s="20" t="s">
        <v>465</v>
      </c>
      <c r="CY149" s="20" t="s">
        <v>690</v>
      </c>
      <c r="CZ149" s="20" t="s">
        <v>681</v>
      </c>
      <c r="DA149" s="20" t="s">
        <v>732</v>
      </c>
      <c r="DB149" s="20" t="s">
        <v>556</v>
      </c>
      <c r="DC149" s="20" t="s">
        <v>443</v>
      </c>
      <c r="DD149" s="20" t="s">
        <v>333</v>
      </c>
      <c r="DE149" s="20" t="s">
        <v>777</v>
      </c>
      <c r="DF149" s="20" t="s">
        <v>907</v>
      </c>
      <c r="DG149" s="20" t="s">
        <v>603</v>
      </c>
      <c r="DH149" s="20" t="s">
        <v>693</v>
      </c>
      <c r="DI149" s="20" t="s">
        <v>571</v>
      </c>
      <c r="DJ149" s="20" t="s">
        <v>559</v>
      </c>
      <c r="DK149" s="20" t="s">
        <v>551</v>
      </c>
      <c r="DL149" s="20" t="s">
        <v>908</v>
      </c>
      <c r="DM149" s="20" t="s">
        <v>330</v>
      </c>
      <c r="DN149" s="20" t="s">
        <v>478</v>
      </c>
      <c r="DO149" s="20" t="s">
        <v>414</v>
      </c>
      <c r="DP149" s="20" t="s">
        <v>720</v>
      </c>
      <c r="DQ149" s="20" t="s">
        <v>401</v>
      </c>
      <c r="DR149" s="20" t="s">
        <v>909</v>
      </c>
      <c r="DS149" s="20" t="s">
        <v>910</v>
      </c>
      <c r="DT149" s="20" t="s">
        <v>361</v>
      </c>
      <c r="DU149" s="20" t="s">
        <v>735</v>
      </c>
      <c r="DV149" s="20" t="s">
        <v>621</v>
      </c>
      <c r="DW149" s="20" t="s">
        <v>521</v>
      </c>
      <c r="DX149" s="20" t="s">
        <v>911</v>
      </c>
      <c r="DY149" s="20" t="s">
        <v>912</v>
      </c>
      <c r="DZ149" s="20" t="s">
        <v>568</v>
      </c>
      <c r="EA149" s="20" t="s">
        <v>913</v>
      </c>
      <c r="EB149" s="20" t="s">
        <v>291</v>
      </c>
      <c r="EC149" s="20" t="s">
        <v>303</v>
      </c>
      <c r="ED149" s="20" t="s">
        <v>914</v>
      </c>
      <c r="EE149" s="20" t="s">
        <v>915</v>
      </c>
      <c r="EF149" s="20" t="s">
        <v>798</v>
      </c>
      <c r="EG149" s="20" t="s">
        <v>524</v>
      </c>
      <c r="EH149" s="20" t="s">
        <v>585</v>
      </c>
      <c r="EI149" s="20" t="s">
        <v>916</v>
      </c>
      <c r="EJ149" s="20" t="s">
        <v>738</v>
      </c>
      <c r="EK149" s="20" t="s">
        <v>702</v>
      </c>
      <c r="EL149" s="20" t="s">
        <v>917</v>
      </c>
      <c r="EM149" s="20" t="s">
        <v>918</v>
      </c>
      <c r="EN149" s="20" t="s">
        <v>919</v>
      </c>
      <c r="EO149" s="20" t="s">
        <v>501</v>
      </c>
      <c r="EP149" s="20" t="s">
        <v>294</v>
      </c>
      <c r="EQ149" s="20" t="s">
        <v>285</v>
      </c>
      <c r="ER149" s="20" t="s">
        <v>420</v>
      </c>
      <c r="ES149" s="20" t="s">
        <v>920</v>
      </c>
      <c r="ET149" s="20" t="s">
        <v>921</v>
      </c>
      <c r="EU149" s="20" t="s">
        <v>922</v>
      </c>
      <c r="EV149" s="20" t="s">
        <v>923</v>
      </c>
      <c r="EW149" s="20" t="s">
        <v>513</v>
      </c>
      <c r="EX149" s="20" t="s">
        <v>1000</v>
      </c>
      <c r="EY149" s="20" t="s">
        <v>252</v>
      </c>
      <c r="EZ149" s="20" t="s">
        <v>872</v>
      </c>
      <c r="FA149" s="20" t="s">
        <v>924</v>
      </c>
      <c r="FB149" s="21" t="s">
        <v>925</v>
      </c>
    </row>
    <row r="150" spans="2:158" ht="30" customHeight="1" x14ac:dyDescent="0.35">
      <c r="B150" s="18" t="s">
        <v>1197</v>
      </c>
      <c r="C150" s="9">
        <v>532100</v>
      </c>
      <c r="D150" s="9" t="s">
        <v>979</v>
      </c>
      <c r="E150" s="17">
        <v>1.6909594793116556</v>
      </c>
      <c r="F150" s="17">
        <v>1.0414257509613689</v>
      </c>
      <c r="G150" s="17">
        <v>1.3555532454755308</v>
      </c>
      <c r="H150" s="17">
        <v>1.8370350503015729</v>
      </c>
      <c r="I150" s="17">
        <v>1.9150347280825777</v>
      </c>
      <c r="J150" s="17">
        <v>1.434414099987483</v>
      </c>
      <c r="K150" s="17">
        <v>1.380268820442428</v>
      </c>
      <c r="L150" s="17">
        <v>1.0087195754526108</v>
      </c>
      <c r="M150" s="17">
        <v>0.55362612672270883</v>
      </c>
      <c r="N150" s="17">
        <v>1.1001600317990028</v>
      </c>
      <c r="O150" s="17">
        <v>1.9158114244425597</v>
      </c>
      <c r="P150" s="17">
        <v>0.91147141495942952</v>
      </c>
      <c r="Q150" s="17">
        <v>1.2326913723018622</v>
      </c>
      <c r="R150" s="17">
        <v>0.91052009473254125</v>
      </c>
      <c r="S150" s="17">
        <v>2.8561607820221457</v>
      </c>
      <c r="T150" s="17">
        <v>0.81470802168312517</v>
      </c>
      <c r="U150" s="17">
        <v>1.0592675612282814</v>
      </c>
      <c r="V150" s="17">
        <v>1.9430665874713855</v>
      </c>
      <c r="W150" s="17">
        <v>1.542286181760173</v>
      </c>
      <c r="X150" s="17">
        <v>1.0527323694766155</v>
      </c>
      <c r="Y150" s="17">
        <v>1.7665322332242481</v>
      </c>
      <c r="Z150" s="17">
        <v>0.88921381747412942</v>
      </c>
      <c r="AA150" s="17">
        <v>2.3511584610581058</v>
      </c>
      <c r="AB150" s="17">
        <v>0.99758572036790671</v>
      </c>
      <c r="AC150" s="17">
        <v>2.2635480122831311</v>
      </c>
      <c r="AD150" s="17">
        <v>1.4820555077332034</v>
      </c>
      <c r="AE150" s="17">
        <v>0.82807149331502361</v>
      </c>
      <c r="AF150" s="17">
        <v>0.97902965271548537</v>
      </c>
      <c r="AG150" s="17">
        <v>1.656068123563315</v>
      </c>
      <c r="AH150" s="17">
        <v>1.3255032856987354</v>
      </c>
      <c r="AI150" s="17">
        <v>0.53186609342134927</v>
      </c>
      <c r="AJ150" s="17">
        <v>1.433955951809655</v>
      </c>
      <c r="AK150" s="17">
        <v>0.9428614896303309</v>
      </c>
      <c r="AL150" s="17">
        <v>1.3228418390003052</v>
      </c>
      <c r="AM150" s="17">
        <v>1.4403221847882222</v>
      </c>
      <c r="AN150" s="17">
        <v>0.98662490992850771</v>
      </c>
      <c r="AO150" s="17">
        <v>1.1136496873713921</v>
      </c>
      <c r="AP150" s="17">
        <v>3.0196971011973721</v>
      </c>
      <c r="AQ150" s="17">
        <v>1.3273901131543893</v>
      </c>
      <c r="AR150" s="17">
        <v>3.5724081048786047</v>
      </c>
      <c r="AS150" s="17">
        <v>1.5001251640850879</v>
      </c>
      <c r="AT150" s="17">
        <v>0.54344915873588628</v>
      </c>
      <c r="AU150" s="17">
        <v>0.85550414923573137</v>
      </c>
      <c r="AV150" s="17">
        <v>1.1988201643942584</v>
      </c>
      <c r="AW150" s="17">
        <v>1.5841427612120023</v>
      </c>
      <c r="AX150" s="17">
        <v>1.1625961908433065</v>
      </c>
      <c r="AY150" s="17">
        <v>1.2968881042021543</v>
      </c>
      <c r="AZ150" s="17">
        <v>2.1279247477365861</v>
      </c>
      <c r="BA150" s="17">
        <v>1.0890847602792275</v>
      </c>
      <c r="BB150" s="17">
        <v>1.2991079846589502</v>
      </c>
      <c r="BC150" s="17">
        <v>0.87466570978839708</v>
      </c>
      <c r="BD150" s="17">
        <v>1.3389254584785537</v>
      </c>
      <c r="BE150" s="17">
        <v>1.0689154366014546</v>
      </c>
      <c r="BF150" s="17">
        <v>0.89149123921834761</v>
      </c>
      <c r="BG150" s="17">
        <v>1.0229776895753355</v>
      </c>
      <c r="BH150" s="17">
        <v>1.5528042646755065</v>
      </c>
      <c r="BI150" s="17">
        <v>1.6917506433015868</v>
      </c>
      <c r="BJ150" s="17">
        <v>0.63560805371894069</v>
      </c>
      <c r="BK150" s="17">
        <v>0.94167831073054686</v>
      </c>
      <c r="BL150" s="17">
        <v>1.6062358012469646</v>
      </c>
      <c r="BM150" s="17">
        <v>0.9295772502303441</v>
      </c>
      <c r="BN150" s="17">
        <v>2.6643648501269772</v>
      </c>
      <c r="BO150" s="17">
        <v>3.7511745124300235</v>
      </c>
      <c r="BP150" s="17">
        <v>4.4559248340490711</v>
      </c>
      <c r="BQ150" s="17">
        <v>2.8448299468797673</v>
      </c>
      <c r="BR150" s="17">
        <v>1.2404313519725363</v>
      </c>
      <c r="BS150" s="17">
        <v>0.64324532853010907</v>
      </c>
      <c r="BT150" s="17">
        <v>0.96935941983898954</v>
      </c>
      <c r="BU150" s="17">
        <v>1.9225888084978724</v>
      </c>
      <c r="BV150" s="17">
        <v>2.0590437774619916</v>
      </c>
      <c r="BW150" s="17">
        <v>0.37404462567548258</v>
      </c>
      <c r="BX150" s="17">
        <v>1.5017426094556776</v>
      </c>
      <c r="BY150" s="17">
        <v>0.79127119882102059</v>
      </c>
      <c r="BZ150" s="17">
        <v>2.791063286752733</v>
      </c>
      <c r="CA150" s="17">
        <v>1.4914618943318432</v>
      </c>
      <c r="CB150" s="17">
        <v>0.79910627633328135</v>
      </c>
      <c r="CC150" s="17">
        <v>1.8308740931614758</v>
      </c>
      <c r="CD150" s="17">
        <v>2.3508185029274657</v>
      </c>
      <c r="CE150" s="17">
        <v>1.8534233902022554</v>
      </c>
      <c r="CF150" s="17">
        <v>1.7409733016388358</v>
      </c>
      <c r="CG150" s="17">
        <v>0.83843794328361021</v>
      </c>
      <c r="CH150" s="17">
        <v>1.0412894838692421</v>
      </c>
      <c r="CI150" s="17">
        <v>1.525315515105407</v>
      </c>
      <c r="CJ150" s="17">
        <v>0.39960180926668465</v>
      </c>
      <c r="CK150" s="17">
        <v>1.0168065638581927</v>
      </c>
      <c r="CL150" s="17">
        <v>0.90196171185097318</v>
      </c>
      <c r="CM150" s="17">
        <v>2.4922700620978748</v>
      </c>
      <c r="CN150" s="17">
        <v>2.4712129511817089</v>
      </c>
      <c r="CO150" s="17">
        <v>1.4589144565169647</v>
      </c>
      <c r="CP150" s="17">
        <v>1.1088941390148912</v>
      </c>
      <c r="CQ150" s="17">
        <v>2.1354787012716305</v>
      </c>
      <c r="CR150" s="17">
        <v>0.92966141679144798</v>
      </c>
      <c r="CS150" s="17">
        <v>1.5403006174060911</v>
      </c>
      <c r="CT150" s="17">
        <v>1.1210220468292142</v>
      </c>
      <c r="CU150" s="17">
        <v>4.7723512196490212</v>
      </c>
      <c r="CV150" s="17">
        <v>1.2260413847684701</v>
      </c>
      <c r="CW150" s="17">
        <v>0.81744700457453179</v>
      </c>
      <c r="CX150" s="17">
        <v>2.005170831061621</v>
      </c>
      <c r="CY150" s="17">
        <v>1.2378781002201769</v>
      </c>
      <c r="CZ150" s="17">
        <v>0.79357077670085363</v>
      </c>
      <c r="DA150" s="17">
        <v>1.122451064089776</v>
      </c>
      <c r="DB150" s="17">
        <v>1.5140639101167288</v>
      </c>
      <c r="DC150" s="17">
        <v>1.1301181587130724</v>
      </c>
      <c r="DD150" s="17">
        <v>1.4030991922396374</v>
      </c>
      <c r="DE150" s="17">
        <v>1.3399042466389948</v>
      </c>
      <c r="DF150" s="17">
        <v>0.67067657608003606</v>
      </c>
      <c r="DG150" s="17">
        <v>1.3803740282336345</v>
      </c>
      <c r="DH150" s="17">
        <v>3.3009180017996913</v>
      </c>
      <c r="DI150" s="17">
        <v>2.3080934598806446</v>
      </c>
      <c r="DJ150" s="17">
        <v>0.91913748743105239</v>
      </c>
      <c r="DK150" s="17">
        <v>1.791751413406325</v>
      </c>
      <c r="DL150" s="17">
        <v>1.1859300005050206</v>
      </c>
      <c r="DM150" s="17">
        <v>0.94772774220861655</v>
      </c>
      <c r="DN150" s="17">
        <v>1.1917284345181938</v>
      </c>
      <c r="DO150" s="17">
        <v>0.9101665530866635</v>
      </c>
      <c r="DP150" s="17">
        <v>1.9252466456719337</v>
      </c>
      <c r="DQ150" s="17">
        <v>1.0194714461675456</v>
      </c>
      <c r="DR150" s="17">
        <v>1.5003379564846082</v>
      </c>
      <c r="DS150" s="17">
        <v>2.0738308218791488</v>
      </c>
      <c r="DT150" s="17">
        <v>0.6231346000114949</v>
      </c>
      <c r="DU150" s="17">
        <v>1.6511644632964004</v>
      </c>
      <c r="DV150" s="17">
        <v>1.5955328177113279</v>
      </c>
      <c r="DW150" s="17">
        <v>1.5845137339073363</v>
      </c>
      <c r="DX150" s="17">
        <v>0.91732433157095006</v>
      </c>
      <c r="DY150" s="17">
        <v>1.0665361738772303</v>
      </c>
      <c r="DZ150" s="17">
        <v>1.1328798036204033</v>
      </c>
      <c r="EA150" s="17">
        <v>0.49942768041500812</v>
      </c>
      <c r="EB150" s="17">
        <v>0.74231448455156357</v>
      </c>
      <c r="EC150" s="17">
        <v>1.162459666599913</v>
      </c>
      <c r="ED150" s="17">
        <v>1.3521068639511944</v>
      </c>
      <c r="EE150" s="17">
        <v>2.6338837446960213</v>
      </c>
      <c r="EF150" s="17">
        <v>0.56031858402920953</v>
      </c>
      <c r="EG150" s="17">
        <v>1.4726740334154831</v>
      </c>
      <c r="EH150" s="17">
        <v>2.1625917102928423</v>
      </c>
      <c r="EI150" s="17">
        <v>2.2441615500329632</v>
      </c>
      <c r="EJ150" s="17">
        <v>4.0416097215261599</v>
      </c>
      <c r="EK150" s="17">
        <v>2.3862701312359933</v>
      </c>
      <c r="EL150" s="17">
        <v>2.3281911592194606</v>
      </c>
      <c r="EM150" s="17">
        <v>1.9174664909012347</v>
      </c>
      <c r="EN150" s="17">
        <v>0.82506473074861397</v>
      </c>
      <c r="EO150" s="17">
        <v>0.69325892444166981</v>
      </c>
      <c r="EP150" s="17">
        <v>4.6598063690391607</v>
      </c>
      <c r="EQ150" s="17">
        <v>0.48510874055644393</v>
      </c>
      <c r="ER150" s="17">
        <v>0.97109684765906557</v>
      </c>
      <c r="ES150" s="17">
        <v>0.84273300820939556</v>
      </c>
      <c r="ET150" s="17">
        <v>2.2432153744720962</v>
      </c>
      <c r="EU150" s="17">
        <v>0.97916416700070275</v>
      </c>
      <c r="EV150" s="17">
        <v>1.5388221737251664</v>
      </c>
      <c r="EW150" s="17">
        <v>1.8591050867283501</v>
      </c>
      <c r="EX150" s="17">
        <f>MEDIAN(tbl_Business_Travel_Spend[[#This Row],[Afghanistan]:[South Africa]])</f>
        <v>1.32550328569874</v>
      </c>
      <c r="EY150" s="51">
        <v>2025</v>
      </c>
      <c r="EZ150" s="51" t="s">
        <v>873</v>
      </c>
      <c r="FA150" s="77" t="s">
        <v>928</v>
      </c>
      <c r="FB150" s="31" t="s">
        <v>929</v>
      </c>
    </row>
    <row r="151" spans="2:158" ht="30" customHeight="1" x14ac:dyDescent="0.35">
      <c r="B151" s="18" t="s">
        <v>1163</v>
      </c>
      <c r="C151" s="9">
        <v>481000</v>
      </c>
      <c r="D151" s="9" t="s">
        <v>966</v>
      </c>
      <c r="E151" s="17">
        <v>0.91722663097429324</v>
      </c>
      <c r="F151" s="17">
        <v>0.57333138545197915</v>
      </c>
      <c r="G151" s="17">
        <v>0.73569615503239827</v>
      </c>
      <c r="H151" s="17">
        <v>0.97889136671009502</v>
      </c>
      <c r="I151" s="17">
        <v>0.72454205334360067</v>
      </c>
      <c r="J151" s="17">
        <v>0.75952413540367802</v>
      </c>
      <c r="K151" s="17">
        <v>0.83450040196797626</v>
      </c>
      <c r="L151" s="17">
        <v>0.39630629693531383</v>
      </c>
      <c r="M151" s="17">
        <v>0.29914420257968016</v>
      </c>
      <c r="N151" s="17">
        <v>0.39892471913995198</v>
      </c>
      <c r="O151" s="17">
        <v>1.0603411097875062</v>
      </c>
      <c r="P151" s="17">
        <v>0.49798737489088679</v>
      </c>
      <c r="Q151" s="17">
        <v>0.68690326828394077</v>
      </c>
      <c r="R151" s="17">
        <v>1.0955711365929783</v>
      </c>
      <c r="S151" s="17">
        <v>1.5283080667879041</v>
      </c>
      <c r="T151" s="17">
        <v>0.43886021095635724</v>
      </c>
      <c r="U151" s="17">
        <v>0.56334551249330223</v>
      </c>
      <c r="V151" s="17">
        <v>1.0802699212292999</v>
      </c>
      <c r="W151" s="17">
        <v>0.73419010567212395</v>
      </c>
      <c r="X151" s="17">
        <v>0.57150017161067312</v>
      </c>
      <c r="Y151" s="17">
        <v>0.95558279180968875</v>
      </c>
      <c r="Z151" s="17">
        <v>0.47547809701468657</v>
      </c>
      <c r="AA151" s="17">
        <v>0.98205246129726065</v>
      </c>
      <c r="AB151" s="17">
        <v>0.23542349005092064</v>
      </c>
      <c r="AC151" s="17">
        <v>0.89787083075081897</v>
      </c>
      <c r="AD151" s="17">
        <v>1.2057503265663401</v>
      </c>
      <c r="AE151" s="17">
        <v>0.45791609976605813</v>
      </c>
      <c r="AF151" s="17">
        <v>0.54576346385118935</v>
      </c>
      <c r="AG151" s="17">
        <v>0.89835062688423895</v>
      </c>
      <c r="AH151" s="17">
        <v>0.77851267581171513</v>
      </c>
      <c r="AI151" s="17">
        <v>0.54141654094106428</v>
      </c>
      <c r="AJ151" s="17">
        <v>0.65005589954440135</v>
      </c>
      <c r="AK151" s="17">
        <v>0.66996620577713661</v>
      </c>
      <c r="AL151" s="17">
        <v>0.24021474454118349</v>
      </c>
      <c r="AM151" s="17">
        <v>0.75793257322391627</v>
      </c>
      <c r="AN151" s="17">
        <v>0.56551461908594536</v>
      </c>
      <c r="AO151" s="17">
        <v>0.61519783822189178</v>
      </c>
      <c r="AP151" s="17">
        <v>1.681621183081949</v>
      </c>
      <c r="AQ151" s="17">
        <v>0.74223374354901739</v>
      </c>
      <c r="AR151" s="17">
        <v>1.9986967897424319</v>
      </c>
      <c r="AS151" s="17">
        <v>0.59410048048240349</v>
      </c>
      <c r="AT151" s="17">
        <v>0.69923100033447783</v>
      </c>
      <c r="AU151" s="17">
        <v>0.47573874137366895</v>
      </c>
      <c r="AV151" s="17">
        <v>0.40209838955220395</v>
      </c>
      <c r="AW151" s="17">
        <v>0.85254192486895408</v>
      </c>
      <c r="AX151" s="17">
        <v>0.2738931083739784</v>
      </c>
      <c r="AY151" s="17">
        <v>0.72577921106917909</v>
      </c>
      <c r="AZ151" s="17">
        <v>0.3323953686736047</v>
      </c>
      <c r="BA151" s="17">
        <v>0.58521025091679657</v>
      </c>
      <c r="BB151" s="17">
        <v>0.70708266728105362</v>
      </c>
      <c r="BC151" s="17">
        <v>0.47875799191626917</v>
      </c>
      <c r="BD151" s="17">
        <v>0.72691391708491182</v>
      </c>
      <c r="BE151" s="17">
        <v>0.42170336644037215</v>
      </c>
      <c r="BF151" s="17">
        <v>0.47740833270819855</v>
      </c>
      <c r="BG151" s="17">
        <v>0.56396336369915856</v>
      </c>
      <c r="BH151" s="17">
        <v>0.67871733914722632</v>
      </c>
      <c r="BI151" s="17">
        <v>0.90564155152306269</v>
      </c>
      <c r="BJ151" s="17">
        <v>0.56574365849353037</v>
      </c>
      <c r="BK151" s="17">
        <v>0.50873148054204276</v>
      </c>
      <c r="BL151" s="17">
        <v>0.6867849462917005</v>
      </c>
      <c r="BM151" s="17">
        <v>1.045085008727535</v>
      </c>
      <c r="BN151" s="17">
        <v>1.1255714332059414</v>
      </c>
      <c r="BO151" s="17">
        <v>0.22560023065274143</v>
      </c>
      <c r="BP151" s="17">
        <v>2.4900869989057144</v>
      </c>
      <c r="BQ151" s="17">
        <v>1.5935909901988472</v>
      </c>
      <c r="BR151" s="17">
        <v>0.4908183452790042</v>
      </c>
      <c r="BS151" s="17">
        <v>0.39800038379834901</v>
      </c>
      <c r="BT151" s="17">
        <v>0.37128889837454659</v>
      </c>
      <c r="BU151" s="17">
        <v>1.0429211213862064</v>
      </c>
      <c r="BV151" s="17">
        <v>1.1145837421460927</v>
      </c>
      <c r="BW151" s="17">
        <v>0.22701373330079752</v>
      </c>
      <c r="BX151" s="17">
        <v>0.99040876101658826</v>
      </c>
      <c r="BY151" s="17">
        <v>0.43977775518835643</v>
      </c>
      <c r="BZ151" s="17">
        <v>1.465538754113505</v>
      </c>
      <c r="CA151" s="17">
        <v>0.78118194664659291</v>
      </c>
      <c r="CB151" s="17">
        <v>0.42592699451210797</v>
      </c>
      <c r="CC151" s="17">
        <v>0.65461460476499544</v>
      </c>
      <c r="CD151" s="17">
        <v>1.2793981013301103</v>
      </c>
      <c r="CE151" s="17">
        <v>1.2697846980634968</v>
      </c>
      <c r="CF151" s="17">
        <v>0.94683308786654052</v>
      </c>
      <c r="CG151" s="17">
        <v>0.44741801736873782</v>
      </c>
      <c r="CH151" s="17">
        <v>0.57246163753685497</v>
      </c>
      <c r="CI151" s="17">
        <v>0.79558114599106611</v>
      </c>
      <c r="CJ151" s="17">
        <v>0.41279540070975906</v>
      </c>
      <c r="CK151" s="17">
        <v>0.26675527112066688</v>
      </c>
      <c r="CL151" s="17">
        <v>0.7237640957737782</v>
      </c>
      <c r="CM151" s="17">
        <v>1.0251408820275205</v>
      </c>
      <c r="CN151" s="17">
        <v>1.3379890354237514</v>
      </c>
      <c r="CO151" s="17">
        <v>0.76538061103779775</v>
      </c>
      <c r="CP151" s="17">
        <v>0.88286396526693667</v>
      </c>
      <c r="CQ151" s="17">
        <v>1.1370931075904065</v>
      </c>
      <c r="CR151" s="17">
        <v>0.50598131509362032</v>
      </c>
      <c r="CS151" s="17">
        <v>0.77592231993314187</v>
      </c>
      <c r="CT151" s="17">
        <v>1.3412918138335328</v>
      </c>
      <c r="CU151" s="17">
        <v>2.57066549901824</v>
      </c>
      <c r="CV151" s="17">
        <v>0.6563996509284995</v>
      </c>
      <c r="CW151" s="17">
        <v>0.4367042353195047</v>
      </c>
      <c r="CX151" s="17">
        <v>1.3432636666458042</v>
      </c>
      <c r="CY151" s="17">
        <v>0.66917882962818576</v>
      </c>
      <c r="CZ151" s="17">
        <v>0.43519971818815406</v>
      </c>
      <c r="DA151" s="17">
        <v>0.63089450340904318</v>
      </c>
      <c r="DB151" s="17">
        <v>0.81755290660466173</v>
      </c>
      <c r="DC151" s="17">
        <v>0.37121119818612214</v>
      </c>
      <c r="DD151" s="17">
        <v>0.50351581898723929</v>
      </c>
      <c r="DE151" s="17">
        <v>0.73192671559967948</v>
      </c>
      <c r="DF151" s="17">
        <v>0.34310575058722231</v>
      </c>
      <c r="DG151" s="17">
        <v>0.67604743903638032</v>
      </c>
      <c r="DH151" s="17">
        <v>1.8141318995926907</v>
      </c>
      <c r="DI151" s="17">
        <v>1.3050877989681902</v>
      </c>
      <c r="DJ151" s="17">
        <v>0.57671018182624467</v>
      </c>
      <c r="DK151" s="17">
        <v>0.87450154046701389</v>
      </c>
      <c r="DL151" s="17">
        <v>0.64069961415592036</v>
      </c>
      <c r="DM151" s="17">
        <v>0.85641845030357455</v>
      </c>
      <c r="DN151" s="17">
        <v>0.75176358797952081</v>
      </c>
      <c r="DO151" s="17">
        <v>0.4957268195964204</v>
      </c>
      <c r="DP151" s="17">
        <v>1.0561666274551424</v>
      </c>
      <c r="DQ151" s="17">
        <v>0.52293973985234621</v>
      </c>
      <c r="DR151" s="17">
        <v>0.67613489806251514</v>
      </c>
      <c r="DS151" s="17">
        <v>1.9567967077275803</v>
      </c>
      <c r="DT151" s="17">
        <v>0.3349440344599906</v>
      </c>
      <c r="DU151" s="17">
        <v>2.7030295027186164</v>
      </c>
      <c r="DV151" s="17">
        <v>0.87481276617108183</v>
      </c>
      <c r="DW151" s="17">
        <v>0.77186482210194318</v>
      </c>
      <c r="DX151" s="17">
        <v>0.49084799283804653</v>
      </c>
      <c r="DY151" s="17">
        <v>0.5798209170779941</v>
      </c>
      <c r="DZ151" s="17">
        <v>0.61133833455839859</v>
      </c>
      <c r="EA151" s="17">
        <v>0.62171563666446972</v>
      </c>
      <c r="EB151" s="17">
        <v>0.67576548707564921</v>
      </c>
      <c r="EC151" s="17">
        <v>0.41153380753890617</v>
      </c>
      <c r="ED151" s="17">
        <v>0.73489973081757731</v>
      </c>
      <c r="EE151" s="17">
        <v>1.3829704145703747</v>
      </c>
      <c r="EF151" s="17">
        <v>0.29608365578834178</v>
      </c>
      <c r="EG151" s="17">
        <v>0.81338687416912092</v>
      </c>
      <c r="EH151" s="17">
        <v>1.4843486661166905</v>
      </c>
      <c r="EI151" s="17">
        <v>1.2101722968410935</v>
      </c>
      <c r="EJ151" s="17">
        <v>2.2199549054219037</v>
      </c>
      <c r="EK151" s="17">
        <v>0.94108505426171374</v>
      </c>
      <c r="EL151" s="17">
        <v>0.97459331863214949</v>
      </c>
      <c r="EM151" s="17">
        <v>1.047445760799661</v>
      </c>
      <c r="EN151" s="17">
        <v>0.46006921729474159</v>
      </c>
      <c r="EO151" s="17">
        <v>0.38453389959519851</v>
      </c>
      <c r="EP151" s="17">
        <v>2.5443162196005065</v>
      </c>
      <c r="EQ151" s="17">
        <v>0.26603242073988442</v>
      </c>
      <c r="ER151" s="17">
        <v>0.52886855228773899</v>
      </c>
      <c r="ES151" s="17">
        <v>0.45037032230168983</v>
      </c>
      <c r="ET151" s="17">
        <v>1.6236455918257964</v>
      </c>
      <c r="EU151" s="17">
        <v>0.51737233284592732</v>
      </c>
      <c r="EV151" s="17">
        <v>0.8323105031683925</v>
      </c>
      <c r="EW151" s="17">
        <v>0.95145957389630764</v>
      </c>
      <c r="EX151" s="17">
        <f>MEDIAN(tbl_Business_Travel_Spend[[#This Row],[Afghanistan]:[South Africa]])</f>
        <v>0.699231000334478</v>
      </c>
      <c r="EY151" s="51">
        <v>2025</v>
      </c>
      <c r="EZ151" s="51" t="s">
        <v>873</v>
      </c>
      <c r="FA151" s="77" t="s">
        <v>928</v>
      </c>
      <c r="FB151" s="31" t="s">
        <v>929</v>
      </c>
    </row>
    <row r="152" spans="2:158" ht="30" customHeight="1" x14ac:dyDescent="0.35">
      <c r="B152" s="18" t="s">
        <v>1174</v>
      </c>
      <c r="C152" s="9">
        <v>561500</v>
      </c>
      <c r="D152" s="9" t="s">
        <v>992</v>
      </c>
      <c r="E152" s="17">
        <v>0.52569810795642968</v>
      </c>
      <c r="F152" s="17">
        <v>0.38489817737455528</v>
      </c>
      <c r="G152" s="17">
        <v>0.44413528726018359</v>
      </c>
      <c r="H152" s="17">
        <v>0.56405603959695072</v>
      </c>
      <c r="I152" s="17">
        <v>0.58722197977083002</v>
      </c>
      <c r="J152" s="17">
        <v>0.51009443112936648</v>
      </c>
      <c r="K152" s="17">
        <v>0.59504783501744007</v>
      </c>
      <c r="L152" s="17">
        <v>0.2724817168287838</v>
      </c>
      <c r="M152" s="17">
        <v>0.24067125623494134</v>
      </c>
      <c r="N152" s="17">
        <v>0.32451439805364773</v>
      </c>
      <c r="O152" s="17">
        <v>0.56131786257487215</v>
      </c>
      <c r="P152" s="17">
        <v>0.33470729305088526</v>
      </c>
      <c r="Q152" s="17">
        <v>0.41530651411755415</v>
      </c>
      <c r="R152" s="17">
        <v>0.73561642876810318</v>
      </c>
      <c r="S152" s="17">
        <v>0.70440257202706313</v>
      </c>
      <c r="T152" s="17">
        <v>0.32617011319309558</v>
      </c>
      <c r="U152" s="17">
        <v>0.41594078186118993</v>
      </c>
      <c r="V152" s="17">
        <v>0.57377604911768521</v>
      </c>
      <c r="W152" s="17">
        <v>0.4843559622564213</v>
      </c>
      <c r="X152" s="17">
        <v>0.37678053750827634</v>
      </c>
      <c r="Y152" s="17">
        <v>0.52598689935935061</v>
      </c>
      <c r="Z152" s="17">
        <v>0.3598301566452124</v>
      </c>
      <c r="AA152" s="17">
        <v>0.81650660617755177</v>
      </c>
      <c r="AB152" s="17">
        <v>0.27086181468886722</v>
      </c>
      <c r="AC152" s="17">
        <v>0.69115562117272966</v>
      </c>
      <c r="AD152" s="17">
        <v>2.5217735359547939</v>
      </c>
      <c r="AE152" s="17">
        <v>0.30498352473158652</v>
      </c>
      <c r="AF152" s="17">
        <v>0.33932295364878695</v>
      </c>
      <c r="AG152" s="17">
        <v>0.50554737707876474</v>
      </c>
      <c r="AH152" s="17">
        <v>0.47128721108518751</v>
      </c>
      <c r="AI152" s="17">
        <v>0.28217202423445564</v>
      </c>
      <c r="AJ152" s="17">
        <v>0.5182370693269166</v>
      </c>
      <c r="AK152" s="17">
        <v>0.61175730547359219</v>
      </c>
      <c r="AL152" s="17">
        <v>0.24989193769932549</v>
      </c>
      <c r="AM152" s="17">
        <v>0.5348669585118736</v>
      </c>
      <c r="AN152" s="17">
        <v>0.53526647810078398</v>
      </c>
      <c r="AO152" s="17">
        <v>0.37986517225903149</v>
      </c>
      <c r="AP152" s="17">
        <v>0.83670046466341519</v>
      </c>
      <c r="AQ152" s="17">
        <v>0.42717883431401715</v>
      </c>
      <c r="AR152" s="17">
        <v>0.98950730492466277</v>
      </c>
      <c r="AS152" s="17">
        <v>0.47116381381223899</v>
      </c>
      <c r="AT152" s="17">
        <v>0.43331881429567315</v>
      </c>
      <c r="AU152" s="17">
        <v>0.30012640874394919</v>
      </c>
      <c r="AV152" s="17">
        <v>0.31580735937346682</v>
      </c>
      <c r="AW152" s="17">
        <v>0.50023212145651941</v>
      </c>
      <c r="AX152" s="17">
        <v>0.25051157920186795</v>
      </c>
      <c r="AY152" s="17">
        <v>0.42175054887929275</v>
      </c>
      <c r="AZ152" s="17">
        <v>1.2499816407256603</v>
      </c>
      <c r="BA152" s="17">
        <v>0.40018485222137606</v>
      </c>
      <c r="BB152" s="17">
        <v>0.43179619125914342</v>
      </c>
      <c r="BC152" s="17">
        <v>0.32294550604150085</v>
      </c>
      <c r="BD152" s="17">
        <v>0.4423451522835713</v>
      </c>
      <c r="BE152" s="17">
        <v>0.45822048166354412</v>
      </c>
      <c r="BF152" s="17">
        <v>0.35742786684555578</v>
      </c>
      <c r="BG152" s="17">
        <v>0.35619414445102027</v>
      </c>
      <c r="BH152" s="17">
        <v>0.4124138581645756</v>
      </c>
      <c r="BI152" s="17">
        <v>0.52834944586769006</v>
      </c>
      <c r="BJ152" s="17">
        <v>0.41339283779587527</v>
      </c>
      <c r="BK152" s="17">
        <v>0.36465180267266895</v>
      </c>
      <c r="BL152" s="17">
        <v>0.46139951627995085</v>
      </c>
      <c r="BM152" s="17">
        <v>0.514046704329986</v>
      </c>
      <c r="BN152" s="17">
        <v>0.86248935767531687</v>
      </c>
      <c r="BO152" s="17">
        <v>0.15332658456027135</v>
      </c>
      <c r="BP152" s="17">
        <v>1.1761117288986913</v>
      </c>
      <c r="BQ152" s="17">
        <v>0.86125257118540133</v>
      </c>
      <c r="BR152" s="17">
        <v>0.37790619137409931</v>
      </c>
      <c r="BS152" s="17">
        <v>0.32392789600423427</v>
      </c>
      <c r="BT152" s="17">
        <v>0.32826781425296103</v>
      </c>
      <c r="BU152" s="17">
        <v>0.55512548234036685</v>
      </c>
      <c r="BV152" s="17">
        <v>0.58458437588970469</v>
      </c>
      <c r="BW152" s="17">
        <v>0.93210651102680342</v>
      </c>
      <c r="BX152" s="17">
        <v>0.66563456407027144</v>
      </c>
      <c r="BY152" s="17">
        <v>0.28382100865965743</v>
      </c>
      <c r="BZ152" s="17">
        <v>0.62108788739823251</v>
      </c>
      <c r="CA152" s="17">
        <v>0.5699243702224005</v>
      </c>
      <c r="CB152" s="17">
        <v>0.3409444303305032</v>
      </c>
      <c r="CC152" s="17">
        <v>0.90008449656644474</v>
      </c>
      <c r="CD152" s="17">
        <v>0.67299456284012638</v>
      </c>
      <c r="CE152" s="17">
        <v>0.92557105638842274</v>
      </c>
      <c r="CF152" s="17">
        <v>0.52211295421193948</v>
      </c>
      <c r="CG152" s="17">
        <v>0.34988498356856834</v>
      </c>
      <c r="CH152" s="17">
        <v>0.36446096079901186</v>
      </c>
      <c r="CI152" s="17">
        <v>0.60525543396873427</v>
      </c>
      <c r="CJ152" s="17">
        <v>0.31369018410636756</v>
      </c>
      <c r="CK152" s="17">
        <v>0.15002471760557878</v>
      </c>
      <c r="CL152" s="17">
        <v>0.40988818718571879</v>
      </c>
      <c r="CM152" s="17">
        <v>0.5928879425327277</v>
      </c>
      <c r="CN152" s="17">
        <v>0.65499212978327004</v>
      </c>
      <c r="CO152" s="17">
        <v>0.5542092284243163</v>
      </c>
      <c r="CP152" s="17">
        <v>0.59093337122463785</v>
      </c>
      <c r="CQ152" s="17">
        <v>0.60939982320491659</v>
      </c>
      <c r="CR152" s="17">
        <v>0.34274046752401016</v>
      </c>
      <c r="CS152" s="17">
        <v>0.77923236064685475</v>
      </c>
      <c r="CT152" s="17">
        <v>0.87708040791371966</v>
      </c>
      <c r="CU152" s="17">
        <v>0.98128106786105807</v>
      </c>
      <c r="CV152" s="17">
        <v>0.43865125131715499</v>
      </c>
      <c r="CW152" s="17">
        <v>0.34170572503851709</v>
      </c>
      <c r="CX152" s="17">
        <v>0.84658611335797662</v>
      </c>
      <c r="CY152" s="17">
        <v>0.42558397801499903</v>
      </c>
      <c r="CZ152" s="17">
        <v>0.30470463825921418</v>
      </c>
      <c r="DA152" s="17">
        <v>0.38647950599615799</v>
      </c>
      <c r="DB152" s="17">
        <v>0.48205582752500492</v>
      </c>
      <c r="DC152" s="17">
        <v>0.32596860303815051</v>
      </c>
      <c r="DD152" s="17">
        <v>0.44335874813476628</v>
      </c>
      <c r="DE152" s="17">
        <v>0.43245738560762231</v>
      </c>
      <c r="DF152" s="17">
        <v>0.44637543111127459</v>
      </c>
      <c r="DG152" s="17">
        <v>0.54669377010721787</v>
      </c>
      <c r="DH152" s="17">
        <v>0.83939826269111339</v>
      </c>
      <c r="DI152" s="17">
        <v>0.69941170464397751</v>
      </c>
      <c r="DJ152" s="17">
        <v>0.42971760306878981</v>
      </c>
      <c r="DK152" s="17">
        <v>0.55614689964307396</v>
      </c>
      <c r="DL152" s="17">
        <v>0.41349764700983482</v>
      </c>
      <c r="DM152" s="17">
        <v>0.64896576703591147</v>
      </c>
      <c r="DN152" s="17">
        <v>0.5797079179722181</v>
      </c>
      <c r="DO152" s="17">
        <v>0.33489142680768291</v>
      </c>
      <c r="DP152" s="17">
        <v>0.60246769051630622</v>
      </c>
      <c r="DQ152" s="17">
        <v>0.49850693621891345</v>
      </c>
      <c r="DR152" s="17">
        <v>0.3275564694694803</v>
      </c>
      <c r="DS152" s="17">
        <v>0.96373185879074086</v>
      </c>
      <c r="DT152" s="17">
        <v>0.27139666418334724</v>
      </c>
      <c r="DU152" s="17">
        <v>1.1251103589941986</v>
      </c>
      <c r="DV152" s="17">
        <v>0.4931520619767859</v>
      </c>
      <c r="DW152" s="17">
        <v>0.45989018171923285</v>
      </c>
      <c r="DX152" s="17">
        <v>0.36588135821936291</v>
      </c>
      <c r="DY152" s="17">
        <v>0.37771124206719248</v>
      </c>
      <c r="DZ152" s="17">
        <v>0.40236090426252996</v>
      </c>
      <c r="EA152" s="17">
        <v>0.48436272295354116</v>
      </c>
      <c r="EB152" s="17">
        <v>0.41287671448002</v>
      </c>
      <c r="EC152" s="17">
        <v>0.3353169125573941</v>
      </c>
      <c r="ED152" s="17">
        <v>0.4409498161364801</v>
      </c>
      <c r="EE152" s="17">
        <v>0.72003093148337327</v>
      </c>
      <c r="EF152" s="17">
        <v>0.27639633958677073</v>
      </c>
      <c r="EG152" s="17">
        <v>0.46359076247310205</v>
      </c>
      <c r="EH152" s="17">
        <v>1.1769044463198461</v>
      </c>
      <c r="EI152" s="17">
        <v>0.61186345024821021</v>
      </c>
      <c r="EJ152" s="17">
        <v>0.97741953154485217</v>
      </c>
      <c r="EK152" s="17">
        <v>0.51298325026657754</v>
      </c>
      <c r="EL152" s="17">
        <v>0.79142355102115347</v>
      </c>
      <c r="EM152" s="17">
        <v>0.72381253070221985</v>
      </c>
      <c r="EN152" s="17">
        <v>0.30662803663795746</v>
      </c>
      <c r="EO152" s="17">
        <v>0.25555908500520103</v>
      </c>
      <c r="EP152" s="17">
        <v>1.0323348789141578</v>
      </c>
      <c r="EQ152" s="17">
        <v>0.20069589648251784</v>
      </c>
      <c r="ER152" s="17">
        <v>0.49048247430594732</v>
      </c>
      <c r="ES152" s="17">
        <v>0.34813129608200805</v>
      </c>
      <c r="ET152" s="17">
        <v>1.03608922370071</v>
      </c>
      <c r="EU152" s="17">
        <v>0.41369208528511309</v>
      </c>
      <c r="EV152" s="17">
        <v>0.4856531650086845</v>
      </c>
      <c r="EW152" s="17">
        <v>0.85375483120348927</v>
      </c>
      <c r="EX152" s="17">
        <f>MEDIAN(tbl_Business_Travel_Spend[[#This Row],[Afghanistan]:[South Africa]])</f>
        <v>0.471163813812239</v>
      </c>
      <c r="EY152" s="51">
        <v>2025</v>
      </c>
      <c r="EZ152" s="51" t="s">
        <v>873</v>
      </c>
      <c r="FA152" s="77" t="s">
        <v>928</v>
      </c>
      <c r="FB152" s="31" t="s">
        <v>929</v>
      </c>
    </row>
    <row r="153" spans="2:158" ht="30" customHeight="1" x14ac:dyDescent="0.35">
      <c r="B153" s="18" t="s">
        <v>1198</v>
      </c>
      <c r="C153" s="9">
        <v>482000</v>
      </c>
      <c r="D153" s="9" t="s">
        <v>967</v>
      </c>
      <c r="E153" s="17">
        <v>0.6665227893703648</v>
      </c>
      <c r="F153" s="17">
        <v>0.44723515635934025</v>
      </c>
      <c r="G153" s="17">
        <v>0.52445017300838714</v>
      </c>
      <c r="H153" s="17">
        <v>0.72448663951316794</v>
      </c>
      <c r="I153" s="17">
        <v>0.41358331691057371</v>
      </c>
      <c r="J153" s="17">
        <v>0.58850263738465336</v>
      </c>
      <c r="K153" s="17">
        <v>0.28915956672032012</v>
      </c>
      <c r="L153" s="17">
        <v>0.25498088599354035</v>
      </c>
      <c r="M153" s="17">
        <v>0.2415740007331536</v>
      </c>
      <c r="N153" s="17">
        <v>0.30320602813263453</v>
      </c>
      <c r="O153" s="17">
        <v>0.69478623084858682</v>
      </c>
      <c r="P153" s="17">
        <v>0.3702885716485565</v>
      </c>
      <c r="Q153" s="17">
        <v>0.47893345267661747</v>
      </c>
      <c r="R153" s="17">
        <v>0.3151519805021577</v>
      </c>
      <c r="S153" s="17">
        <v>1.0236992460569259</v>
      </c>
      <c r="T153" s="17">
        <v>0.34718016840536825</v>
      </c>
      <c r="U153" s="17">
        <v>0.45214723855838573</v>
      </c>
      <c r="V153" s="17">
        <v>0.7036967481210471</v>
      </c>
      <c r="W153" s="17">
        <v>0.16104157693115223</v>
      </c>
      <c r="X153" s="17">
        <v>0.42451911944113307</v>
      </c>
      <c r="Y153" s="17">
        <v>0.65792289588677733</v>
      </c>
      <c r="Z153" s="17">
        <v>0.38330657627641079</v>
      </c>
      <c r="AA153" s="17">
        <v>0.58733415985040804</v>
      </c>
      <c r="AB153" s="17">
        <v>0.21982887787311167</v>
      </c>
      <c r="AC153" s="17">
        <v>0.29036128373437858</v>
      </c>
      <c r="AD153" s="17">
        <v>1.1441800210464117</v>
      </c>
      <c r="AE153" s="17">
        <v>0.33583666380301647</v>
      </c>
      <c r="AF153" s="17">
        <v>0.37819308741915975</v>
      </c>
      <c r="AG153" s="17">
        <v>0.62534031209606356</v>
      </c>
      <c r="AH153" s="17">
        <v>0.25307931222342328</v>
      </c>
      <c r="AI153" s="17">
        <v>0.25950489353677958</v>
      </c>
      <c r="AJ153" s="17">
        <v>0.22212750209156892</v>
      </c>
      <c r="AK153" s="17">
        <v>0.49547096939719221</v>
      </c>
      <c r="AL153" s="17">
        <v>0.25976247964168125</v>
      </c>
      <c r="AM153" s="17">
        <v>0.60648179734621388</v>
      </c>
      <c r="AN153" s="17">
        <v>0.12674601859663756</v>
      </c>
      <c r="AO153" s="17">
        <v>0.43438808805405288</v>
      </c>
      <c r="AP153" s="17">
        <v>1.0826378524314284</v>
      </c>
      <c r="AQ153" s="17">
        <v>0.49091904964272026</v>
      </c>
      <c r="AR153" s="17">
        <v>1.2732559475702094</v>
      </c>
      <c r="AS153" s="17">
        <v>0.25049028502011683</v>
      </c>
      <c r="AT153" s="17">
        <v>0.36416705222735113</v>
      </c>
      <c r="AU153" s="17">
        <v>0.32643617173968958</v>
      </c>
      <c r="AV153" s="17">
        <v>0.18950079779904166</v>
      </c>
      <c r="AW153" s="17">
        <v>0.61090822107802811</v>
      </c>
      <c r="AX153" s="17">
        <v>0.23984999712852373</v>
      </c>
      <c r="AY153" s="17">
        <v>0.48313773445243857</v>
      </c>
      <c r="AZ153" s="17">
        <v>0.19772250160862004</v>
      </c>
      <c r="BA153" s="17">
        <v>0.44594307099791264</v>
      </c>
      <c r="BB153" s="17">
        <v>0.50890751240461329</v>
      </c>
      <c r="BC153" s="17">
        <v>0.35517278397677965</v>
      </c>
      <c r="BD153" s="17">
        <v>0.52391853632574525</v>
      </c>
      <c r="BE153" s="17">
        <v>0.29341817482393517</v>
      </c>
      <c r="BF153" s="17">
        <v>0.38113473269006787</v>
      </c>
      <c r="BG153" s="17">
        <v>0.40167569875305564</v>
      </c>
      <c r="BH153" s="17">
        <v>0.30042243442705058</v>
      </c>
      <c r="BI153" s="17">
        <v>0.6542098838213265</v>
      </c>
      <c r="BJ153" s="17">
        <v>0.42548031840914707</v>
      </c>
      <c r="BK153" s="17">
        <v>0.41667693922394144</v>
      </c>
      <c r="BL153" s="17">
        <v>0.49792896453080643</v>
      </c>
      <c r="BM153" s="17">
        <v>0.34938687026098625</v>
      </c>
      <c r="BN153" s="17">
        <v>1.9374726582218604</v>
      </c>
      <c r="BO153" s="17">
        <v>0.18075015248761464</v>
      </c>
      <c r="BP153" s="17">
        <v>1.5571194690152259</v>
      </c>
      <c r="BQ153" s="17">
        <v>1.0733318101493368</v>
      </c>
      <c r="BR153" s="17">
        <v>0.11184126118275604</v>
      </c>
      <c r="BS153" s="17">
        <v>0.19297875659167854</v>
      </c>
      <c r="BT153" s="17">
        <v>0.24139740968594461</v>
      </c>
      <c r="BU153" s="17">
        <v>0.71146231482643596</v>
      </c>
      <c r="BV153" s="17">
        <v>0.76830169878478705</v>
      </c>
      <c r="BW153" s="17">
        <v>0.11540506270517045</v>
      </c>
      <c r="BX153" s="17">
        <v>1.0839357984943088</v>
      </c>
      <c r="BY153" s="17">
        <v>0.30649099461029533</v>
      </c>
      <c r="BZ153" s="17">
        <v>1.1078167417481612</v>
      </c>
      <c r="CA153" s="17">
        <v>0.63559010303110863</v>
      </c>
      <c r="CB153" s="17">
        <v>0.35458578402214919</v>
      </c>
      <c r="CC153" s="17">
        <v>0.43857505376955741</v>
      </c>
      <c r="CD153" s="17">
        <v>0.91778169008343213</v>
      </c>
      <c r="CE153" s="17">
        <v>1.2235107155071245</v>
      </c>
      <c r="CF153" s="17">
        <v>0.65405527861337998</v>
      </c>
      <c r="CG153" s="17">
        <v>0.3700636472125669</v>
      </c>
      <c r="CH153" s="17">
        <v>0.41361309669718749</v>
      </c>
      <c r="CI153" s="17">
        <v>0.66190313283051916</v>
      </c>
      <c r="CJ153" s="17">
        <v>0.29582079928922261</v>
      </c>
      <c r="CK153" s="17">
        <v>0.23637394446187898</v>
      </c>
      <c r="CL153" s="17">
        <v>0.34765575743061189</v>
      </c>
      <c r="CM153" s="17">
        <v>0.21448289229853257</v>
      </c>
      <c r="CN153" s="17">
        <v>0.90079035568306998</v>
      </c>
      <c r="CO153" s="17">
        <v>0.61976160925880086</v>
      </c>
      <c r="CP153" s="17">
        <v>0.49659241563436729</v>
      </c>
      <c r="CQ153" s="17">
        <v>0.80606804684309441</v>
      </c>
      <c r="CR153" s="17">
        <v>0.37821023941524834</v>
      </c>
      <c r="CS153" s="17">
        <v>0.60812411680098055</v>
      </c>
      <c r="CT153" s="17">
        <v>1.0243418911288544</v>
      </c>
      <c r="CU153" s="17">
        <v>1.6257160226651848</v>
      </c>
      <c r="CV153" s="17">
        <v>0.5025668464322971</v>
      </c>
      <c r="CW153" s="17">
        <v>0.35440449663641643</v>
      </c>
      <c r="CX153" s="17">
        <v>0.76958083864934645</v>
      </c>
      <c r="CY153" s="17">
        <v>0.49517557377203053</v>
      </c>
      <c r="CZ153" s="17">
        <v>0.33600766646849528</v>
      </c>
      <c r="DA153" s="17">
        <v>0.43463937707355133</v>
      </c>
      <c r="DB153" s="17">
        <v>0.58246407495586627</v>
      </c>
      <c r="DC153" s="17">
        <v>0.22788248555397003</v>
      </c>
      <c r="DD153" s="17">
        <v>0.18425890178767909</v>
      </c>
      <c r="DE153" s="17">
        <v>0.50710962296803508</v>
      </c>
      <c r="DF153" s="17">
        <v>0.37950753997952719</v>
      </c>
      <c r="DG153" s="17">
        <v>0.16271944217844422</v>
      </c>
      <c r="DH153" s="17">
        <v>1.1693732307944473</v>
      </c>
      <c r="DI153" s="17">
        <v>0.82382957437361448</v>
      </c>
      <c r="DJ153" s="17">
        <v>0.42083206168655585</v>
      </c>
      <c r="DK153" s="17">
        <v>0.74621413208058796</v>
      </c>
      <c r="DL153" s="17">
        <v>0.47342492988176177</v>
      </c>
      <c r="DM153" s="17">
        <v>0.43740054945244827</v>
      </c>
      <c r="DN153" s="17">
        <v>0.30992616424198438</v>
      </c>
      <c r="DO153" s="17">
        <v>0.36542346370512485</v>
      </c>
      <c r="DP153" s="17">
        <v>0.77456773962753767</v>
      </c>
      <c r="DQ153" s="17">
        <v>0.45459348561745083</v>
      </c>
      <c r="DR153" s="17">
        <v>0.35600817986203726</v>
      </c>
      <c r="DS153" s="17">
        <v>0.78157761999937925</v>
      </c>
      <c r="DT153" s="17">
        <v>0.27566629626478589</v>
      </c>
      <c r="DU153" s="17">
        <v>2.2323795412035703</v>
      </c>
      <c r="DV153" s="17">
        <v>0.60310740947659769</v>
      </c>
      <c r="DW153" s="17">
        <v>0.56303469099248227</v>
      </c>
      <c r="DX153" s="17">
        <v>0.39050334563947131</v>
      </c>
      <c r="DY153" s="17">
        <v>0.42597846346408447</v>
      </c>
      <c r="DZ153" s="17">
        <v>0.45301898273885705</v>
      </c>
      <c r="EA153" s="17">
        <v>0.51820774542342174</v>
      </c>
      <c r="EB153" s="17">
        <v>0.28039407191528165</v>
      </c>
      <c r="EC153" s="17">
        <v>0.12711283606455415</v>
      </c>
      <c r="ED153" s="17">
        <v>0.51931258340742747</v>
      </c>
      <c r="EE153" s="17">
        <v>0.99060571134830544</v>
      </c>
      <c r="EF153" s="17">
        <v>0.27885267986504358</v>
      </c>
      <c r="EG153" s="17">
        <v>0.55247995620799539</v>
      </c>
      <c r="EH153" s="17">
        <v>0.97224272211696727</v>
      </c>
      <c r="EI153" s="17">
        <v>0.82043739281954298</v>
      </c>
      <c r="EJ153" s="17">
        <v>1.4121981050532229</v>
      </c>
      <c r="EK153" s="17">
        <v>0.75764356902047469</v>
      </c>
      <c r="EL153" s="17">
        <v>1.0566145750753073</v>
      </c>
      <c r="EM153" s="17">
        <v>0.4236462595342595</v>
      </c>
      <c r="EN153" s="17">
        <v>0.33916079837377522</v>
      </c>
      <c r="EO153" s="17">
        <v>0.27051388978134222</v>
      </c>
      <c r="EP153" s="17">
        <v>1.5797663358273795</v>
      </c>
      <c r="EQ153" s="17">
        <v>0.20185753315139124</v>
      </c>
      <c r="ER153" s="17">
        <v>0.1579368176376581</v>
      </c>
      <c r="ES153" s="17">
        <v>0.36582660929642391</v>
      </c>
      <c r="ET153" s="17">
        <v>0.83525931411510224</v>
      </c>
      <c r="EU153" s="17">
        <v>0.43518566612618664</v>
      </c>
      <c r="EV153" s="17">
        <v>0.59074826997815433</v>
      </c>
      <c r="EW153" s="17">
        <v>1.5585664998161546</v>
      </c>
      <c r="EX153" s="17">
        <f>MEDIAN(tbl_Business_Travel_Spend[[#This Row],[Afghanistan]:[South Africa]])</f>
        <v>0.438575053769557</v>
      </c>
      <c r="EY153" s="51">
        <v>2025</v>
      </c>
      <c r="EZ153" s="51" t="s">
        <v>873</v>
      </c>
      <c r="FA153" s="77" t="s">
        <v>928</v>
      </c>
      <c r="FB153" s="31" t="s">
        <v>929</v>
      </c>
    </row>
    <row r="154" spans="2:158" ht="30" customHeight="1" x14ac:dyDescent="0.35">
      <c r="B154" s="18" t="s">
        <v>1199</v>
      </c>
      <c r="C154" s="9">
        <v>485000</v>
      </c>
      <c r="D154" s="106" t="s">
        <v>970</v>
      </c>
      <c r="E154" s="17">
        <v>0.26970493183480387</v>
      </c>
      <c r="F154" s="17">
        <v>0.19893289016079327</v>
      </c>
      <c r="G154" s="17">
        <v>0.23103693928480618</v>
      </c>
      <c r="H154" s="17">
        <v>0.31933169880010709</v>
      </c>
      <c r="I154" s="17">
        <v>0.10768199508486938</v>
      </c>
      <c r="J154" s="17">
        <v>0.31038876884334832</v>
      </c>
      <c r="K154" s="17">
        <v>0.162148694824814</v>
      </c>
      <c r="L154" s="17">
        <v>6.9629411423781859E-2</v>
      </c>
      <c r="M154" s="17">
        <v>0.1419983950021444</v>
      </c>
      <c r="N154" s="17">
        <v>0.14120394504339756</v>
      </c>
      <c r="O154" s="17">
        <v>0.23740150388800396</v>
      </c>
      <c r="P154" s="17">
        <v>0.1770541140988976</v>
      </c>
      <c r="Q154" s="17">
        <v>0.18665120238377464</v>
      </c>
      <c r="R154" s="17">
        <v>0.21462356766460447</v>
      </c>
      <c r="S154" s="17">
        <v>0.35108986609841597</v>
      </c>
      <c r="T154" s="17">
        <v>0.19043704087482899</v>
      </c>
      <c r="U154" s="17">
        <v>0.25481459622723041</v>
      </c>
      <c r="V154" s="17">
        <v>0.2352313432240638</v>
      </c>
      <c r="W154" s="17">
        <v>9.5954880969699632E-2</v>
      </c>
      <c r="X154" s="17">
        <v>0.20369550506683709</v>
      </c>
      <c r="Y154" s="17">
        <v>0.26637950142019595</v>
      </c>
      <c r="Z154" s="17">
        <v>0.21732945986744398</v>
      </c>
      <c r="AA154" s="17">
        <v>0.19624820676002738</v>
      </c>
      <c r="AB154" s="17">
        <v>7.1469894433626127E-2</v>
      </c>
      <c r="AC154" s="17">
        <v>0.10462064771282352</v>
      </c>
      <c r="AD154" s="17">
        <v>0.66101449074894347</v>
      </c>
      <c r="AE154" s="17">
        <v>0.15173739168648337</v>
      </c>
      <c r="AF154" s="17">
        <v>0.15442834116990065</v>
      </c>
      <c r="AG154" s="17">
        <v>0.25492714465954475</v>
      </c>
      <c r="AH154" s="17">
        <v>5.587235407679586E-2</v>
      </c>
      <c r="AI154" s="17">
        <v>4.9497205152428565E-2</v>
      </c>
      <c r="AJ154" s="17">
        <v>0.13527693869469187</v>
      </c>
      <c r="AK154" s="17">
        <v>0.30326095645512186</v>
      </c>
      <c r="AL154" s="17">
        <v>0.11302057227150258</v>
      </c>
      <c r="AM154" s="17">
        <v>0.33773087248723194</v>
      </c>
      <c r="AN154" s="17">
        <v>0.1264164601652647</v>
      </c>
      <c r="AO154" s="17">
        <v>0.18161685924394932</v>
      </c>
      <c r="AP154" s="17">
        <v>0.31997065657166635</v>
      </c>
      <c r="AQ154" s="17">
        <v>0.17943514305289032</v>
      </c>
      <c r="AR154" s="17">
        <v>0.36103477260663619</v>
      </c>
      <c r="AS154" s="17">
        <v>0.12851594813563297</v>
      </c>
      <c r="AT154" s="17">
        <v>0.16892408798396572</v>
      </c>
      <c r="AU154" s="17">
        <v>0.13913839039971443</v>
      </c>
      <c r="AV154" s="17">
        <v>0.11887937555630734</v>
      </c>
      <c r="AW154" s="17">
        <v>0.26921215908642726</v>
      </c>
      <c r="AX154" s="17">
        <v>6.5882073721095419E-2</v>
      </c>
      <c r="AY154" s="17">
        <v>0.1777725984274543</v>
      </c>
      <c r="AZ154" s="17">
        <v>0.51438221102700943</v>
      </c>
      <c r="BA154" s="17">
        <v>0.22967975463381035</v>
      </c>
      <c r="BB154" s="17">
        <v>0.22278442171108995</v>
      </c>
      <c r="BC154" s="17">
        <v>0.1695842937472912</v>
      </c>
      <c r="BD154" s="17">
        <v>0.23093012477015748</v>
      </c>
      <c r="BE154" s="17">
        <v>0.14291079710860866</v>
      </c>
      <c r="BF154" s="17">
        <v>0.21392512799083832</v>
      </c>
      <c r="BG154" s="17">
        <v>0.17434674597730859</v>
      </c>
      <c r="BH154" s="17">
        <v>0.28326579601540119</v>
      </c>
      <c r="BI154" s="17">
        <v>0.2920155668640218</v>
      </c>
      <c r="BJ154" s="17">
        <v>0.20334365428231529</v>
      </c>
      <c r="BK154" s="17">
        <v>0.21001196994845936</v>
      </c>
      <c r="BL154" s="17">
        <v>0.23301820689087183</v>
      </c>
      <c r="BM154" s="17">
        <v>0.18754651652315688</v>
      </c>
      <c r="BN154" s="17">
        <v>0.55729203645386705</v>
      </c>
      <c r="BO154" s="17">
        <v>0.1400575036440535</v>
      </c>
      <c r="BP154" s="17">
        <v>0.41065208903574152</v>
      </c>
      <c r="BQ154" s="17">
        <v>0.3428856923088171</v>
      </c>
      <c r="BR154" s="17">
        <v>0.21068513353147314</v>
      </c>
      <c r="BS154" s="17">
        <v>1.6747427296497829E-2</v>
      </c>
      <c r="BT154" s="17">
        <v>0.13308938188135833</v>
      </c>
      <c r="BU154" s="17">
        <v>0.27171583848907155</v>
      </c>
      <c r="BV154" s="17">
        <v>0.28858529558201312</v>
      </c>
      <c r="BW154" s="17">
        <v>0.10444107297443608</v>
      </c>
      <c r="BX154" s="17">
        <v>0.32665693654074412</v>
      </c>
      <c r="BY154" s="17">
        <v>0.13407287253835667</v>
      </c>
      <c r="BZ154" s="17">
        <v>0.449321246024035</v>
      </c>
      <c r="CA154" s="17">
        <v>0.36830416202801169</v>
      </c>
      <c r="CB154" s="17">
        <v>0.21136522757883508</v>
      </c>
      <c r="CC154" s="17">
        <v>0.29730502985926144</v>
      </c>
      <c r="CD154" s="17">
        <v>0.32472700423100842</v>
      </c>
      <c r="CE154" s="17">
        <v>0.6950281907406739</v>
      </c>
      <c r="CF154" s="17">
        <v>0.25657428133346372</v>
      </c>
      <c r="CG154" s="17">
        <v>0.21497821779603876</v>
      </c>
      <c r="CH154" s="17">
        <v>0.18214006802695223</v>
      </c>
      <c r="CI154" s="17">
        <v>0.39953094823133029</v>
      </c>
      <c r="CJ154" s="17">
        <v>0.12649319940386936</v>
      </c>
      <c r="CK154" s="17">
        <v>0.2290049799082064</v>
      </c>
      <c r="CL154" s="17">
        <v>0.19742609846980744</v>
      </c>
      <c r="CM154" s="17">
        <v>7.503251703919718E-2</v>
      </c>
      <c r="CN154" s="17">
        <v>0.3102388577922271</v>
      </c>
      <c r="CO154" s="17">
        <v>0.35561022749378268</v>
      </c>
      <c r="CP154" s="17">
        <v>0.10117044313683431</v>
      </c>
      <c r="CQ154" s="17">
        <v>0.33591584852774264</v>
      </c>
      <c r="CR154" s="17">
        <v>0.18508656466924039</v>
      </c>
      <c r="CS154" s="17">
        <v>0.73864139054144262</v>
      </c>
      <c r="CT154" s="17">
        <v>0.33823879273087559</v>
      </c>
      <c r="CU154" s="17">
        <v>0.40725206792833135</v>
      </c>
      <c r="CV154" s="17">
        <v>0.25434632411811209</v>
      </c>
      <c r="CW154" s="17">
        <v>0.2085785856931674</v>
      </c>
      <c r="CX154" s="17">
        <v>0.46102246877997693</v>
      </c>
      <c r="CY154" s="17">
        <v>0.23164042097504381</v>
      </c>
      <c r="CZ154" s="17">
        <v>0.16222614297003862</v>
      </c>
      <c r="DA154" s="17">
        <v>0.16632845724265916</v>
      </c>
      <c r="DB154" s="17">
        <v>0.25514467102618021</v>
      </c>
      <c r="DC154" s="17">
        <v>6.7301764185910329E-2</v>
      </c>
      <c r="DD154" s="17">
        <v>0.18430952870865797</v>
      </c>
      <c r="DE154" s="17">
        <v>0.21411984324019118</v>
      </c>
      <c r="DF154" s="17">
        <v>0.3262520545356401</v>
      </c>
      <c r="DG154" s="17">
        <v>0.11411296167517403</v>
      </c>
      <c r="DH154" s="17">
        <v>0.3373931305741158</v>
      </c>
      <c r="DI154" s="17">
        <v>0.25218760063617918</v>
      </c>
      <c r="DJ154" s="17">
        <v>5.6164087775675123E-2</v>
      </c>
      <c r="DK154" s="17">
        <v>0.28000206259367688</v>
      </c>
      <c r="DL154" s="17">
        <v>0.22672297147321566</v>
      </c>
      <c r="DM154" s="17">
        <v>0.27929487275396409</v>
      </c>
      <c r="DN154" s="17">
        <v>8.0576885782203136E-2</v>
      </c>
      <c r="DO154" s="17">
        <v>0.17963312520935096</v>
      </c>
      <c r="DP154" s="17">
        <v>0.29024987099016486</v>
      </c>
      <c r="DQ154" s="17">
        <v>0.13944649927888833</v>
      </c>
      <c r="DR154" s="17">
        <v>9.5562738078637299E-2</v>
      </c>
      <c r="DS154" s="17">
        <v>0.33588262905489102</v>
      </c>
      <c r="DT154" s="17">
        <v>0.16369815875594565</v>
      </c>
      <c r="DU154" s="17">
        <v>0.82597543268539386</v>
      </c>
      <c r="DV154" s="17">
        <v>0.23332491124638</v>
      </c>
      <c r="DW154" s="17">
        <v>0.1452089960279164</v>
      </c>
      <c r="DX154" s="17">
        <v>0.21931140999498991</v>
      </c>
      <c r="DY154" s="17">
        <v>0.20161319537445171</v>
      </c>
      <c r="DZ154" s="17">
        <v>0.22323268292287582</v>
      </c>
      <c r="EA154" s="17">
        <v>0.16167315273668287</v>
      </c>
      <c r="EB154" s="17">
        <v>0.15304311328663112</v>
      </c>
      <c r="EC154" s="17">
        <v>0.1008305369632371</v>
      </c>
      <c r="ED154" s="17">
        <v>0.22669321175180138</v>
      </c>
      <c r="EE154" s="17">
        <v>0.42362680859994301</v>
      </c>
      <c r="EF154" s="17">
        <v>0.18252950298785067</v>
      </c>
      <c r="EG154" s="17">
        <v>0.21038906316327971</v>
      </c>
      <c r="EH154" s="17">
        <v>0.48247121479154681</v>
      </c>
      <c r="EI154" s="17">
        <v>0.30304876105074713</v>
      </c>
      <c r="EJ154" s="17">
        <v>0.37724124496021955</v>
      </c>
      <c r="EK154" s="17">
        <v>0.21247759412238085</v>
      </c>
      <c r="EL154" s="17">
        <v>0.24853545040953376</v>
      </c>
      <c r="EM154" s="17">
        <v>0.12794085510958939</v>
      </c>
      <c r="EN154" s="17">
        <v>0.14707223640502159</v>
      </c>
      <c r="EO154" s="17">
        <v>0.12397082680880837</v>
      </c>
      <c r="EP154" s="17">
        <v>0.38964298172752482</v>
      </c>
      <c r="EQ154" s="17">
        <v>0.1091455095205769</v>
      </c>
      <c r="ER154" s="17">
        <v>0.10265546417747851</v>
      </c>
      <c r="ES154" s="17">
        <v>0.21179065613840817</v>
      </c>
      <c r="ET154" s="17">
        <v>0.56050956542187824</v>
      </c>
      <c r="EU154" s="17">
        <v>0.26421982972230668</v>
      </c>
      <c r="EV154" s="17">
        <v>0.25360836707146855</v>
      </c>
      <c r="EW154" s="17">
        <v>0.45409763620407534</v>
      </c>
      <c r="EX154" s="17">
        <f>MEDIAN(tbl_Business_Travel_Spend[[#This Row],[Afghanistan]:[South Africa]])</f>
        <v>0.213925127990838</v>
      </c>
      <c r="EY154" s="51">
        <v>2025</v>
      </c>
      <c r="EZ154" s="51" t="s">
        <v>873</v>
      </c>
      <c r="FA154" s="77" t="s">
        <v>928</v>
      </c>
      <c r="FB154" s="31" t="s">
        <v>929</v>
      </c>
    </row>
    <row r="155" spans="2:158" ht="30" customHeight="1" x14ac:dyDescent="0.35">
      <c r="B155" s="22" t="s">
        <v>1200</v>
      </c>
      <c r="C155" s="55">
        <v>721000</v>
      </c>
      <c r="D155" s="55" t="s">
        <v>995</v>
      </c>
      <c r="E155" s="36">
        <v>0.45907221676759868</v>
      </c>
      <c r="F155" s="36">
        <v>0.38342912250388911</v>
      </c>
      <c r="G155" s="36">
        <v>0.33540183586706007</v>
      </c>
      <c r="H155" s="36">
        <v>0.48674935695011745</v>
      </c>
      <c r="I155" s="36">
        <v>0.47666890690686536</v>
      </c>
      <c r="J155" s="36">
        <v>0.42564781630112697</v>
      </c>
      <c r="K155" s="36">
        <v>0.42747279146816525</v>
      </c>
      <c r="L155" s="36">
        <v>0.13957822180958612</v>
      </c>
      <c r="M155" s="36">
        <v>0.20047786484297941</v>
      </c>
      <c r="N155" s="36">
        <v>0.29743289120821115</v>
      </c>
      <c r="O155" s="36">
        <v>0.37664667461045187</v>
      </c>
      <c r="P155" s="36">
        <v>0.27103496140284594</v>
      </c>
      <c r="Q155" s="36">
        <v>0.32691818643285658</v>
      </c>
      <c r="R155" s="36">
        <v>0.49725609804329707</v>
      </c>
      <c r="S155" s="36">
        <v>0.51306196126879489</v>
      </c>
      <c r="T155" s="36">
        <v>0.27611495483505671</v>
      </c>
      <c r="U155" s="36">
        <v>0.35644662028488849</v>
      </c>
      <c r="V155" s="36">
        <v>0.3832657259800627</v>
      </c>
      <c r="W155" s="36">
        <v>0.19345559122280562</v>
      </c>
      <c r="X155" s="36">
        <v>0.30246464467111706</v>
      </c>
      <c r="Y155" s="36">
        <v>0.3740328490973675</v>
      </c>
      <c r="Z155" s="36">
        <v>0.30961289133198633</v>
      </c>
      <c r="AA155" s="36">
        <v>0.34848287261128447</v>
      </c>
      <c r="AB155" s="36">
        <v>0.13866575468966102</v>
      </c>
      <c r="AC155" s="36">
        <v>0.30670506926700891</v>
      </c>
      <c r="AD155" s="36">
        <v>0.85112948245924736</v>
      </c>
      <c r="AE155" s="36">
        <v>0.25048168297738793</v>
      </c>
      <c r="AF155" s="36">
        <v>0.25147760179387968</v>
      </c>
      <c r="AG155" s="36">
        <v>0.37409122561301728</v>
      </c>
      <c r="AH155" s="36">
        <v>0.21291431673070699</v>
      </c>
      <c r="AI155" s="36">
        <v>0.18238158316562317</v>
      </c>
      <c r="AJ155" s="36">
        <v>0.43216769096798513</v>
      </c>
      <c r="AK155" s="36">
        <v>0.34109264405705725</v>
      </c>
      <c r="AL155" s="36">
        <v>0.25872191606248807</v>
      </c>
      <c r="AM155" s="36">
        <v>0.46298104443440913</v>
      </c>
      <c r="AN155" s="36">
        <v>0.11814329454222275</v>
      </c>
      <c r="AO155" s="36">
        <v>0.29317882351311486</v>
      </c>
      <c r="AP155" s="36">
        <v>0.57949311976281181</v>
      </c>
      <c r="AQ155" s="36">
        <v>0.28789891922712468</v>
      </c>
      <c r="AR155" s="36">
        <v>0.67396442561392012</v>
      </c>
      <c r="AS155" s="36">
        <v>0.21045244532245727</v>
      </c>
      <c r="AT155" s="36">
        <v>0.73548265651182221</v>
      </c>
      <c r="AU155" s="36">
        <v>0.20595532477075698</v>
      </c>
      <c r="AV155" s="36">
        <v>0.13375858959941847</v>
      </c>
      <c r="AW155" s="36">
        <v>0.3844098173558001</v>
      </c>
      <c r="AX155" s="36">
        <v>0.13217987458815242</v>
      </c>
      <c r="AY155" s="36">
        <v>0.29107565517382489</v>
      </c>
      <c r="AZ155" s="36">
        <v>0.15091314701898931</v>
      </c>
      <c r="BA155" s="36">
        <v>0.32420080078860963</v>
      </c>
      <c r="BB155" s="36">
        <v>0.33983551885548546</v>
      </c>
      <c r="BC155" s="36">
        <v>0.26016810050601186</v>
      </c>
      <c r="BD155" s="36">
        <v>0.3474335693412503</v>
      </c>
      <c r="BE155" s="36">
        <v>0.29175592516278875</v>
      </c>
      <c r="BF155" s="36">
        <v>0.30285914616068782</v>
      </c>
      <c r="BG155" s="36">
        <v>0.27405901931870386</v>
      </c>
      <c r="BH155" s="36">
        <v>0.44033582690863537</v>
      </c>
      <c r="BI155" s="36">
        <v>0.41326664607416536</v>
      </c>
      <c r="BJ155" s="36">
        <v>0.24230002935615827</v>
      </c>
      <c r="BK155" s="36">
        <v>0.36738861706439657</v>
      </c>
      <c r="BL155" s="36">
        <v>0.34810343085013062</v>
      </c>
      <c r="BM155" s="36">
        <v>0.39034835792002931</v>
      </c>
      <c r="BN155" s="36">
        <v>0.75852797442976982</v>
      </c>
      <c r="BO155" s="36">
        <v>0.12816024362725162</v>
      </c>
      <c r="BP155" s="36">
        <v>0.76146280643463726</v>
      </c>
      <c r="BQ155" s="36">
        <v>0.69345818078638632</v>
      </c>
      <c r="BR155" s="36">
        <v>0.13219636813941971</v>
      </c>
      <c r="BS155" s="36">
        <v>0.29465583182522787</v>
      </c>
      <c r="BT155" s="36">
        <v>0.25684471316237956</v>
      </c>
      <c r="BU155" s="36">
        <v>0.40036168695308971</v>
      </c>
      <c r="BV155" s="36">
        <v>0.44683390383956956</v>
      </c>
      <c r="BW155" s="36">
        <v>0.40265524065960762</v>
      </c>
      <c r="BX155" s="36">
        <v>0.61653344888902251</v>
      </c>
      <c r="BY155" s="36">
        <v>0.20198816868829092</v>
      </c>
      <c r="BZ155" s="36">
        <v>0.46396934752398378</v>
      </c>
      <c r="CA155" s="36">
        <v>0.49548892324680377</v>
      </c>
      <c r="CB155" s="36">
        <v>0.30176460779970832</v>
      </c>
      <c r="CC155" s="36">
        <v>0.84434067766637022</v>
      </c>
      <c r="CD155" s="36">
        <v>0.62991749987920997</v>
      </c>
      <c r="CE155" s="36">
        <v>0.85593040594913861</v>
      </c>
      <c r="CF155" s="36">
        <v>0.38801108374496818</v>
      </c>
      <c r="CG155" s="36">
        <v>0.31324099045054005</v>
      </c>
      <c r="CH155" s="36">
        <v>0.29044295175424845</v>
      </c>
      <c r="CI155" s="36">
        <v>0.53376210827953541</v>
      </c>
      <c r="CJ155" s="36">
        <v>0.16361489284195366</v>
      </c>
      <c r="CK155" s="36">
        <v>0.14000885346205166</v>
      </c>
      <c r="CL155" s="36">
        <v>0.26276756078708546</v>
      </c>
      <c r="CM155" s="36">
        <v>0.51386678988437307</v>
      </c>
      <c r="CN155" s="36">
        <v>0.48682606842404558</v>
      </c>
      <c r="CO155" s="36">
        <v>0.48040016047110518</v>
      </c>
      <c r="CP155" s="36">
        <v>0.34240258220829423</v>
      </c>
      <c r="CQ155" s="36">
        <v>0.47536150370970354</v>
      </c>
      <c r="CR155" s="36">
        <v>0.27563592309093754</v>
      </c>
      <c r="CS155" s="36">
        <v>0.43609741586710188</v>
      </c>
      <c r="CT155" s="36">
        <v>0.3719304586910962</v>
      </c>
      <c r="CU155" s="36">
        <v>0.67399009666515863</v>
      </c>
      <c r="CV155" s="36">
        <v>0.36707395207161642</v>
      </c>
      <c r="CW155" s="36">
        <v>0.2876039947461787</v>
      </c>
      <c r="CX155" s="36">
        <v>0.79101184311747652</v>
      </c>
      <c r="CY155" s="36">
        <v>0.34547955391503299</v>
      </c>
      <c r="CZ155" s="36">
        <v>0.2739395812318125</v>
      </c>
      <c r="DA155" s="36">
        <v>0.29798397526674197</v>
      </c>
      <c r="DB155" s="36">
        <v>0.36474737845752409</v>
      </c>
      <c r="DC155" s="36">
        <v>0.20968355700137603</v>
      </c>
      <c r="DD155" s="36">
        <v>0.14747430671517006</v>
      </c>
      <c r="DE155" s="36">
        <v>0.30532770905868728</v>
      </c>
      <c r="DF155" s="36">
        <v>0.43648796134312251</v>
      </c>
      <c r="DG155" s="36">
        <v>0.18803618830435728</v>
      </c>
      <c r="DH155" s="36">
        <v>0.58595371667202556</v>
      </c>
      <c r="DI155" s="36">
        <v>0.44094410776717097</v>
      </c>
      <c r="DJ155" s="36">
        <v>0.17683864395639998</v>
      </c>
      <c r="DK155" s="36">
        <v>0.56985949197771579</v>
      </c>
      <c r="DL155" s="36">
        <v>0.32659196974127347</v>
      </c>
      <c r="DM155" s="36">
        <v>0.44828762088984525</v>
      </c>
      <c r="DN155" s="36">
        <v>0.2415014580645935</v>
      </c>
      <c r="DO155" s="36">
        <v>0.25648145420121521</v>
      </c>
      <c r="DP155" s="36">
        <v>0.57862614015331848</v>
      </c>
      <c r="DQ155" s="36">
        <v>0.19314193611893676</v>
      </c>
      <c r="DR155" s="36">
        <v>0.20186106593062872</v>
      </c>
      <c r="DS155" s="36">
        <v>1.1167331623547507</v>
      </c>
      <c r="DT155" s="36">
        <v>0.23446345964919854</v>
      </c>
      <c r="DU155" s="36">
        <v>0.79059908715273164</v>
      </c>
      <c r="DV155" s="36">
        <v>0.36949452372791214</v>
      </c>
      <c r="DW155" s="36">
        <v>0.43606829743865438</v>
      </c>
      <c r="DX155" s="36">
        <v>0.30696244220913788</v>
      </c>
      <c r="DY155" s="36">
        <v>0.29643401287081028</v>
      </c>
      <c r="DZ155" s="36">
        <v>0.31190738214452968</v>
      </c>
      <c r="EA155" s="36">
        <v>0.31376833515781466</v>
      </c>
      <c r="EB155" s="36">
        <v>0.27115547530517559</v>
      </c>
      <c r="EC155" s="36">
        <v>0.13397741113465125</v>
      </c>
      <c r="ED155" s="36">
        <v>0.32519960465540565</v>
      </c>
      <c r="EE155" s="36">
        <v>0.57693587197327345</v>
      </c>
      <c r="EF155" s="36">
        <v>0.28687180703704512</v>
      </c>
      <c r="EG155" s="36">
        <v>0.33323935474995436</v>
      </c>
      <c r="EH155" s="36">
        <v>1.1894008012150645</v>
      </c>
      <c r="EI155" s="36">
        <v>0.44146191918219352</v>
      </c>
      <c r="EJ155" s="36">
        <v>0.67195376379508664</v>
      </c>
      <c r="EK155" s="36">
        <v>0.4137409813179832</v>
      </c>
      <c r="EL155" s="36">
        <v>1.1100500025535258</v>
      </c>
      <c r="EM155" s="36">
        <v>0.46202356763952002</v>
      </c>
      <c r="EN155" s="36">
        <v>0.26657675015997173</v>
      </c>
      <c r="EO155" s="36">
        <v>0.18027895183745157</v>
      </c>
      <c r="EP155" s="36">
        <v>0.64580309665063385</v>
      </c>
      <c r="EQ155" s="36">
        <v>0.1540304277865755</v>
      </c>
      <c r="ER155" s="36">
        <v>0.16399355761943091</v>
      </c>
      <c r="ES155" s="36">
        <v>0.29886279390921355</v>
      </c>
      <c r="ET155" s="36">
        <v>1.1503170834981558</v>
      </c>
      <c r="EU155" s="36">
        <v>0.36880548856984746</v>
      </c>
      <c r="EV155" s="36">
        <v>0.36932266023385191</v>
      </c>
      <c r="EW155" s="36">
        <v>0.63838182841073843</v>
      </c>
      <c r="EX155" s="36">
        <f>MEDIAN(tbl_Business_Travel_Spend[[#This Row],[Afghanistan]:[South Africa]])</f>
        <v>0.342402582208294</v>
      </c>
      <c r="EY155" s="51">
        <v>2025</v>
      </c>
      <c r="EZ155" s="51" t="s">
        <v>873</v>
      </c>
      <c r="FA155" s="77" t="s">
        <v>928</v>
      </c>
      <c r="FB155" s="31" t="s">
        <v>929</v>
      </c>
    </row>
    <row r="156" spans="2:158" s="42" customFormat="1" ht="15" thickBot="1" x14ac:dyDescent="0.4"/>
    <row r="157" spans="2:158" ht="15" thickTop="1" x14ac:dyDescent="0.35"/>
    <row r="158" spans="2:158" ht="17" x14ac:dyDescent="0.35">
      <c r="B158" s="41" t="s">
        <v>1160</v>
      </c>
      <c r="C158" s="67"/>
      <c r="D158" s="67"/>
      <c r="E158" s="67"/>
      <c r="F158" s="67"/>
      <c r="G158" s="67"/>
      <c r="H158" s="67"/>
      <c r="I158" s="67"/>
      <c r="J158" s="67"/>
      <c r="K158" s="67"/>
      <c r="L158" s="67"/>
      <c r="M158" s="67"/>
    </row>
    <row r="160" spans="2:158" ht="30" customHeight="1" x14ac:dyDescent="0.35">
      <c r="B160" s="19" t="s">
        <v>1221</v>
      </c>
      <c r="C160" s="20" t="s">
        <v>1222</v>
      </c>
      <c r="D160" s="20" t="s">
        <v>40</v>
      </c>
      <c r="E160" s="20" t="s">
        <v>245</v>
      </c>
      <c r="F160" s="20" t="s">
        <v>1228</v>
      </c>
      <c r="G160" s="20" t="s">
        <v>246</v>
      </c>
      <c r="H160" s="20" t="s">
        <v>247</v>
      </c>
      <c r="I160" s="20" t="s">
        <v>248</v>
      </c>
      <c r="J160" s="20" t="s">
        <v>1224</v>
      </c>
      <c r="K160" s="20" t="s">
        <v>38</v>
      </c>
      <c r="L160" s="20" t="s">
        <v>46</v>
      </c>
      <c r="M160" s="21" t="s">
        <v>47</v>
      </c>
    </row>
    <row r="161" spans="2:158" x14ac:dyDescent="0.35">
      <c r="B161" s="18" t="s">
        <v>1173</v>
      </c>
      <c r="C161" s="9" t="s">
        <v>1225</v>
      </c>
      <c r="D161" s="9" t="s">
        <v>72</v>
      </c>
      <c r="E161" s="17">
        <v>0.16725000000000001</v>
      </c>
      <c r="F161" s="17">
        <f t="shared" ref="F161:F164" si="0">E161+J161</f>
        <v>0.21124</v>
      </c>
      <c r="G161" s="17">
        <v>0.16608000000000001</v>
      </c>
      <c r="H161" s="17">
        <v>1.9000000000000001E-4</v>
      </c>
      <c r="I161" s="17">
        <v>9.7999999999999997E-4</v>
      </c>
      <c r="J161" s="17">
        <v>4.3990000000000001E-2</v>
      </c>
      <c r="K161" s="9" t="s">
        <v>53</v>
      </c>
      <c r="L161" s="9">
        <v>2025</v>
      </c>
      <c r="M161" s="35" t="s">
        <v>54</v>
      </c>
    </row>
    <row r="162" spans="2:158" x14ac:dyDescent="0.35">
      <c r="B162" s="18" t="s">
        <v>1170</v>
      </c>
      <c r="C162" s="9" t="s">
        <v>1226</v>
      </c>
      <c r="D162" s="9" t="s">
        <v>1223</v>
      </c>
      <c r="E162" s="17">
        <v>2.86E-2</v>
      </c>
      <c r="F162" s="17">
        <f t="shared" si="0"/>
        <v>0.03609</v>
      </c>
      <c r="G162" s="17">
        <v>2.8320000000000001E-2</v>
      </c>
      <c r="H162" s="17">
        <v>1.2E-4</v>
      </c>
      <c r="I162" s="17">
        <v>1.6000000000000001E-4</v>
      </c>
      <c r="J162" s="17">
        <v>7.4900000000000001E-3</v>
      </c>
      <c r="K162" s="9" t="s">
        <v>53</v>
      </c>
      <c r="L162" s="9">
        <v>2025</v>
      </c>
      <c r="M162" s="10" t="s">
        <v>54</v>
      </c>
    </row>
    <row r="163" spans="2:158" x14ac:dyDescent="0.35">
      <c r="B163" s="18" t="s">
        <v>1176</v>
      </c>
      <c r="C163" s="9" t="s">
        <v>1177</v>
      </c>
      <c r="D163" s="9" t="s">
        <v>1223</v>
      </c>
      <c r="E163" s="17">
        <v>0.10385</v>
      </c>
      <c r="F163" s="17">
        <f t="shared" si="0"/>
        <v>0.13034</v>
      </c>
      <c r="G163" s="17">
        <v>0.10310999999999999</v>
      </c>
      <c r="H163" s="17">
        <v>1.0000000000000001E-5</v>
      </c>
      <c r="I163" s="17">
        <v>7.2999999999999996E-4</v>
      </c>
      <c r="J163" s="17">
        <v>2.649E-2</v>
      </c>
      <c r="K163" s="9" t="s">
        <v>53</v>
      </c>
      <c r="L163" s="9">
        <v>2025</v>
      </c>
      <c r="M163" s="10" t="s">
        <v>54</v>
      </c>
    </row>
    <row r="164" spans="2:158" x14ac:dyDescent="0.35">
      <c r="B164" s="22" t="s">
        <v>1220</v>
      </c>
      <c r="C164" s="55" t="s">
        <v>1227</v>
      </c>
      <c r="D164" s="55" t="s">
        <v>72</v>
      </c>
      <c r="E164" s="36">
        <v>0</v>
      </c>
      <c r="F164" s="36">
        <f t="shared" si="0"/>
        <v>0</v>
      </c>
      <c r="G164" s="36">
        <v>0</v>
      </c>
      <c r="H164" s="36">
        <v>0</v>
      </c>
      <c r="I164" s="36">
        <v>0</v>
      </c>
      <c r="J164" s="36">
        <v>0</v>
      </c>
      <c r="K164" s="55" t="s">
        <v>53</v>
      </c>
      <c r="L164" s="55">
        <v>2025</v>
      </c>
      <c r="M164" s="26" t="s">
        <v>54</v>
      </c>
    </row>
    <row r="165" spans="2:158" s="42" customFormat="1" ht="15" thickBot="1" x14ac:dyDescent="0.4"/>
    <row r="166" spans="2:158" ht="15" thickTop="1" x14ac:dyDescent="0.35"/>
    <row r="167" spans="2:158" ht="17" x14ac:dyDescent="0.35">
      <c r="B167" s="41" t="s">
        <v>2580</v>
      </c>
      <c r="C167" s="67"/>
      <c r="D167" s="67"/>
      <c r="E167" s="67"/>
      <c r="F167" s="67"/>
      <c r="G167" s="67"/>
      <c r="H167" s="67"/>
      <c r="I167" s="67"/>
      <c r="J167" s="67"/>
      <c r="K167" s="67"/>
      <c r="L167" s="67"/>
      <c r="M167" s="67"/>
      <c r="N167" s="67"/>
      <c r="O167" s="67"/>
      <c r="P167" s="67"/>
      <c r="Q167" s="67"/>
      <c r="R167" s="67"/>
      <c r="S167" s="67"/>
      <c r="T167" s="67"/>
      <c r="U167" s="67"/>
      <c r="V167" s="67"/>
      <c r="W167" s="67"/>
      <c r="X167" s="67"/>
      <c r="Y167" s="67"/>
      <c r="Z167" s="67"/>
      <c r="AA167" s="67"/>
      <c r="AB167" s="67"/>
      <c r="AC167" s="67"/>
      <c r="AD167" s="67"/>
      <c r="AE167" s="67"/>
      <c r="AF167" s="67"/>
      <c r="AG167" s="67"/>
      <c r="AH167" s="67"/>
      <c r="AI167" s="67"/>
      <c r="AJ167" s="67"/>
      <c r="AK167" s="67"/>
      <c r="AL167" s="67"/>
      <c r="AM167" s="67"/>
      <c r="AN167" s="67"/>
      <c r="AO167" s="67"/>
      <c r="AP167" s="67"/>
      <c r="AQ167" s="67"/>
      <c r="AR167" s="67"/>
      <c r="AS167" s="67"/>
      <c r="AT167" s="67"/>
      <c r="AU167" s="67"/>
      <c r="AV167" s="67"/>
      <c r="AW167" s="67"/>
      <c r="AX167" s="67"/>
      <c r="AY167" s="67"/>
      <c r="AZ167" s="67"/>
      <c r="BA167" s="67"/>
      <c r="BB167" s="67"/>
      <c r="BC167" s="67"/>
      <c r="BD167" s="67"/>
      <c r="BE167" s="67"/>
      <c r="BF167" s="67"/>
      <c r="BG167" s="67"/>
      <c r="BH167" s="67"/>
      <c r="BI167" s="67"/>
      <c r="BJ167" s="67"/>
      <c r="BK167" s="67"/>
      <c r="BL167" s="67"/>
      <c r="BM167" s="67"/>
      <c r="BN167" s="67"/>
      <c r="BO167" s="67"/>
      <c r="BP167" s="67"/>
      <c r="BQ167" s="67"/>
      <c r="BR167" s="67"/>
      <c r="BS167" s="67"/>
      <c r="BT167" s="67"/>
      <c r="BU167" s="67"/>
      <c r="BV167" s="67"/>
      <c r="BW167" s="67"/>
      <c r="BX167" s="67"/>
      <c r="BY167" s="67"/>
      <c r="BZ167" s="67"/>
      <c r="CA167" s="67"/>
      <c r="CB167" s="67"/>
      <c r="CC167" s="67"/>
      <c r="CD167" s="67"/>
      <c r="CE167" s="67"/>
      <c r="CF167" s="67"/>
      <c r="CG167" s="67"/>
      <c r="CH167" s="67"/>
      <c r="CI167" s="67"/>
      <c r="CJ167" s="67"/>
      <c r="CK167" s="67"/>
      <c r="CL167" s="67"/>
      <c r="CM167" s="67"/>
      <c r="CN167" s="67"/>
      <c r="CO167" s="67"/>
      <c r="CP167" s="67"/>
      <c r="CQ167" s="67"/>
      <c r="CR167" s="67"/>
      <c r="CS167" s="67"/>
      <c r="CT167" s="67"/>
      <c r="CU167" s="67"/>
      <c r="CV167" s="67"/>
      <c r="CW167" s="67"/>
      <c r="CX167" s="67"/>
      <c r="CY167" s="67"/>
      <c r="CZ167" s="67"/>
      <c r="DA167" s="67"/>
      <c r="DB167" s="67"/>
      <c r="DC167" s="67"/>
      <c r="DD167" s="67"/>
      <c r="DE167" s="67"/>
      <c r="DF167" s="67"/>
      <c r="DG167" s="67"/>
      <c r="DH167" s="67"/>
      <c r="DI167" s="67"/>
      <c r="DJ167" s="67"/>
      <c r="DK167" s="67"/>
      <c r="DL167" s="67"/>
      <c r="DM167" s="67"/>
      <c r="DN167" s="67"/>
      <c r="DO167" s="67"/>
      <c r="DP167" s="67"/>
      <c r="DQ167" s="67"/>
      <c r="DR167" s="67"/>
      <c r="DS167" s="67"/>
      <c r="DT167" s="67"/>
      <c r="DU167" s="67"/>
      <c r="DV167" s="67"/>
      <c r="DW167" s="67"/>
      <c r="DX167" s="67"/>
      <c r="DY167" s="67"/>
      <c r="DZ167" s="67"/>
      <c r="EA167" s="67"/>
      <c r="EB167" s="67"/>
      <c r="EC167" s="67"/>
      <c r="ED167" s="67"/>
      <c r="EE167" s="67"/>
      <c r="EF167" s="67"/>
      <c r="EG167" s="67"/>
      <c r="EH167" s="67"/>
      <c r="EI167" s="67"/>
      <c r="EJ167" s="67"/>
      <c r="EK167" s="67"/>
      <c r="EL167" s="67"/>
      <c r="EM167" s="67"/>
      <c r="EN167" s="67"/>
      <c r="EO167" s="67"/>
      <c r="EP167" s="67"/>
      <c r="EQ167" s="67"/>
      <c r="ER167" s="67"/>
      <c r="ES167" s="67"/>
      <c r="ET167" s="67"/>
      <c r="EU167" s="67"/>
      <c r="EV167" s="67"/>
      <c r="EW167" s="67"/>
      <c r="EX167" s="67"/>
      <c r="EY167" s="67"/>
      <c r="EZ167" s="67"/>
      <c r="FA167" s="67"/>
      <c r="FB167" s="67"/>
    </row>
    <row r="169" spans="2:158" x14ac:dyDescent="0.35">
      <c r="B169" s="68" t="s">
        <v>875</v>
      </c>
      <c r="C169" s="69" t="s">
        <v>877</v>
      </c>
      <c r="D169" s="69" t="s">
        <v>876</v>
      </c>
      <c r="E169" s="69" t="s">
        <v>879</v>
      </c>
      <c r="F169" s="69" t="s">
        <v>714</v>
      </c>
      <c r="G169" s="69" t="s">
        <v>807</v>
      </c>
      <c r="H169" s="69" t="s">
        <v>651</v>
      </c>
      <c r="I169" s="69" t="s">
        <v>597</v>
      </c>
      <c r="J169" s="69" t="s">
        <v>880</v>
      </c>
      <c r="K169" s="69" t="s">
        <v>437</v>
      </c>
      <c r="L169" s="69" t="s">
        <v>324</v>
      </c>
      <c r="M169" s="69" t="s">
        <v>881</v>
      </c>
      <c r="N169" s="69" t="s">
        <v>404</v>
      </c>
      <c r="O169" s="69" t="s">
        <v>705</v>
      </c>
      <c r="P169" s="69" t="s">
        <v>473</v>
      </c>
      <c r="Q169" s="69" t="s">
        <v>654</v>
      </c>
      <c r="R169" s="69" t="s">
        <v>409</v>
      </c>
      <c r="S169" s="69" t="s">
        <v>756</v>
      </c>
      <c r="T169" s="69" t="s">
        <v>882</v>
      </c>
      <c r="U169" s="69" t="s">
        <v>883</v>
      </c>
      <c r="V169" s="69" t="s">
        <v>594</v>
      </c>
      <c r="W169" s="69" t="s">
        <v>358</v>
      </c>
      <c r="X169" s="69" t="s">
        <v>884</v>
      </c>
      <c r="Y169" s="69" t="s">
        <v>885</v>
      </c>
      <c r="Z169" s="69" t="s">
        <v>886</v>
      </c>
      <c r="AA169" s="69" t="s">
        <v>423</v>
      </c>
      <c r="AB169" s="69" t="s">
        <v>446</v>
      </c>
      <c r="AC169" s="69" t="s">
        <v>627</v>
      </c>
      <c r="AD169" s="69" t="s">
        <v>516</v>
      </c>
      <c r="AE169" s="69" t="s">
        <v>887</v>
      </c>
      <c r="AF169" s="69" t="s">
        <v>451</v>
      </c>
      <c r="AG169" s="69" t="s">
        <v>888</v>
      </c>
      <c r="AH169" s="69" t="s">
        <v>460</v>
      </c>
      <c r="AI169" s="69" t="s">
        <v>495</v>
      </c>
      <c r="AJ169" s="69" t="s">
        <v>263</v>
      </c>
      <c r="AK169" s="69" t="s">
        <v>889</v>
      </c>
      <c r="AL169" s="69" t="s">
        <v>306</v>
      </c>
      <c r="AM169" s="69" t="s">
        <v>890</v>
      </c>
      <c r="AN169" s="69" t="s">
        <v>279</v>
      </c>
      <c r="AO169" s="69" t="s">
        <v>532</v>
      </c>
      <c r="AP169" s="69" t="s">
        <v>723</v>
      </c>
      <c r="AQ169" s="69" t="s">
        <v>389</v>
      </c>
      <c r="AR169" s="69" t="s">
        <v>696</v>
      </c>
      <c r="AS169" s="69" t="s">
        <v>470</v>
      </c>
      <c r="AT169" s="69" t="s">
        <v>417</v>
      </c>
      <c r="AU169" s="69" t="s">
        <v>780</v>
      </c>
      <c r="AV169" s="69" t="s">
        <v>300</v>
      </c>
      <c r="AW169" s="69" t="s">
        <v>891</v>
      </c>
      <c r="AX169" s="69" t="s">
        <v>440</v>
      </c>
      <c r="AY169" s="69" t="s">
        <v>624</v>
      </c>
      <c r="AZ169" s="69" t="s">
        <v>377</v>
      </c>
      <c r="BA169" s="69" t="s">
        <v>892</v>
      </c>
      <c r="BB169" s="69" t="s">
        <v>893</v>
      </c>
      <c r="BC169" s="69" t="s">
        <v>894</v>
      </c>
      <c r="BD169" s="69" t="s">
        <v>747</v>
      </c>
      <c r="BE169" s="69" t="s">
        <v>309</v>
      </c>
      <c r="BF169" s="69" t="s">
        <v>895</v>
      </c>
      <c r="BG169" s="69" t="s">
        <v>588</v>
      </c>
      <c r="BH169" s="69" t="s">
        <v>896</v>
      </c>
      <c r="BI169" s="69" t="s">
        <v>580</v>
      </c>
      <c r="BJ169" s="69" t="s">
        <v>454</v>
      </c>
      <c r="BK169" s="69" t="s">
        <v>768</v>
      </c>
      <c r="BL169" s="69" t="s">
        <v>457</v>
      </c>
      <c r="BM169" s="69" t="s">
        <v>545</v>
      </c>
      <c r="BN169" s="69" t="s">
        <v>591</v>
      </c>
      <c r="BO169" s="69" t="s">
        <v>434</v>
      </c>
      <c r="BP169" s="69" t="s">
        <v>897</v>
      </c>
      <c r="BQ169" s="69" t="s">
        <v>726</v>
      </c>
      <c r="BR169" s="69" t="s">
        <v>792</v>
      </c>
      <c r="BS169" s="69" t="s">
        <v>660</v>
      </c>
      <c r="BT169" s="69" t="s">
        <v>366</v>
      </c>
      <c r="BU169" s="69" t="s">
        <v>633</v>
      </c>
      <c r="BV169" s="69" t="s">
        <v>321</v>
      </c>
      <c r="BW169" s="69" t="s">
        <v>343</v>
      </c>
      <c r="BX169" s="69" t="s">
        <v>349</v>
      </c>
      <c r="BY169" s="69" t="s">
        <v>492</v>
      </c>
      <c r="BZ169" s="69" t="s">
        <v>576</v>
      </c>
      <c r="CA169" s="69" t="s">
        <v>898</v>
      </c>
      <c r="CB169" s="69" t="s">
        <v>899</v>
      </c>
      <c r="CC169" s="69" t="s">
        <v>392</v>
      </c>
      <c r="CD169" s="69" t="s">
        <v>729</v>
      </c>
      <c r="CE169" s="69" t="s">
        <v>900</v>
      </c>
      <c r="CF169" s="69" t="s">
        <v>774</v>
      </c>
      <c r="CG169" s="69" t="s">
        <v>901</v>
      </c>
      <c r="CH169" s="69" t="s">
        <v>618</v>
      </c>
      <c r="CI169" s="69" t="s">
        <v>902</v>
      </c>
      <c r="CJ169" s="69" t="s">
        <v>282</v>
      </c>
      <c r="CK169" s="69" t="s">
        <v>288</v>
      </c>
      <c r="CL169" s="69" t="s">
        <v>297</v>
      </c>
      <c r="CM169" s="69" t="s">
        <v>669</v>
      </c>
      <c r="CN169" s="69" t="s">
        <v>903</v>
      </c>
      <c r="CO169" s="69" t="s">
        <v>904</v>
      </c>
      <c r="CP169" s="69" t="s">
        <v>636</v>
      </c>
      <c r="CQ169" s="69" t="s">
        <v>905</v>
      </c>
      <c r="CR169" s="69" t="s">
        <v>639</v>
      </c>
      <c r="CS169" s="69" t="s">
        <v>267</v>
      </c>
      <c r="CT169" s="69" t="s">
        <v>565</v>
      </c>
      <c r="CU169" s="69" t="s">
        <v>675</v>
      </c>
      <c r="CV169" s="69" t="s">
        <v>537</v>
      </c>
      <c r="CW169" s="69" t="s">
        <v>906</v>
      </c>
      <c r="CX169" s="69" t="s">
        <v>465</v>
      </c>
      <c r="CY169" s="69" t="s">
        <v>690</v>
      </c>
      <c r="CZ169" s="69" t="s">
        <v>681</v>
      </c>
      <c r="DA169" s="69" t="s">
        <v>732</v>
      </c>
      <c r="DB169" s="69" t="s">
        <v>556</v>
      </c>
      <c r="DC169" s="69" t="s">
        <v>443</v>
      </c>
      <c r="DD169" s="69" t="s">
        <v>333</v>
      </c>
      <c r="DE169" s="69" t="s">
        <v>777</v>
      </c>
      <c r="DF169" s="69" t="s">
        <v>907</v>
      </c>
      <c r="DG169" s="69" t="s">
        <v>603</v>
      </c>
      <c r="DH169" s="69" t="s">
        <v>693</v>
      </c>
      <c r="DI169" s="69" t="s">
        <v>571</v>
      </c>
      <c r="DJ169" s="69" t="s">
        <v>559</v>
      </c>
      <c r="DK169" s="69" t="s">
        <v>551</v>
      </c>
      <c r="DL169" s="69" t="s">
        <v>908</v>
      </c>
      <c r="DM169" s="69" t="s">
        <v>330</v>
      </c>
      <c r="DN169" s="69" t="s">
        <v>478</v>
      </c>
      <c r="DO169" s="69" t="s">
        <v>414</v>
      </c>
      <c r="DP169" s="69" t="s">
        <v>720</v>
      </c>
      <c r="DQ169" s="69" t="s">
        <v>401</v>
      </c>
      <c r="DR169" s="69" t="s">
        <v>909</v>
      </c>
      <c r="DS169" s="69" t="s">
        <v>910</v>
      </c>
      <c r="DT169" s="69" t="s">
        <v>361</v>
      </c>
      <c r="DU169" s="69" t="s">
        <v>735</v>
      </c>
      <c r="DV169" s="69" t="s">
        <v>621</v>
      </c>
      <c r="DW169" s="69" t="s">
        <v>521</v>
      </c>
      <c r="DX169" s="69" t="s">
        <v>911</v>
      </c>
      <c r="DY169" s="69" t="s">
        <v>912</v>
      </c>
      <c r="DZ169" s="69" t="s">
        <v>568</v>
      </c>
      <c r="EA169" s="69" t="s">
        <v>913</v>
      </c>
      <c r="EB169" s="69" t="s">
        <v>291</v>
      </c>
      <c r="EC169" s="69" t="s">
        <v>303</v>
      </c>
      <c r="ED169" s="69" t="s">
        <v>914</v>
      </c>
      <c r="EE169" s="69" t="s">
        <v>915</v>
      </c>
      <c r="EF169" s="69" t="s">
        <v>798</v>
      </c>
      <c r="EG169" s="69" t="s">
        <v>524</v>
      </c>
      <c r="EH169" s="69" t="s">
        <v>585</v>
      </c>
      <c r="EI169" s="69" t="s">
        <v>916</v>
      </c>
      <c r="EJ169" s="69" t="s">
        <v>738</v>
      </c>
      <c r="EK169" s="69" t="s">
        <v>702</v>
      </c>
      <c r="EL169" s="69" t="s">
        <v>917</v>
      </c>
      <c r="EM169" s="69" t="s">
        <v>918</v>
      </c>
      <c r="EN169" s="69" t="s">
        <v>919</v>
      </c>
      <c r="EO169" s="69" t="s">
        <v>501</v>
      </c>
      <c r="EP169" s="69" t="s">
        <v>294</v>
      </c>
      <c r="EQ169" s="69" t="s">
        <v>285</v>
      </c>
      <c r="ER169" s="69" t="s">
        <v>420</v>
      </c>
      <c r="ES169" s="69" t="s">
        <v>920</v>
      </c>
      <c r="ET169" s="69" t="s">
        <v>921</v>
      </c>
      <c r="EU169" s="69" t="s">
        <v>922</v>
      </c>
      <c r="EV169" s="69" t="s">
        <v>923</v>
      </c>
      <c r="EW169" s="69" t="s">
        <v>513</v>
      </c>
      <c r="EX169" s="70" t="s">
        <v>1000</v>
      </c>
      <c r="EY169" s="69" t="s">
        <v>252</v>
      </c>
      <c r="EZ169" s="69" t="s">
        <v>872</v>
      </c>
      <c r="FA169" s="69" t="s">
        <v>924</v>
      </c>
      <c r="FB169" s="70" t="s">
        <v>925</v>
      </c>
    </row>
    <row r="170" spans="2:158" x14ac:dyDescent="0.35">
      <c r="B170" s="18" t="s">
        <v>1243</v>
      </c>
      <c r="C170" s="14" t="s">
        <v>977</v>
      </c>
      <c r="D170" s="9" t="s">
        <v>978</v>
      </c>
      <c r="E170" s="17">
        <v>0.17271723290549157</v>
      </c>
      <c r="F170" s="17">
        <v>0.12375722985663738</v>
      </c>
      <c r="G170" s="17">
        <v>0.15320538089432872</v>
      </c>
      <c r="H170" s="17">
        <v>0.20137688795784922</v>
      </c>
      <c r="I170" s="17">
        <v>8.0560050529052407E-2</v>
      </c>
      <c r="J170" s="17">
        <v>0.19594481001174241</v>
      </c>
      <c r="K170" s="17">
        <v>7.1546559010913197E-2</v>
      </c>
      <c r="L170" s="17">
        <v>8.4078779268518339E-2</v>
      </c>
      <c r="M170" s="17">
        <v>9.1218387150107244E-2</v>
      </c>
      <c r="N170" s="17">
        <v>9.8162439763924261E-2</v>
      </c>
      <c r="O170" s="17">
        <v>0.17008595133259927</v>
      </c>
      <c r="P170" s="17">
        <v>0.11626502711947964</v>
      </c>
      <c r="Q170" s="17">
        <v>0.12817462773614044</v>
      </c>
      <c r="R170" s="17">
        <v>0.15385238501264309</v>
      </c>
      <c r="S170" s="17">
        <v>0.23309793698760117</v>
      </c>
      <c r="T170" s="17">
        <v>0.12147031498723714</v>
      </c>
      <c r="U170" s="17">
        <v>0.16019198120205461</v>
      </c>
      <c r="V170" s="17">
        <v>0.17073010644015549</v>
      </c>
      <c r="W170" s="17">
        <v>5.3492932447336536E-2</v>
      </c>
      <c r="X170" s="17">
        <v>0.13294231037530563</v>
      </c>
      <c r="Y170" s="17">
        <v>0.17863236606725391</v>
      </c>
      <c r="Z170" s="17">
        <v>0.13711878236703992</v>
      </c>
      <c r="AA170" s="17">
        <v>0.12247158726540232</v>
      </c>
      <c r="AB170" s="17">
        <v>3.0379463704781451E-2</v>
      </c>
      <c r="AC170" s="17">
        <v>6.8933278880135354E-2</v>
      </c>
      <c r="AD170" s="17">
        <v>0.10962430737427586</v>
      </c>
      <c r="AE170" s="17">
        <v>0.10094970623204383</v>
      </c>
      <c r="AF170" s="17">
        <v>0.10770446585708979</v>
      </c>
      <c r="AG170" s="17">
        <v>0.1701309826869864</v>
      </c>
      <c r="AH170" s="17">
        <v>3.3653126916226683E-2</v>
      </c>
      <c r="AI170" s="17">
        <v>0.12195939090754769</v>
      </c>
      <c r="AJ170" s="17">
        <v>0.13160447978968709</v>
      </c>
      <c r="AK170" s="17">
        <v>0.31015896987310282</v>
      </c>
      <c r="AL170" s="17">
        <v>4.8916317296552943E-2</v>
      </c>
      <c r="AM170" s="17">
        <v>0.21105364925672218</v>
      </c>
      <c r="AN170" s="17">
        <v>5.1949779982243517E-2</v>
      </c>
      <c r="AO170" s="17">
        <v>0.1232975083111716</v>
      </c>
      <c r="AP170" s="17">
        <v>0.23365532836027864</v>
      </c>
      <c r="AQ170" s="17">
        <v>0.13041591896115109</v>
      </c>
      <c r="AR170" s="17">
        <v>0.2691984850662551</v>
      </c>
      <c r="AS170" s="17">
        <v>3.12789699555798E-2</v>
      </c>
      <c r="AT170" s="17">
        <v>0.17062239963172801</v>
      </c>
      <c r="AU170" s="17">
        <v>9.8436430872325772E-2</v>
      </c>
      <c r="AV170" s="17">
        <v>5.3948226957404984E-2</v>
      </c>
      <c r="AW170" s="17">
        <v>0.17584805126868347</v>
      </c>
      <c r="AX170" s="17">
        <v>2.2969760173260627E-2</v>
      </c>
      <c r="AY170" s="17">
        <v>0.12847696792382388</v>
      </c>
      <c r="AZ170" s="17">
        <v>0.10740437960752242</v>
      </c>
      <c r="BA170" s="17">
        <v>0.14763492753454932</v>
      </c>
      <c r="BB170" s="17">
        <v>0.14692764587614746</v>
      </c>
      <c r="BC170" s="17">
        <v>0.11177633873358146</v>
      </c>
      <c r="BD170" s="17">
        <v>0.1518064319992056</v>
      </c>
      <c r="BE170" s="17">
        <v>5.5124744593680441E-2</v>
      </c>
      <c r="BF170" s="17">
        <v>0.13562462741446291</v>
      </c>
      <c r="BG170" s="17">
        <v>0.11788907414498445</v>
      </c>
      <c r="BH170" s="17">
        <v>9.1246815431558437E-2</v>
      </c>
      <c r="BI170" s="17">
        <v>0.18890599676893691</v>
      </c>
      <c r="BJ170" s="17">
        <v>0.15039639964423707</v>
      </c>
      <c r="BK170" s="17">
        <v>0.12817226589344236</v>
      </c>
      <c r="BL170" s="17">
        <v>0.17310692056401583</v>
      </c>
      <c r="BM170" s="17">
        <v>0.1243615835294973</v>
      </c>
      <c r="BN170" s="17">
        <v>0.14221093851578218</v>
      </c>
      <c r="BO170" s="17">
        <v>5.0653062897446338E-2</v>
      </c>
      <c r="BP170" s="17">
        <v>0.31281048443112958</v>
      </c>
      <c r="BQ170" s="17">
        <v>0.23955492934282113</v>
      </c>
      <c r="BR170" s="17">
        <v>5.1449947551940281E-2</v>
      </c>
      <c r="BS170" s="17">
        <v>2.3480839301295978E-2</v>
      </c>
      <c r="BT170" s="17">
        <v>4.4555626912915682E-2</v>
      </c>
      <c r="BU170" s="17">
        <v>0.18286278354796218</v>
      </c>
      <c r="BV170" s="17">
        <v>0.19113171634246898</v>
      </c>
      <c r="BW170" s="17">
        <v>2.1602791970119911E-2</v>
      </c>
      <c r="BX170" s="17">
        <v>0.26533790038874677</v>
      </c>
      <c r="BY170" s="17">
        <v>9.3711342118887639E-2</v>
      </c>
      <c r="BZ170" s="17">
        <v>0.30372142827209359</v>
      </c>
      <c r="CA170" s="17">
        <v>0.2299950190185068</v>
      </c>
      <c r="CB170" s="17">
        <v>0.13217059102747955</v>
      </c>
      <c r="CC170" s="17">
        <v>0.43395857964078433</v>
      </c>
      <c r="CD170" s="17">
        <v>0.20526605694044447</v>
      </c>
      <c r="CE170" s="17">
        <v>0.29563855688387214</v>
      </c>
      <c r="CF170" s="17">
        <v>0.171995859444601</v>
      </c>
      <c r="CG170" s="17">
        <v>0.13418152730356772</v>
      </c>
      <c r="CH170" s="17">
        <v>0.12142911728580116</v>
      </c>
      <c r="CI170" s="17">
        <v>0.24907569411091066</v>
      </c>
      <c r="CJ170" s="17">
        <v>0.15930617002147346</v>
      </c>
      <c r="CK170" s="17">
        <v>0.10136084040546579</v>
      </c>
      <c r="CL170" s="17">
        <v>8.0952567019044325E-2</v>
      </c>
      <c r="CM170" s="17">
        <v>2.6656584474072795E-2</v>
      </c>
      <c r="CN170" s="17">
        <v>0.20769841059355504</v>
      </c>
      <c r="CO170" s="17">
        <v>0.22211202968628477</v>
      </c>
      <c r="CP170" s="17">
        <v>3.3506503253635404E-2</v>
      </c>
      <c r="CQ170" s="17">
        <v>0.21718299022482462</v>
      </c>
      <c r="CR170" s="17">
        <v>0.12109627771858754</v>
      </c>
      <c r="CS170" s="17">
        <v>0.24067077412897564</v>
      </c>
      <c r="CT170" s="17">
        <v>0.46130981578413277</v>
      </c>
      <c r="CU170" s="17">
        <v>0.28154620951309023</v>
      </c>
      <c r="CV170" s="17">
        <v>0.16174046101014447</v>
      </c>
      <c r="CW170" s="17">
        <v>0.13215058910449673</v>
      </c>
      <c r="CX170" s="17">
        <v>0.44725806248810435</v>
      </c>
      <c r="CY170" s="17">
        <v>0.15004792215749688</v>
      </c>
      <c r="CZ170" s="17">
        <v>0.10383315152721445</v>
      </c>
      <c r="DA170" s="17">
        <v>0.11658693359244965</v>
      </c>
      <c r="DB170" s="17">
        <v>0.16795229539187093</v>
      </c>
      <c r="DC170" s="17">
        <v>8.859904759475902E-2</v>
      </c>
      <c r="DD170" s="17">
        <v>9.410289155915276E-2</v>
      </c>
      <c r="DE170" s="17">
        <v>0.14586254932600967</v>
      </c>
      <c r="DF170" s="17">
        <v>0.19680746117946005</v>
      </c>
      <c r="DG170" s="17">
        <v>8.4599828079114217E-2</v>
      </c>
      <c r="DH170" s="17">
        <v>0.23888547189905351</v>
      </c>
      <c r="DI170" s="17">
        <v>0.19535632696953234</v>
      </c>
      <c r="DJ170" s="17">
        <v>4.7270043555523056E-2</v>
      </c>
      <c r="DK170" s="17">
        <v>0.18329314010332826</v>
      </c>
      <c r="DL170" s="17">
        <v>0.14762659899101765</v>
      </c>
      <c r="DM170" s="17">
        <v>0.29117240241691639</v>
      </c>
      <c r="DN170" s="17">
        <v>4.24991432058461E-2</v>
      </c>
      <c r="DO170" s="17">
        <v>0.11901957447580849</v>
      </c>
      <c r="DP170" s="17">
        <v>0.18334946887163164</v>
      </c>
      <c r="DQ170" s="17">
        <v>6.6007073421059506E-2</v>
      </c>
      <c r="DR170" s="17">
        <v>9.7112337096519175E-2</v>
      </c>
      <c r="DS170" s="17">
        <v>0.43477687831512851</v>
      </c>
      <c r="DT170" s="17">
        <v>0.10370854997368542</v>
      </c>
      <c r="DU170" s="17">
        <v>8.4197726992971053E-2</v>
      </c>
      <c r="DV170" s="17">
        <v>0.15832376300952464</v>
      </c>
      <c r="DW170" s="17">
        <v>0.12556232263198969</v>
      </c>
      <c r="DX170" s="17">
        <v>0.13923985933370225</v>
      </c>
      <c r="DY170" s="17">
        <v>0.13258260431921534</v>
      </c>
      <c r="DZ170" s="17">
        <v>0.14568550027118468</v>
      </c>
      <c r="EA170" s="17">
        <v>0.13217677910275641</v>
      </c>
      <c r="EB170" s="17">
        <v>5.0811925845944864E-2</v>
      </c>
      <c r="EC170" s="17">
        <v>8.2356070610888246E-2</v>
      </c>
      <c r="ED170" s="17">
        <v>0.15150400400378211</v>
      </c>
      <c r="EE170" s="17">
        <v>0.27505294483167464</v>
      </c>
      <c r="EF170" s="17">
        <v>0.10920824946427914</v>
      </c>
      <c r="EG170" s="17">
        <v>0.14631819440744961</v>
      </c>
      <c r="EH170" s="17">
        <v>7.0616331562980306E-2</v>
      </c>
      <c r="EI170" s="17">
        <v>0.20246502486734563</v>
      </c>
      <c r="EJ170" s="17">
        <v>0.26968398014157957</v>
      </c>
      <c r="EK170" s="17">
        <v>0.10740644721184273</v>
      </c>
      <c r="EL170" s="17">
        <v>0.72187226883542421</v>
      </c>
      <c r="EM170" s="17">
        <v>8.0668187121326743E-2</v>
      </c>
      <c r="EN170" s="17">
        <v>9.7131122233019687E-2</v>
      </c>
      <c r="EO170" s="17">
        <v>8.6356478798048836E-2</v>
      </c>
      <c r="EP170" s="17">
        <v>0.28330375584005513</v>
      </c>
      <c r="EQ170" s="17">
        <v>7.2815096139082713E-2</v>
      </c>
      <c r="ER170" s="17">
        <v>1.8185667349617528E-2</v>
      </c>
      <c r="ES170" s="17">
        <v>0.13363388217779301</v>
      </c>
      <c r="ET170" s="17">
        <v>0.83814797665342522</v>
      </c>
      <c r="EU170" s="17">
        <v>0.16397754282279051</v>
      </c>
      <c r="EV170" s="17">
        <v>0.16722114693013457</v>
      </c>
      <c r="EW170" s="17">
        <v>0.20587418480021569</v>
      </c>
      <c r="EX170" s="90">
        <f>MEDIAN(tbl_Upstream_Assets_EF[[#This Row],[Afghanistan]:[South Africa]])</f>
        <v>0.132942310375306</v>
      </c>
      <c r="EY170" s="51">
        <v>2025</v>
      </c>
      <c r="EZ170" s="51" t="s">
        <v>873</v>
      </c>
      <c r="FA170" s="77" t="s">
        <v>928</v>
      </c>
      <c r="FB170" s="114" t="s">
        <v>929</v>
      </c>
    </row>
    <row r="171" spans="2:158" x14ac:dyDescent="0.35">
      <c r="B171" s="18" t="s">
        <v>1243</v>
      </c>
      <c r="C171" s="14">
        <v>493000</v>
      </c>
      <c r="D171" s="9" t="s">
        <v>971</v>
      </c>
      <c r="E171" s="17">
        <v>0.42698600792951935</v>
      </c>
      <c r="F171" s="17">
        <v>0.31526425336211927</v>
      </c>
      <c r="G171" s="17">
        <v>0.33825929582322162</v>
      </c>
      <c r="H171" s="17">
        <v>0.47164298871653848</v>
      </c>
      <c r="I171" s="17">
        <v>0.53124474919510312</v>
      </c>
      <c r="J171" s="17">
        <v>0.41444613110381939</v>
      </c>
      <c r="K171" s="17">
        <v>0.20279177509560423</v>
      </c>
      <c r="L171" s="17">
        <v>0.11174511818551862</v>
      </c>
      <c r="M171" s="17">
        <v>0.18417819298103452</v>
      </c>
      <c r="N171" s="17">
        <v>0.18956719455576784</v>
      </c>
      <c r="O171" s="17">
        <v>0.4006182400689618</v>
      </c>
      <c r="P171" s="17">
        <v>0.25449146544046786</v>
      </c>
      <c r="Q171" s="17">
        <v>0.30465733246335774</v>
      </c>
      <c r="R171" s="17">
        <v>0.3585189579626199</v>
      </c>
      <c r="S171" s="17">
        <v>0.575269787856868</v>
      </c>
      <c r="T171" s="17">
        <v>0.25505929034083946</v>
      </c>
      <c r="U171" s="17">
        <v>0.33384407329226867</v>
      </c>
      <c r="V171" s="17">
        <v>0.40427548796997403</v>
      </c>
      <c r="W171" s="17">
        <v>0.12962178553369008</v>
      </c>
      <c r="X171" s="17">
        <v>0.28959343233646817</v>
      </c>
      <c r="Y171" s="17">
        <v>0.40107021109826535</v>
      </c>
      <c r="Z171" s="17">
        <v>0.28579010583202652</v>
      </c>
      <c r="AA171" s="17">
        <v>0.31978050313925466</v>
      </c>
      <c r="AB171" s="17">
        <v>0.20076085899653698</v>
      </c>
      <c r="AC171" s="17">
        <v>0.14809109815227273</v>
      </c>
      <c r="AD171" s="17">
        <v>1.0603881537837216</v>
      </c>
      <c r="AE171" s="17">
        <v>0.22845394412659176</v>
      </c>
      <c r="AF171" s="17">
        <v>0.2421831427866924</v>
      </c>
      <c r="AG171" s="17">
        <v>0.38701785086577872</v>
      </c>
      <c r="AH171" s="17">
        <v>0.13384263742004757</v>
      </c>
      <c r="AI171" s="17">
        <v>0.2012321929637213</v>
      </c>
      <c r="AJ171" s="17">
        <v>0.27705744350571643</v>
      </c>
      <c r="AK171" s="17">
        <v>0.35085740204224586</v>
      </c>
      <c r="AL171" s="17">
        <v>0.18926553442422103</v>
      </c>
      <c r="AM171" s="17">
        <v>0.44139166514427614</v>
      </c>
      <c r="AN171" s="17">
        <v>0.10664471159294797</v>
      </c>
      <c r="AO171" s="17">
        <v>0.28066253362570753</v>
      </c>
      <c r="AP171" s="17">
        <v>0.60001486740651166</v>
      </c>
      <c r="AQ171" s="17">
        <v>0.29491042559429037</v>
      </c>
      <c r="AR171" s="17">
        <v>0.69756154635330714</v>
      </c>
      <c r="AS171" s="17">
        <v>0.2250355992104579</v>
      </c>
      <c r="AT171" s="17">
        <v>0.45766259702376072</v>
      </c>
      <c r="AU171" s="17">
        <v>0.20880720406412107</v>
      </c>
      <c r="AV171" s="17">
        <v>0.20042596878876504</v>
      </c>
      <c r="AW171" s="17">
        <v>0.39175622278420252</v>
      </c>
      <c r="AX171" s="17">
        <v>9.2857979982949687E-2</v>
      </c>
      <c r="AY171" s="17">
        <v>0.29283114424386447</v>
      </c>
      <c r="AZ171" s="17">
        <v>0.13121009415688081</v>
      </c>
      <c r="BA171" s="17">
        <v>0.31263574250025034</v>
      </c>
      <c r="BB171" s="17">
        <v>0.33145929275641189</v>
      </c>
      <c r="BC171" s="17">
        <v>0.24413335426540259</v>
      </c>
      <c r="BD171" s="17">
        <v>0.34116626744311879</v>
      </c>
      <c r="BE171" s="17">
        <v>0.36201370531774957</v>
      </c>
      <c r="BF171" s="17">
        <v>0.2819363551276724</v>
      </c>
      <c r="BG171" s="17">
        <v>0.26316610682613406</v>
      </c>
      <c r="BH171" s="17">
        <v>0.80179948776733923</v>
      </c>
      <c r="BI171" s="17">
        <v>0.42125228976821499</v>
      </c>
      <c r="BJ171" s="17">
        <v>0.34155207831056883</v>
      </c>
      <c r="BK171" s="17">
        <v>0.30680882454126857</v>
      </c>
      <c r="BL171" s="17">
        <v>0.2646911968871094</v>
      </c>
      <c r="BM171" s="17">
        <v>0.63707465440476341</v>
      </c>
      <c r="BN171" s="17">
        <v>1.1385671292388413</v>
      </c>
      <c r="BO171" s="17">
        <v>0.15433727960585916</v>
      </c>
      <c r="BP171" s="17">
        <v>0.82229321427188318</v>
      </c>
      <c r="BQ171" s="17">
        <v>0.63830636071122338</v>
      </c>
      <c r="BR171" s="17">
        <v>0.14888541111951939</v>
      </c>
      <c r="BS171" s="17">
        <v>0.14436759895429774</v>
      </c>
      <c r="BT171" s="17">
        <v>0.19332992807278154</v>
      </c>
      <c r="BU171" s="17">
        <v>0.42525219873110504</v>
      </c>
      <c r="BV171" s="17">
        <v>0.46042143663027241</v>
      </c>
      <c r="BW171" s="17">
        <v>0.16288492225327855</v>
      </c>
      <c r="BX171" s="17">
        <v>0.35432913158916274</v>
      </c>
      <c r="BY171" s="17">
        <v>0.19983763405796259</v>
      </c>
      <c r="BZ171" s="17">
        <v>0.35996159099089681</v>
      </c>
      <c r="CA171" s="17">
        <v>0.47176881458117637</v>
      </c>
      <c r="CB171" s="17">
        <v>0.27303611608025252</v>
      </c>
      <c r="CC171" s="17">
        <v>0.54132506645931433</v>
      </c>
      <c r="CD171" s="17">
        <v>0.5658758015468246</v>
      </c>
      <c r="CE171" s="17">
        <v>1.3529521414469494</v>
      </c>
      <c r="CF171" s="17">
        <v>0.39946677656450474</v>
      </c>
      <c r="CG171" s="17">
        <v>0.28192974888962968</v>
      </c>
      <c r="CH171" s="17">
        <v>0.27415153187273483</v>
      </c>
      <c r="CI171" s="17">
        <v>0.50323631251975975</v>
      </c>
      <c r="CJ171" s="17">
        <v>0.15329564820754712</v>
      </c>
      <c r="CK171" s="17">
        <v>0.21090138988190688</v>
      </c>
      <c r="CL171" s="17">
        <v>0.20408207714845708</v>
      </c>
      <c r="CM171" s="17">
        <v>0.38835601385548579</v>
      </c>
      <c r="CN171" s="17">
        <v>0.51716183997052967</v>
      </c>
      <c r="CO171" s="17">
        <v>0.45771553856672031</v>
      </c>
      <c r="CP171" s="17">
        <v>0.25453491543804052</v>
      </c>
      <c r="CQ171" s="17">
        <v>0.49869970477047482</v>
      </c>
      <c r="CR171" s="17">
        <v>0.26141639862959992</v>
      </c>
      <c r="CS171" s="17">
        <v>0.51548545596104034</v>
      </c>
      <c r="CT171" s="17">
        <v>0.65969856962677653</v>
      </c>
      <c r="CU171" s="17">
        <v>0.8083098992064891</v>
      </c>
      <c r="CV171" s="17">
        <v>0.35042071421968951</v>
      </c>
      <c r="CW171" s="17">
        <v>0.2681373681213573</v>
      </c>
      <c r="CX171" s="17">
        <v>0.77553307987163878</v>
      </c>
      <c r="CY171" s="17">
        <v>0.33282476234235647</v>
      </c>
      <c r="CZ171" s="17">
        <v>0.23903451056442709</v>
      </c>
      <c r="DA171" s="17">
        <v>0.27597201972378638</v>
      </c>
      <c r="DB171" s="17">
        <v>0.37260220604867633</v>
      </c>
      <c r="DC171" s="17">
        <v>0.12753602352033871</v>
      </c>
      <c r="DD171" s="17">
        <v>0.26651140055774336</v>
      </c>
      <c r="DE171" s="17">
        <v>0.31833201128153155</v>
      </c>
      <c r="DF171" s="17">
        <v>0.36702975705191287</v>
      </c>
      <c r="DG171" s="17">
        <v>0.1151810035387543</v>
      </c>
      <c r="DH171" s="17">
        <v>0.6315140977844772</v>
      </c>
      <c r="DI171" s="17">
        <v>0.46275117850864195</v>
      </c>
      <c r="DJ171" s="17">
        <v>0.22793067200896414</v>
      </c>
      <c r="DK171" s="17">
        <v>0.4041526417702464</v>
      </c>
      <c r="DL171" s="17">
        <v>0.31968759708866368</v>
      </c>
      <c r="DM171" s="17">
        <v>0.41684870433473198</v>
      </c>
      <c r="DN171" s="17">
        <v>0.13428044695970956</v>
      </c>
      <c r="DO171" s="17">
        <v>0.25047102670819504</v>
      </c>
      <c r="DP171" s="17">
        <v>0.498155071892392</v>
      </c>
      <c r="DQ171" s="17">
        <v>0.22406799459549603</v>
      </c>
      <c r="DR171" s="17">
        <v>0.14565704816379241</v>
      </c>
      <c r="DS171" s="17">
        <v>0.74451388490009407</v>
      </c>
      <c r="DT171" s="17">
        <v>0.21222979396300626</v>
      </c>
      <c r="DU171" s="17">
        <v>0.59424883686428542</v>
      </c>
      <c r="DV171" s="17">
        <v>0.37053631521507957</v>
      </c>
      <c r="DW171" s="17">
        <v>0.38436427613697099</v>
      </c>
      <c r="DX171" s="17">
        <v>0.2880300530426409</v>
      </c>
      <c r="DY171" s="17">
        <v>0.28755487800753693</v>
      </c>
      <c r="DZ171" s="17">
        <v>0.30863715534889891</v>
      </c>
      <c r="EA171" s="17">
        <v>0.26300123183302709</v>
      </c>
      <c r="EB171" s="17">
        <v>0.32557360795871648</v>
      </c>
      <c r="EC171" s="17">
        <v>0.20806766722482634</v>
      </c>
      <c r="ED171" s="17">
        <v>0.33230612723950215</v>
      </c>
      <c r="EE171" s="17">
        <v>0.61543016195697897</v>
      </c>
      <c r="EF171" s="17">
        <v>0.23489330018975588</v>
      </c>
      <c r="EG171" s="17">
        <v>0.33714185753622911</v>
      </c>
      <c r="EH171" s="17">
        <v>0.95505591323655215</v>
      </c>
      <c r="EI171" s="17">
        <v>0.47972192843212824</v>
      </c>
      <c r="EJ171" s="17">
        <v>0.73922614782493223</v>
      </c>
      <c r="EK171" s="17">
        <v>0.23056887783381166</v>
      </c>
      <c r="EL171" s="17">
        <v>0.311365063497971</v>
      </c>
      <c r="EM171" s="17">
        <v>0.29996743415140575</v>
      </c>
      <c r="EN171" s="17">
        <v>0.23174495345703128</v>
      </c>
      <c r="EO171" s="17">
        <v>0.1794476211202321</v>
      </c>
      <c r="EP171" s="17">
        <v>0.78326798142853638</v>
      </c>
      <c r="EQ171" s="17">
        <v>0.14636878919761193</v>
      </c>
      <c r="ER171" s="17">
        <v>0.19477120454740662</v>
      </c>
      <c r="ES171" s="17">
        <v>0.27565413562948199</v>
      </c>
      <c r="ET171" s="17">
        <v>0.57002738913902062</v>
      </c>
      <c r="EU171" s="17">
        <v>0.33652850989358751</v>
      </c>
      <c r="EV171" s="17">
        <v>0.37545015232839551</v>
      </c>
      <c r="EW171" s="17">
        <v>0.63440466981771582</v>
      </c>
      <c r="EX171" s="90">
        <f>MEDIAN(tbl_Upstream_Assets_EF[[#This Row],[Afghanistan]:[South Africa]])</f>
        <v>0.318332011281532</v>
      </c>
      <c r="EY171" s="51">
        <v>2025</v>
      </c>
      <c r="EZ171" s="51" t="s">
        <v>873</v>
      </c>
      <c r="FA171" s="77" t="s">
        <v>928</v>
      </c>
      <c r="FB171" s="114" t="s">
        <v>929</v>
      </c>
    </row>
    <row r="172" spans="2:158" x14ac:dyDescent="0.35">
      <c r="B172" s="18" t="s">
        <v>1243</v>
      </c>
      <c r="C172" s="95" t="s">
        <v>975</v>
      </c>
      <c r="D172" s="9" t="s">
        <v>976</v>
      </c>
      <c r="E172" s="17">
        <v>9.0532357432745361E-2</v>
      </c>
      <c r="F172" s="17">
        <v>6.7870650157876675E-2</v>
      </c>
      <c r="G172" s="17">
        <v>8.0645917874581446E-2</v>
      </c>
      <c r="H172" s="17">
        <v>0.10824230300130998</v>
      </c>
      <c r="I172" s="17">
        <v>4.6734752917173335E-2</v>
      </c>
      <c r="J172" s="17">
        <v>0.10876189311439376</v>
      </c>
      <c r="K172" s="17">
        <v>4.2673391252325221E-2</v>
      </c>
      <c r="L172" s="17">
        <v>5.5703846211266922E-2</v>
      </c>
      <c r="M172" s="17">
        <v>5.0856701084481322E-2</v>
      </c>
      <c r="N172" s="17">
        <v>5.6321805891460422E-2</v>
      </c>
      <c r="O172" s="17">
        <v>8.2754651511737415E-2</v>
      </c>
      <c r="P172" s="17">
        <v>6.2388034512243333E-2</v>
      </c>
      <c r="Q172" s="17">
        <v>6.5751293226486054E-2</v>
      </c>
      <c r="R172" s="17">
        <v>0.10112916969455937</v>
      </c>
      <c r="S172" s="17">
        <v>0.11765036878206095</v>
      </c>
      <c r="T172" s="17">
        <v>6.723772667857536E-2</v>
      </c>
      <c r="U172" s="17">
        <v>8.960858060318222E-2</v>
      </c>
      <c r="V172" s="17">
        <v>8.2415060959448033E-2</v>
      </c>
      <c r="W172" s="17">
        <v>1.4347620660131087E-2</v>
      </c>
      <c r="X172" s="17">
        <v>7.1440138346857904E-2</v>
      </c>
      <c r="Y172" s="17">
        <v>9.2389853408822525E-2</v>
      </c>
      <c r="Z172" s="17">
        <v>7.6582586857089074E-2</v>
      </c>
      <c r="AA172" s="17">
        <v>8.3870609179839198E-2</v>
      </c>
      <c r="AB172" s="17">
        <v>2.7005680882071337E-2</v>
      </c>
      <c r="AC172" s="17">
        <v>4.848945930792678E-2</v>
      </c>
      <c r="AD172" s="17">
        <v>7.04274348480141E-2</v>
      </c>
      <c r="AE172" s="17">
        <v>5.3735765932353345E-2</v>
      </c>
      <c r="AF172" s="17">
        <v>5.5303266405041289E-2</v>
      </c>
      <c r="AG172" s="17">
        <v>8.8106409079183004E-2</v>
      </c>
      <c r="AH172" s="17">
        <v>2.7334558378759099E-2</v>
      </c>
      <c r="AI172" s="17">
        <v>4.504878483744424E-2</v>
      </c>
      <c r="AJ172" s="17">
        <v>5.8378919107229664E-2</v>
      </c>
      <c r="AK172" s="17">
        <v>0.16012879737321301</v>
      </c>
      <c r="AL172" s="17">
        <v>4.2625536423572689E-2</v>
      </c>
      <c r="AM172" s="17">
        <v>0.11861052437264986</v>
      </c>
      <c r="AN172" s="17">
        <v>3.6869643389904734E-2</v>
      </c>
      <c r="AO172" s="17">
        <v>6.3965023755841635E-2</v>
      </c>
      <c r="AP172" s="17">
        <v>0.1093140546341501</v>
      </c>
      <c r="AQ172" s="17">
        <v>6.4402961748820764E-2</v>
      </c>
      <c r="AR172" s="17">
        <v>0.12407637521972668</v>
      </c>
      <c r="AS172" s="17">
        <v>2.3765095222505656E-2</v>
      </c>
      <c r="AT172" s="17">
        <v>0.10842537305097609</v>
      </c>
      <c r="AU172" s="17">
        <v>5.0423628078604454E-2</v>
      </c>
      <c r="AV172" s="17">
        <v>4.1113025957683597E-2</v>
      </c>
      <c r="AW172" s="17">
        <v>9.3276433204880591E-2</v>
      </c>
      <c r="AX172" s="17">
        <v>1.7473706916461971E-2</v>
      </c>
      <c r="AY172" s="17">
        <v>6.3763473193620773E-2</v>
      </c>
      <c r="AZ172" s="17">
        <v>2.6871389603748151E-2</v>
      </c>
      <c r="BA172" s="17">
        <v>8.0737373689868885E-2</v>
      </c>
      <c r="BB172" s="17">
        <v>7.7399726706762664E-2</v>
      </c>
      <c r="BC172" s="17">
        <v>5.9909555283212554E-2</v>
      </c>
      <c r="BD172" s="17">
        <v>8.0161970679819242E-2</v>
      </c>
      <c r="BE172" s="17">
        <v>2.7981377219435135E-2</v>
      </c>
      <c r="BF172" s="17">
        <v>7.5495983728114932E-2</v>
      </c>
      <c r="BG172" s="17">
        <v>6.1617170434549569E-2</v>
      </c>
      <c r="BH172" s="17">
        <v>8.1588800326038519E-2</v>
      </c>
      <c r="BI172" s="17">
        <v>0.10097545888272061</v>
      </c>
      <c r="BJ172" s="17">
        <v>0.1258850691942516</v>
      </c>
      <c r="BK172" s="17">
        <v>7.1519905771925213E-2</v>
      </c>
      <c r="BL172" s="17">
        <v>9.7729850515690511E-2</v>
      </c>
      <c r="BM172" s="17">
        <v>0.10772427510461613</v>
      </c>
      <c r="BN172" s="17">
        <v>0.12439838450349867</v>
      </c>
      <c r="BO172" s="17">
        <v>3.664758880592002E-2</v>
      </c>
      <c r="BP172" s="17">
        <v>0.1399408817465666</v>
      </c>
      <c r="BQ172" s="17">
        <v>0.11741375228969163</v>
      </c>
      <c r="BR172" s="17">
        <v>5.0763001619827303E-2</v>
      </c>
      <c r="BS172" s="17">
        <v>2.043557105577147E-2</v>
      </c>
      <c r="BT172" s="17">
        <v>2.0800377443366869E-2</v>
      </c>
      <c r="BU172" s="17">
        <v>9.3240960978977952E-2</v>
      </c>
      <c r="BV172" s="17">
        <v>9.7614946872382674E-2</v>
      </c>
      <c r="BW172" s="17">
        <v>7.7931924393198154E-2</v>
      </c>
      <c r="BX172" s="17">
        <v>0.15611354834230073</v>
      </c>
      <c r="BY172" s="17">
        <v>4.8501339544841052E-2</v>
      </c>
      <c r="BZ172" s="17">
        <v>0.12195780675850236</v>
      </c>
      <c r="CA172" s="17">
        <v>0.13020251712259082</v>
      </c>
      <c r="CB172" s="17">
        <v>7.4586137267264666E-2</v>
      </c>
      <c r="CC172" s="17">
        <v>0.11113622344655177</v>
      </c>
      <c r="CD172" s="17">
        <v>0.10485831384671096</v>
      </c>
      <c r="CE172" s="17">
        <v>0.26657282667800025</v>
      </c>
      <c r="CF172" s="17">
        <v>8.8204442243696807E-2</v>
      </c>
      <c r="CG172" s="17">
        <v>7.5510941815872229E-2</v>
      </c>
      <c r="CH172" s="17">
        <v>6.3965564278459411E-2</v>
      </c>
      <c r="CI172" s="17">
        <v>0.14191932161531989</v>
      </c>
      <c r="CJ172" s="17">
        <v>7.0433235149775217E-2</v>
      </c>
      <c r="CK172" s="17">
        <v>6.7305946725046514E-2</v>
      </c>
      <c r="CL172" s="17">
        <v>5.4345507991806839E-2</v>
      </c>
      <c r="CM172" s="17">
        <v>1.8740498688387976E-2</v>
      </c>
      <c r="CN172" s="17">
        <v>0.1037067208754216</v>
      </c>
      <c r="CO172" s="17">
        <v>0.12549871010397637</v>
      </c>
      <c r="CP172" s="17">
        <v>2.2231013927487425E-2</v>
      </c>
      <c r="CQ172" s="17">
        <v>0.11513226785882789</v>
      </c>
      <c r="CR172" s="17">
        <v>6.5250137226297356E-2</v>
      </c>
      <c r="CS172" s="17">
        <v>0.21430687493735281</v>
      </c>
      <c r="CT172" s="17">
        <v>0.25457665623429859</v>
      </c>
      <c r="CU172" s="17">
        <v>0.12814332402334241</v>
      </c>
      <c r="CV172" s="17">
        <v>8.8608394430250786E-2</v>
      </c>
      <c r="CW172" s="17">
        <v>7.4064937140673179E-2</v>
      </c>
      <c r="CX172" s="17">
        <v>0.24551411227372613</v>
      </c>
      <c r="CY172" s="17">
        <v>8.0513865425407061E-2</v>
      </c>
      <c r="CZ172" s="17">
        <v>5.671422976763283E-2</v>
      </c>
      <c r="DA172" s="17">
        <v>5.9592768938347793E-2</v>
      </c>
      <c r="DB172" s="17">
        <v>8.8664281595026345E-2</v>
      </c>
      <c r="DC172" s="17">
        <v>5.6996658075891202E-2</v>
      </c>
      <c r="DD172" s="17">
        <v>5.8152725080188254E-2</v>
      </c>
      <c r="DE172" s="17">
        <v>7.5401266701304009E-2</v>
      </c>
      <c r="DF172" s="17">
        <v>0.11731034879494659</v>
      </c>
      <c r="DG172" s="17">
        <v>6.9650379554970693E-2</v>
      </c>
      <c r="DH172" s="17">
        <v>0.11157541070631745</v>
      </c>
      <c r="DI172" s="17">
        <v>9.1382613707878826E-2</v>
      </c>
      <c r="DJ172" s="17">
        <v>1.7591889978754677E-2</v>
      </c>
      <c r="DK172" s="17">
        <v>0.13086076880093098</v>
      </c>
      <c r="DL172" s="17">
        <v>7.9383931880065386E-2</v>
      </c>
      <c r="DM172" s="17">
        <v>0.18429821918965311</v>
      </c>
      <c r="DN172" s="17">
        <v>2.2995650577438943E-2</v>
      </c>
      <c r="DO172" s="17">
        <v>6.3823575669251023E-2</v>
      </c>
      <c r="DP172" s="17">
        <v>9.5586662032511649E-2</v>
      </c>
      <c r="DQ172" s="17">
        <v>4.6167641076691343E-2</v>
      </c>
      <c r="DR172" s="17">
        <v>0.1005299059177459</v>
      </c>
      <c r="DS172" s="17">
        <v>0.19291324136931151</v>
      </c>
      <c r="DT172" s="17">
        <v>5.8218709953180008E-2</v>
      </c>
      <c r="DU172" s="17">
        <v>7.635950830086792E-2</v>
      </c>
      <c r="DV172" s="17">
        <v>8.0608818875800362E-2</v>
      </c>
      <c r="DW172" s="17">
        <v>0.11292168518641169</v>
      </c>
      <c r="DX172" s="17">
        <v>7.7482010255147449E-2</v>
      </c>
      <c r="DY172" s="17">
        <v>7.0873957193220607E-2</v>
      </c>
      <c r="DZ172" s="17">
        <v>7.8651439622196881E-2</v>
      </c>
      <c r="EA172" s="17">
        <v>6.2324902681616889E-2</v>
      </c>
      <c r="EB172" s="17">
        <v>4.1023598056636218E-2</v>
      </c>
      <c r="EC172" s="17">
        <v>5.6340390646288596E-2</v>
      </c>
      <c r="ED172" s="17">
        <v>7.9384667692390054E-2</v>
      </c>
      <c r="EE172" s="17">
        <v>0.14756322715644324</v>
      </c>
      <c r="EF172" s="17">
        <v>6.3639042237913127E-2</v>
      </c>
      <c r="EG172" s="17">
        <v>7.3696721654031419E-2</v>
      </c>
      <c r="EH172" s="17">
        <v>6.2438837856078663E-2</v>
      </c>
      <c r="EI172" s="17">
        <v>0.10307435609581994</v>
      </c>
      <c r="EJ172" s="17">
        <v>0.1227145136134509</v>
      </c>
      <c r="EK172" s="17">
        <v>6.5591104365958441E-2</v>
      </c>
      <c r="EL172" s="17">
        <v>0.29362903775148003</v>
      </c>
      <c r="EM172" s="17">
        <v>6.9380994128263665E-2</v>
      </c>
      <c r="EN172" s="17">
        <v>5.2034362067104822E-2</v>
      </c>
      <c r="EO172" s="17">
        <v>4.5041692342629155E-2</v>
      </c>
      <c r="EP172" s="17">
        <v>0.12550022715614059</v>
      </c>
      <c r="EQ172" s="17">
        <v>3.9572701690733313E-2</v>
      </c>
      <c r="ER172" s="17">
        <v>1.8283914260020431E-2</v>
      </c>
      <c r="ES172" s="17">
        <v>7.484891593736609E-2</v>
      </c>
      <c r="ET172" s="17">
        <v>0.48383796163932508</v>
      </c>
      <c r="EU172" s="17">
        <v>9.3124095415882721E-2</v>
      </c>
      <c r="EV172" s="17">
        <v>8.7856064100164361E-2</v>
      </c>
      <c r="EW172" s="17">
        <v>0.12942660291484895</v>
      </c>
      <c r="EX172" s="90">
        <f>MEDIAN(tbl_Upstream_Assets_EF[[#This Row],[Afghanistan]:[South Africa]])</f>
        <v>0.0763595083008679</v>
      </c>
      <c r="EY172" s="51">
        <v>2025</v>
      </c>
      <c r="EZ172" s="51" t="s">
        <v>873</v>
      </c>
      <c r="FA172" s="77" t="s">
        <v>928</v>
      </c>
      <c r="FB172" s="114" t="s">
        <v>929</v>
      </c>
    </row>
    <row r="173" spans="2:158" x14ac:dyDescent="0.35">
      <c r="B173" s="18" t="s">
        <v>1244</v>
      </c>
      <c r="C173" s="95">
        <v>532100</v>
      </c>
      <c r="D173" s="9" t="s">
        <v>979</v>
      </c>
      <c r="E173" s="17">
        <v>0.6665227893703648</v>
      </c>
      <c r="F173" s="17">
        <v>0.44723515635934025</v>
      </c>
      <c r="G173" s="17">
        <v>0.52445017300838714</v>
      </c>
      <c r="H173" s="17">
        <v>0.72448663951316794</v>
      </c>
      <c r="I173" s="17">
        <v>0.41358331691057371</v>
      </c>
      <c r="J173" s="17">
        <v>0.58850263738465336</v>
      </c>
      <c r="K173" s="17">
        <v>0.28915956672032012</v>
      </c>
      <c r="L173" s="17">
        <v>0.25498088599354035</v>
      </c>
      <c r="M173" s="17">
        <v>0.2415740007331536</v>
      </c>
      <c r="N173" s="17">
        <v>0.30320602813263453</v>
      </c>
      <c r="O173" s="17">
        <v>0.69478623084858682</v>
      </c>
      <c r="P173" s="17">
        <v>0.3702885716485565</v>
      </c>
      <c r="Q173" s="17">
        <v>0.47893345267661747</v>
      </c>
      <c r="R173" s="17">
        <v>0.3151519805021577</v>
      </c>
      <c r="S173" s="17">
        <v>1.0236992460569259</v>
      </c>
      <c r="T173" s="17">
        <v>0.34718016840536825</v>
      </c>
      <c r="U173" s="17">
        <v>0.45214723855838573</v>
      </c>
      <c r="V173" s="17">
        <v>0.7036967481210471</v>
      </c>
      <c r="W173" s="17">
        <v>0.16104157693115223</v>
      </c>
      <c r="X173" s="17">
        <v>0.42451911944113307</v>
      </c>
      <c r="Y173" s="17">
        <v>0.65792289588677733</v>
      </c>
      <c r="Z173" s="17">
        <v>0.38330657627641079</v>
      </c>
      <c r="AA173" s="17">
        <v>0.58733415985040804</v>
      </c>
      <c r="AB173" s="17">
        <v>0.21982887787311167</v>
      </c>
      <c r="AC173" s="17">
        <v>0.29036128373437858</v>
      </c>
      <c r="AD173" s="17">
        <v>1.1441800210464117</v>
      </c>
      <c r="AE173" s="17">
        <v>0.33583666380301647</v>
      </c>
      <c r="AF173" s="17">
        <v>0.37819308741915975</v>
      </c>
      <c r="AG173" s="17">
        <v>0.62534031209606356</v>
      </c>
      <c r="AH173" s="17">
        <v>0.25307931222342328</v>
      </c>
      <c r="AI173" s="17">
        <v>0.25950489353677958</v>
      </c>
      <c r="AJ173" s="17">
        <v>0.22212750209156892</v>
      </c>
      <c r="AK173" s="17">
        <v>0.49547096939719221</v>
      </c>
      <c r="AL173" s="17">
        <v>0.25976247964168125</v>
      </c>
      <c r="AM173" s="17">
        <v>0.60648179734621388</v>
      </c>
      <c r="AN173" s="17">
        <v>0.12674601859663756</v>
      </c>
      <c r="AO173" s="17">
        <v>0.43438808805405288</v>
      </c>
      <c r="AP173" s="17">
        <v>1.0826378524314284</v>
      </c>
      <c r="AQ173" s="17">
        <v>0.49091904964272026</v>
      </c>
      <c r="AR173" s="17">
        <v>1.2732559475702094</v>
      </c>
      <c r="AS173" s="17">
        <v>0.25049028502011683</v>
      </c>
      <c r="AT173" s="17">
        <v>0.36416705222735113</v>
      </c>
      <c r="AU173" s="17">
        <v>0.32643617173968958</v>
      </c>
      <c r="AV173" s="17">
        <v>0.18950079779904166</v>
      </c>
      <c r="AW173" s="17">
        <v>0.61090822107802811</v>
      </c>
      <c r="AX173" s="17">
        <v>0.23984999712852373</v>
      </c>
      <c r="AY173" s="17">
        <v>0.48313773445243857</v>
      </c>
      <c r="AZ173" s="17">
        <v>0.19772250160862004</v>
      </c>
      <c r="BA173" s="17">
        <v>0.44594307099791264</v>
      </c>
      <c r="BB173" s="17">
        <v>0.50890751240461329</v>
      </c>
      <c r="BC173" s="17">
        <v>0.35517278397677965</v>
      </c>
      <c r="BD173" s="17">
        <v>0.52391853632574525</v>
      </c>
      <c r="BE173" s="17">
        <v>0.29341817482393517</v>
      </c>
      <c r="BF173" s="17">
        <v>0.38113473269006787</v>
      </c>
      <c r="BG173" s="17">
        <v>0.40167569875305564</v>
      </c>
      <c r="BH173" s="17">
        <v>0.30042243442705058</v>
      </c>
      <c r="BI173" s="17">
        <v>0.6542098838213265</v>
      </c>
      <c r="BJ173" s="17">
        <v>0.42548031840914707</v>
      </c>
      <c r="BK173" s="17">
        <v>0.41667693922394144</v>
      </c>
      <c r="BL173" s="17">
        <v>0.49792896453080643</v>
      </c>
      <c r="BM173" s="17">
        <v>0.34938687026098625</v>
      </c>
      <c r="BN173" s="17">
        <v>1.9374726582218604</v>
      </c>
      <c r="BO173" s="17">
        <v>0.18075015248761464</v>
      </c>
      <c r="BP173" s="17">
        <v>1.5571194690152259</v>
      </c>
      <c r="BQ173" s="17">
        <v>1.0733318101493368</v>
      </c>
      <c r="BR173" s="17">
        <v>0.11184126118275604</v>
      </c>
      <c r="BS173" s="17">
        <v>0.19297875659167854</v>
      </c>
      <c r="BT173" s="17">
        <v>0.24139740968594461</v>
      </c>
      <c r="BU173" s="17">
        <v>0.71146231482643596</v>
      </c>
      <c r="BV173" s="17">
        <v>0.76830169878478705</v>
      </c>
      <c r="BW173" s="17">
        <v>0.11540506270517045</v>
      </c>
      <c r="BX173" s="17">
        <v>1.0839357984943088</v>
      </c>
      <c r="BY173" s="17">
        <v>0.30649099461029533</v>
      </c>
      <c r="BZ173" s="17">
        <v>1.1078167417481612</v>
      </c>
      <c r="CA173" s="17">
        <v>0.63559010303110863</v>
      </c>
      <c r="CB173" s="17">
        <v>0.35458578402214919</v>
      </c>
      <c r="CC173" s="17">
        <v>0.43857505376955741</v>
      </c>
      <c r="CD173" s="17">
        <v>0.91778169008343213</v>
      </c>
      <c r="CE173" s="17">
        <v>1.2235107155071245</v>
      </c>
      <c r="CF173" s="17">
        <v>0.65405527861337998</v>
      </c>
      <c r="CG173" s="17">
        <v>0.3700636472125669</v>
      </c>
      <c r="CH173" s="17">
        <v>0.41361309669718749</v>
      </c>
      <c r="CI173" s="17">
        <v>0.66190313283051916</v>
      </c>
      <c r="CJ173" s="17">
        <v>0.29582079928922261</v>
      </c>
      <c r="CK173" s="17">
        <v>0.23637394446187898</v>
      </c>
      <c r="CL173" s="17">
        <v>0.34765575743061189</v>
      </c>
      <c r="CM173" s="17">
        <v>0.21448289229853257</v>
      </c>
      <c r="CN173" s="17">
        <v>0.90079035568306998</v>
      </c>
      <c r="CO173" s="17">
        <v>0.61976160925880086</v>
      </c>
      <c r="CP173" s="17">
        <v>0.49659241563436729</v>
      </c>
      <c r="CQ173" s="17">
        <v>0.80606804684309441</v>
      </c>
      <c r="CR173" s="17">
        <v>0.37821023941524834</v>
      </c>
      <c r="CS173" s="17">
        <v>0.60812411680098055</v>
      </c>
      <c r="CT173" s="17">
        <v>1.0243418911288544</v>
      </c>
      <c r="CU173" s="17">
        <v>1.6257160226651848</v>
      </c>
      <c r="CV173" s="17">
        <v>0.5025668464322971</v>
      </c>
      <c r="CW173" s="17">
        <v>0.35440449663641643</v>
      </c>
      <c r="CX173" s="17">
        <v>0.76958083864934645</v>
      </c>
      <c r="CY173" s="17">
        <v>0.49517557377203053</v>
      </c>
      <c r="CZ173" s="17">
        <v>0.33600766646849528</v>
      </c>
      <c r="DA173" s="17">
        <v>0.43463937707355133</v>
      </c>
      <c r="DB173" s="17">
        <v>0.58246407495586627</v>
      </c>
      <c r="DC173" s="17">
        <v>0.22788248555397003</v>
      </c>
      <c r="DD173" s="17">
        <v>0.18425890178767909</v>
      </c>
      <c r="DE173" s="17">
        <v>0.50710962296803508</v>
      </c>
      <c r="DF173" s="17">
        <v>0.37950753997952719</v>
      </c>
      <c r="DG173" s="17">
        <v>0.16271944217844422</v>
      </c>
      <c r="DH173" s="17">
        <v>1.1693732307944473</v>
      </c>
      <c r="DI173" s="17">
        <v>0.82382957437361448</v>
      </c>
      <c r="DJ173" s="17">
        <v>0.42083206168655585</v>
      </c>
      <c r="DK173" s="17">
        <v>0.74621413208058796</v>
      </c>
      <c r="DL173" s="17">
        <v>0.47342492988176177</v>
      </c>
      <c r="DM173" s="17">
        <v>0.43740054945244827</v>
      </c>
      <c r="DN173" s="17">
        <v>0.30992616424198438</v>
      </c>
      <c r="DO173" s="17">
        <v>0.36542346370512485</v>
      </c>
      <c r="DP173" s="17">
        <v>0.77456773962753767</v>
      </c>
      <c r="DQ173" s="17">
        <v>0.45459348561745083</v>
      </c>
      <c r="DR173" s="17">
        <v>0.35600817986203726</v>
      </c>
      <c r="DS173" s="17">
        <v>0.78157761999937925</v>
      </c>
      <c r="DT173" s="17">
        <v>0.27566629626478589</v>
      </c>
      <c r="DU173" s="17">
        <v>2.2323795412035703</v>
      </c>
      <c r="DV173" s="17">
        <v>0.60310740947659769</v>
      </c>
      <c r="DW173" s="17">
        <v>0.56303469099248227</v>
      </c>
      <c r="DX173" s="17">
        <v>0.39050334563947131</v>
      </c>
      <c r="DY173" s="17">
        <v>0.42597846346408447</v>
      </c>
      <c r="DZ173" s="17">
        <v>0.45301898273885705</v>
      </c>
      <c r="EA173" s="17">
        <v>0.51820774542342174</v>
      </c>
      <c r="EB173" s="17">
        <v>0.28039407191528165</v>
      </c>
      <c r="EC173" s="17">
        <v>0.12711283606455415</v>
      </c>
      <c r="ED173" s="17">
        <v>0.51931258340742747</v>
      </c>
      <c r="EE173" s="17">
        <v>0.99060571134830544</v>
      </c>
      <c r="EF173" s="17">
        <v>0.27885267986504358</v>
      </c>
      <c r="EG173" s="17">
        <v>0.55247995620799539</v>
      </c>
      <c r="EH173" s="17">
        <v>0.97224272211696727</v>
      </c>
      <c r="EI173" s="17">
        <v>0.82043739281954298</v>
      </c>
      <c r="EJ173" s="17">
        <v>1.4121981050532229</v>
      </c>
      <c r="EK173" s="17">
        <v>0.75764356902047469</v>
      </c>
      <c r="EL173" s="17">
        <v>1.0566145750753073</v>
      </c>
      <c r="EM173" s="17">
        <v>0.4236462595342595</v>
      </c>
      <c r="EN173" s="17">
        <v>0.33916079837377522</v>
      </c>
      <c r="EO173" s="17">
        <v>0.27051388978134222</v>
      </c>
      <c r="EP173" s="17">
        <v>1.5797663358273795</v>
      </c>
      <c r="EQ173" s="17">
        <v>0.20185753315139124</v>
      </c>
      <c r="ER173" s="17">
        <v>0.1579368176376581</v>
      </c>
      <c r="ES173" s="17">
        <v>0.36582660929642391</v>
      </c>
      <c r="ET173" s="17">
        <v>0.83525931411510224</v>
      </c>
      <c r="EU173" s="17">
        <v>0.43518566612618664</v>
      </c>
      <c r="EV173" s="17">
        <v>0.59074826997815433</v>
      </c>
      <c r="EW173" s="17">
        <v>1.5585664998161546</v>
      </c>
      <c r="EX173" s="90">
        <f>MEDIAN(tbl_Upstream_Assets_EF[[#This Row],[Afghanistan]:[South Africa]])</f>
        <v>0.438575053769557</v>
      </c>
      <c r="EY173" s="51">
        <v>2025</v>
      </c>
      <c r="EZ173" s="51" t="s">
        <v>873</v>
      </c>
      <c r="FA173" s="77" t="s">
        <v>1001</v>
      </c>
      <c r="FB173" s="114" t="s">
        <v>929</v>
      </c>
    </row>
    <row r="174" spans="2:158" x14ac:dyDescent="0.35">
      <c r="B174" s="18" t="s">
        <v>1246</v>
      </c>
      <c r="C174" s="14" t="s">
        <v>981</v>
      </c>
      <c r="D174" s="9" t="s">
        <v>982</v>
      </c>
      <c r="E174" s="17">
        <v>0.35546469077926374</v>
      </c>
      <c r="F174" s="17">
        <v>0.29128866505790219</v>
      </c>
      <c r="G174" s="17">
        <v>0.25532931326779079</v>
      </c>
      <c r="H174" s="17">
        <v>0.38234513642242191</v>
      </c>
      <c r="I174" s="17">
        <v>0.19684189590981316</v>
      </c>
      <c r="J174" s="17">
        <v>0.32780366493237423</v>
      </c>
      <c r="K174" s="17">
        <v>0.27831419325751483</v>
      </c>
      <c r="L174" s="17">
        <v>0.11190587362073398</v>
      </c>
      <c r="M174" s="17">
        <v>0.1485229923330903</v>
      </c>
      <c r="N174" s="17">
        <v>0.12247174243914007</v>
      </c>
      <c r="O174" s="17">
        <v>0.2846902434005445</v>
      </c>
      <c r="P174" s="17">
        <v>0.20311629232235112</v>
      </c>
      <c r="Q174" s="17">
        <v>0.24406165902309912</v>
      </c>
      <c r="R174" s="17">
        <v>0.21216064346161975</v>
      </c>
      <c r="S174" s="17">
        <v>0.41721887063686613</v>
      </c>
      <c r="T174" s="17">
        <v>0.20722354443150712</v>
      </c>
      <c r="U174" s="17">
        <v>0.27044121289309292</v>
      </c>
      <c r="V174" s="17">
        <v>0.28790045431937544</v>
      </c>
      <c r="W174" s="17">
        <v>7.7027614415306395E-2</v>
      </c>
      <c r="X174" s="17">
        <v>0.22822457052076123</v>
      </c>
      <c r="Y174" s="17">
        <v>0.2893229008070447</v>
      </c>
      <c r="Z174" s="17">
        <v>0.23334277436632128</v>
      </c>
      <c r="AA174" s="17">
        <v>0.22391442737527617</v>
      </c>
      <c r="AB174" s="17">
        <v>0.10963046810882279</v>
      </c>
      <c r="AC174" s="17">
        <v>0.13685294305038978</v>
      </c>
      <c r="AD174" s="17">
        <v>0.7624690262908802</v>
      </c>
      <c r="AE174" s="17">
        <v>0.18660119215427448</v>
      </c>
      <c r="AF174" s="17">
        <v>0.18576926888777823</v>
      </c>
      <c r="AG174" s="17">
        <v>0.28793113460906694</v>
      </c>
      <c r="AH174" s="17">
        <v>0.12191600469294472</v>
      </c>
      <c r="AI174" s="17">
        <v>0.10091016123809007</v>
      </c>
      <c r="AJ174" s="17">
        <v>0.16853794795203603</v>
      </c>
      <c r="AK174" s="17">
        <v>0.29425131665555027</v>
      </c>
      <c r="AL174" s="17">
        <v>0.12842656106924338</v>
      </c>
      <c r="AM174" s="17">
        <v>0.35644524105502273</v>
      </c>
      <c r="AN174" s="17">
        <v>5.6496451968684816E-2</v>
      </c>
      <c r="AO174" s="17">
        <v>0.21931758912273216</v>
      </c>
      <c r="AP174" s="17">
        <v>0.44092040729200538</v>
      </c>
      <c r="AQ174" s="17">
        <v>0.212191909549097</v>
      </c>
      <c r="AR174" s="17">
        <v>0.50986490541633533</v>
      </c>
      <c r="AS174" s="17">
        <v>0.14539858639903311</v>
      </c>
      <c r="AT174" s="17">
        <v>0.26546780392282437</v>
      </c>
      <c r="AU174" s="17">
        <v>0.15074256666174035</v>
      </c>
      <c r="AV174" s="17">
        <v>9.5427452600561041E-2</v>
      </c>
      <c r="AW174" s="17">
        <v>0.29676482655189057</v>
      </c>
      <c r="AX174" s="17">
        <v>0.11590739998257131</v>
      </c>
      <c r="AY174" s="17">
        <v>0.21462566363863786</v>
      </c>
      <c r="AZ174" s="17">
        <v>0.11122024957964199</v>
      </c>
      <c r="BA174" s="17">
        <v>0.24559117693457128</v>
      </c>
      <c r="BB174" s="17">
        <v>0.25830463960361105</v>
      </c>
      <c r="BC174" s="17">
        <v>0.19452228711344569</v>
      </c>
      <c r="BD174" s="17">
        <v>0.26478528808733504</v>
      </c>
      <c r="BE174" s="17">
        <v>0.13889028900878916</v>
      </c>
      <c r="BF174" s="17">
        <v>0.2280411125636333</v>
      </c>
      <c r="BG174" s="17">
        <v>0.20465349557978654</v>
      </c>
      <c r="BH174" s="17">
        <v>9.9344897539153348E-2</v>
      </c>
      <c r="BI174" s="17">
        <v>0.32129966949127547</v>
      </c>
      <c r="BJ174" s="17">
        <v>0.24140121071304932</v>
      </c>
      <c r="BK174" s="17">
        <v>0.28015287191536398</v>
      </c>
      <c r="BL174" s="17">
        <v>0.19331779987908412</v>
      </c>
      <c r="BM174" s="17">
        <v>0.24803141888170699</v>
      </c>
      <c r="BN174" s="17">
        <v>0.93108314389731672</v>
      </c>
      <c r="BO174" s="17">
        <v>7.4940517244789756E-2</v>
      </c>
      <c r="BP174" s="17">
        <v>0.57968830479371392</v>
      </c>
      <c r="BQ174" s="17">
        <v>0.52437007218051268</v>
      </c>
      <c r="BR174" s="17">
        <v>8.6907104043102312E-2</v>
      </c>
      <c r="BS174" s="17">
        <v>0.14601827400432182</v>
      </c>
      <c r="BT174" s="17">
        <v>0.13949134974242294</v>
      </c>
      <c r="BU174" s="17">
        <v>0.31086406979598097</v>
      </c>
      <c r="BV174" s="17">
        <v>0.34957194092864269</v>
      </c>
      <c r="BW174" s="17">
        <v>0.10328998668718375</v>
      </c>
      <c r="BX174" s="17">
        <v>0.63514592946120452</v>
      </c>
      <c r="BY174" s="17">
        <v>0.14808180688916006</v>
      </c>
      <c r="BZ174" s="17">
        <v>0.58682303539786718</v>
      </c>
      <c r="CA174" s="17">
        <v>0.38105217382134399</v>
      </c>
      <c r="CB174" s="17">
        <v>0.22690237088594267</v>
      </c>
      <c r="CC174" s="17">
        <v>0.338265927467998</v>
      </c>
      <c r="CD174" s="17">
        <v>0.4938678196499604</v>
      </c>
      <c r="CE174" s="17">
        <v>0.72230212161326723</v>
      </c>
      <c r="CF174" s="17">
        <v>0.29896242431550185</v>
      </c>
      <c r="CG174" s="17">
        <v>0.23620871743673946</v>
      </c>
      <c r="CH174" s="17">
        <v>0.21785859687786235</v>
      </c>
      <c r="CI174" s="17">
        <v>0.4096285533788171</v>
      </c>
      <c r="CJ174" s="17">
        <v>0.12763614470546872</v>
      </c>
      <c r="CK174" s="17">
        <v>0.118226696139463</v>
      </c>
      <c r="CL174" s="17">
        <v>0.13643568169502263</v>
      </c>
      <c r="CM174" s="17">
        <v>9.5319263314090505E-2</v>
      </c>
      <c r="CN174" s="17">
        <v>0.3853938307477992</v>
      </c>
      <c r="CO174" s="17">
        <v>0.36935306415369629</v>
      </c>
      <c r="CP174" s="17">
        <v>0.25867892244662288</v>
      </c>
      <c r="CQ174" s="17">
        <v>0.37724064217095787</v>
      </c>
      <c r="CR174" s="17">
        <v>0.20682818164180239</v>
      </c>
      <c r="CS174" s="17">
        <v>0.37011933773106787</v>
      </c>
      <c r="CT174" s="17">
        <v>0.51060993320471859</v>
      </c>
      <c r="CU174" s="17">
        <v>0.56904740549698485</v>
      </c>
      <c r="CV174" s="17">
        <v>0.2804210941166152</v>
      </c>
      <c r="CW174" s="17">
        <v>0.21560884545714382</v>
      </c>
      <c r="CX174" s="17">
        <v>0.41905190156209093</v>
      </c>
      <c r="CY174" s="17">
        <v>0.26315307324383508</v>
      </c>
      <c r="CZ174" s="17">
        <v>0.20580803913937207</v>
      </c>
      <c r="DA174" s="17">
        <v>0.22021510601295766</v>
      </c>
      <c r="DB174" s="17">
        <v>0.28018147350562522</v>
      </c>
      <c r="DC174" s="17">
        <v>0.10565294821102166</v>
      </c>
      <c r="DD174" s="17">
        <v>9.3009411790331245E-2</v>
      </c>
      <c r="DE174" s="17">
        <v>0.23059779334939162</v>
      </c>
      <c r="DF174" s="17">
        <v>0.32241374014810309</v>
      </c>
      <c r="DG174" s="17">
        <v>9.8499743706007073E-2</v>
      </c>
      <c r="DH174" s="17">
        <v>0.4595953365133072</v>
      </c>
      <c r="DI174" s="17">
        <v>0.32243503269391927</v>
      </c>
      <c r="DJ174" s="17">
        <v>0.11595300522289717</v>
      </c>
      <c r="DK174" s="17">
        <v>0.34466743408240108</v>
      </c>
      <c r="DL174" s="17">
        <v>0.24789024375525343</v>
      </c>
      <c r="DM174" s="17">
        <v>0.26058280291240382</v>
      </c>
      <c r="DN174" s="17">
        <v>0.1310505331688617</v>
      </c>
      <c r="DO174" s="17">
        <v>0.19156501308597274</v>
      </c>
      <c r="DP174" s="17">
        <v>0.44683640438063371</v>
      </c>
      <c r="DQ174" s="17">
        <v>0.27115883775652871</v>
      </c>
      <c r="DR174" s="17">
        <v>0.14196499307683666</v>
      </c>
      <c r="DS174" s="17">
        <v>0.46051383684070907</v>
      </c>
      <c r="DT174" s="17">
        <v>0.17476309968832471</v>
      </c>
      <c r="DU174" s="17">
        <v>1.0874945616483009</v>
      </c>
      <c r="DV174" s="17">
        <v>0.28142276638811364</v>
      </c>
      <c r="DW174" s="17">
        <v>0.30968589713312838</v>
      </c>
      <c r="DX174" s="17">
        <v>0.23120998830676484</v>
      </c>
      <c r="DY174" s="17">
        <v>0.22337742691960605</v>
      </c>
      <c r="DZ174" s="17">
        <v>0.23596864049194924</v>
      </c>
      <c r="EA174" s="17">
        <v>0.33789405051521615</v>
      </c>
      <c r="EB174" s="17">
        <v>0.21125596945989089</v>
      </c>
      <c r="EC174" s="17">
        <v>5.6038765376845316E-2</v>
      </c>
      <c r="ED174" s="17">
        <v>0.24704344175997558</v>
      </c>
      <c r="EE174" s="17">
        <v>0.46711545711446928</v>
      </c>
      <c r="EF174" s="17">
        <v>0.21622182008729593</v>
      </c>
      <c r="EG174" s="17">
        <v>0.25069373971176551</v>
      </c>
      <c r="EH174" s="17">
        <v>0.43255383852812751</v>
      </c>
      <c r="EI174" s="17">
        <v>0.34863470791150186</v>
      </c>
      <c r="EJ174" s="17">
        <v>0.53268678329361807</v>
      </c>
      <c r="EK174" s="17">
        <v>0.36067725782101046</v>
      </c>
      <c r="EL174" s="17">
        <v>0.52733741529620781</v>
      </c>
      <c r="EM174" s="17">
        <v>0.26415117498420904</v>
      </c>
      <c r="EN174" s="17">
        <v>0.19881946909506509</v>
      </c>
      <c r="EO174" s="17">
        <v>0.13168754776319372</v>
      </c>
      <c r="EP174" s="17">
        <v>0.52606408039828934</v>
      </c>
      <c r="EQ174" s="17">
        <v>0.11279643091228027</v>
      </c>
      <c r="ER174" s="17">
        <v>0.10741132689605154</v>
      </c>
      <c r="ES174" s="17">
        <v>0.22470106189274339</v>
      </c>
      <c r="ET174" s="17">
        <v>0.59935998729703477</v>
      </c>
      <c r="EU174" s="17">
        <v>0.27906657460027534</v>
      </c>
      <c r="EV174" s="17">
        <v>0.28380114541420348</v>
      </c>
      <c r="EW174" s="17">
        <v>0.71762224312750778</v>
      </c>
      <c r="EX174" s="90">
        <f>MEDIAN(tbl_Upstream_Assets_EF[[#This Row],[Afghanistan]:[South Africa]])</f>
        <v>0.247043441759976</v>
      </c>
      <c r="EY174" s="51">
        <v>2025</v>
      </c>
      <c r="EZ174" s="51" t="s">
        <v>873</v>
      </c>
      <c r="FA174" s="77" t="s">
        <v>1002</v>
      </c>
      <c r="FB174" s="114" t="s">
        <v>929</v>
      </c>
    </row>
    <row r="175" spans="2:158" x14ac:dyDescent="0.35">
      <c r="B175" s="22" t="s">
        <v>1246</v>
      </c>
      <c r="C175" s="95">
        <v>532400</v>
      </c>
      <c r="D175" s="9" t="s">
        <v>980</v>
      </c>
      <c r="E175" s="36">
        <v>0.40513337118403109</v>
      </c>
      <c r="F175" s="36">
        <v>0.28259949427657871</v>
      </c>
      <c r="G175" s="36">
        <v>0.33182140823723671</v>
      </c>
      <c r="H175" s="36">
        <v>0.45184517546515823</v>
      </c>
      <c r="I175" s="36">
        <v>0.26237475306770103</v>
      </c>
      <c r="J175" s="36">
        <v>0.39586553148826858</v>
      </c>
      <c r="K175" s="36">
        <v>0.28954621537960695</v>
      </c>
      <c r="L175" s="36">
        <v>0.18305867023905395</v>
      </c>
      <c r="M175" s="36">
        <v>0.17206110055327672</v>
      </c>
      <c r="N175" s="36">
        <v>0.2138638160024352</v>
      </c>
      <c r="O175" s="36">
        <v>0.40726393367116381</v>
      </c>
      <c r="P175" s="36">
        <v>0.2422788280856801</v>
      </c>
      <c r="Q175" s="36">
        <v>0.29320897426423559</v>
      </c>
      <c r="R175" s="36">
        <v>0.3008360988623639</v>
      </c>
      <c r="S175" s="36">
        <v>0.58779056206249725</v>
      </c>
      <c r="T175" s="36">
        <v>0.23899819099233191</v>
      </c>
      <c r="U175" s="36">
        <v>0.3133693472101769</v>
      </c>
      <c r="V175" s="36">
        <v>0.41083284675538362</v>
      </c>
      <c r="W175" s="36">
        <v>0.1371823231409677</v>
      </c>
      <c r="X175" s="36">
        <v>0.27736756390828932</v>
      </c>
      <c r="Y175" s="36">
        <v>0.40335176541756801</v>
      </c>
      <c r="Z175" s="36">
        <v>0.26687298291592776</v>
      </c>
      <c r="AA175" s="36">
        <v>0.35222327033113776</v>
      </c>
      <c r="AB175" s="36">
        <v>0.15222399438697082</v>
      </c>
      <c r="AC175" s="36">
        <v>0.21266737743130287</v>
      </c>
      <c r="AD175" s="36">
        <v>1.0671932948534431</v>
      </c>
      <c r="AE175" s="36">
        <v>0.21605931134399078</v>
      </c>
      <c r="AF175" s="36">
        <v>0.23621359091831734</v>
      </c>
      <c r="AG175" s="36">
        <v>0.38419554609426498</v>
      </c>
      <c r="AH175" s="36">
        <v>0.1737945685708597</v>
      </c>
      <c r="AI175" s="36">
        <v>0.16673723669399379</v>
      </c>
      <c r="AJ175" s="36">
        <v>0.16876076086249045</v>
      </c>
      <c r="AK175" s="36">
        <v>0.37041116003007885</v>
      </c>
      <c r="AL175" s="36">
        <v>0.17876906722907521</v>
      </c>
      <c r="AM175" s="36">
        <v>0.41655197720642367</v>
      </c>
      <c r="AN175" s="36">
        <v>0.10865143271730443</v>
      </c>
      <c r="AO175" s="36">
        <v>0.27169544243451627</v>
      </c>
      <c r="AP175" s="36">
        <v>0.60790705380630239</v>
      </c>
      <c r="AQ175" s="36">
        <v>0.29643273827802025</v>
      </c>
      <c r="AR175" s="36">
        <v>0.70920207953248093</v>
      </c>
      <c r="AS175" s="36">
        <v>0.22504026955900139</v>
      </c>
      <c r="AT175" s="36">
        <v>0.3003844538513436</v>
      </c>
      <c r="AU175" s="36">
        <v>0.20754856281306733</v>
      </c>
      <c r="AV175" s="36">
        <v>0.15300262980759774</v>
      </c>
      <c r="AW175" s="36">
        <v>0.38477032480624473</v>
      </c>
      <c r="AX175" s="36">
        <v>0.16975629587782179</v>
      </c>
      <c r="AY175" s="36">
        <v>0.29229601923809856</v>
      </c>
      <c r="AZ175" s="36">
        <v>0.19052497583716074</v>
      </c>
      <c r="BA175" s="36">
        <v>0.29881519114862115</v>
      </c>
      <c r="BB175" s="36">
        <v>0.3210421188757262</v>
      </c>
      <c r="BC175" s="36">
        <v>0.23253352725320847</v>
      </c>
      <c r="BD175" s="36">
        <v>0.33101273480124999</v>
      </c>
      <c r="BE175" s="36">
        <v>0.21315416718253602</v>
      </c>
      <c r="BF175" s="36">
        <v>0.26448215414037113</v>
      </c>
      <c r="BG175" s="36">
        <v>0.25461164347343751</v>
      </c>
      <c r="BH175" s="36">
        <v>0.17338887493075919</v>
      </c>
      <c r="BI175" s="36">
        <v>0.41292376792704755</v>
      </c>
      <c r="BJ175" s="36">
        <v>0.31867240623312337</v>
      </c>
      <c r="BK175" s="36">
        <v>0.27431492037525468</v>
      </c>
      <c r="BL175" s="36">
        <v>0.34449728298704946</v>
      </c>
      <c r="BM175" s="36">
        <v>0.29372172884776759</v>
      </c>
      <c r="BN175" s="36">
        <v>1.1671686511237489</v>
      </c>
      <c r="BO175" s="36">
        <v>0.13929007284116773</v>
      </c>
      <c r="BP175" s="36">
        <v>0.85064598076066278</v>
      </c>
      <c r="BQ175" s="36">
        <v>0.61592126530991276</v>
      </c>
      <c r="BR175" s="36">
        <v>0.11215066811613546</v>
      </c>
      <c r="BS175" s="36">
        <v>0.14073984587475794</v>
      </c>
      <c r="BT175" s="36">
        <v>0.20159895675881279</v>
      </c>
      <c r="BU175" s="36">
        <v>0.42714392236056659</v>
      </c>
      <c r="BV175" s="36">
        <v>0.45679239756713874</v>
      </c>
      <c r="BW175" s="36">
        <v>0.1518140980882754</v>
      </c>
      <c r="BX175" s="36">
        <v>0.77817936470636051</v>
      </c>
      <c r="BY175" s="36">
        <v>0.19647402532144728</v>
      </c>
      <c r="BZ175" s="36">
        <v>0.50459589491810097</v>
      </c>
      <c r="CA175" s="36">
        <v>0.44416039733486334</v>
      </c>
      <c r="CB175" s="36">
        <v>0.25208334808616356</v>
      </c>
      <c r="CC175" s="36">
        <v>0.32680306766175715</v>
      </c>
      <c r="CD175" s="36">
        <v>0.53056271274840472</v>
      </c>
      <c r="CE175" s="36">
        <v>0.84175699922943703</v>
      </c>
      <c r="CF175" s="36">
        <v>0.39654074043317317</v>
      </c>
      <c r="CG175" s="36">
        <v>0.25986477615458353</v>
      </c>
      <c r="CH175" s="36">
        <v>0.26283357795471751</v>
      </c>
      <c r="CI175" s="36">
        <v>0.47087792192125005</v>
      </c>
      <c r="CJ175" s="36">
        <v>0.18742776834736735</v>
      </c>
      <c r="CK175" s="36">
        <v>0.18456406941745854</v>
      </c>
      <c r="CL175" s="36">
        <v>0.23392925129590722</v>
      </c>
      <c r="CM175" s="36">
        <v>0.12609405435246879</v>
      </c>
      <c r="CN175" s="36">
        <v>0.52026817762641664</v>
      </c>
      <c r="CO175" s="36">
        <v>0.43130465361009979</v>
      </c>
      <c r="CP175" s="36">
        <v>0.26222222091321318</v>
      </c>
      <c r="CQ175" s="36">
        <v>0.49429962982198095</v>
      </c>
      <c r="CR175" s="36">
        <v>0.24946293697545285</v>
      </c>
      <c r="CS175" s="36">
        <v>0.56518181921292987</v>
      </c>
      <c r="CT175" s="36">
        <v>0.71516390225639892</v>
      </c>
      <c r="CU175" s="36">
        <v>0.85230013138739558</v>
      </c>
      <c r="CV175" s="36">
        <v>0.33316865886136282</v>
      </c>
      <c r="CW175" s="36">
        <v>0.25127654294408119</v>
      </c>
      <c r="CX175" s="36">
        <v>0.49253612615435766</v>
      </c>
      <c r="CY175" s="36">
        <v>0.31932141525353647</v>
      </c>
      <c r="CZ175" s="36">
        <v>0.22014828496955338</v>
      </c>
      <c r="DA175" s="36">
        <v>0.26617015156393764</v>
      </c>
      <c r="DB175" s="36">
        <v>0.36678856437381391</v>
      </c>
      <c r="DC175" s="36">
        <v>0.16331659921751779</v>
      </c>
      <c r="DD175" s="36">
        <v>0.15778286065967789</v>
      </c>
      <c r="DE175" s="36">
        <v>0.31755774889306587</v>
      </c>
      <c r="DF175" s="36">
        <v>0.32164277325774271</v>
      </c>
      <c r="DG175" s="36">
        <v>0.12986934681002849</v>
      </c>
      <c r="DH175" s="36">
        <v>0.64568085294374167</v>
      </c>
      <c r="DI175" s="36">
        <v>0.47483436977906174</v>
      </c>
      <c r="DJ175" s="36">
        <v>0.2555557387538327</v>
      </c>
      <c r="DK175" s="36">
        <v>0.48923214829362299</v>
      </c>
      <c r="DL175" s="36">
        <v>0.3086000217151838</v>
      </c>
      <c r="DM175" s="36">
        <v>0.31841754397993277</v>
      </c>
      <c r="DN175" s="36">
        <v>0.21768239699533018</v>
      </c>
      <c r="DO175" s="36">
        <v>0.24210091008797702</v>
      </c>
      <c r="DP175" s="36">
        <v>0.45851768384164693</v>
      </c>
      <c r="DQ175" s="36">
        <v>0.32403230007916117</v>
      </c>
      <c r="DR175" s="36">
        <v>0.22025881563104718</v>
      </c>
      <c r="DS175" s="36">
        <v>0.59875609277543718</v>
      </c>
      <c r="DT175" s="36">
        <v>0.19651943904495517</v>
      </c>
      <c r="DU175" s="36">
        <v>1.6642231136792105</v>
      </c>
      <c r="DV175" s="36">
        <v>0.36530543200489174</v>
      </c>
      <c r="DW175" s="36">
        <v>0.48971311092594788</v>
      </c>
      <c r="DX175" s="36">
        <v>0.27110453944217894</v>
      </c>
      <c r="DY175" s="36">
        <v>0.27721965153135247</v>
      </c>
      <c r="DZ175" s="36">
        <v>0.2989876136863493</v>
      </c>
      <c r="EA175" s="36">
        <v>0.3406211566496461</v>
      </c>
      <c r="EB175" s="36">
        <v>0.2949113482027112</v>
      </c>
      <c r="EC175" s="36">
        <v>0.1199362962721508</v>
      </c>
      <c r="ED175" s="36">
        <v>0.32797237684066494</v>
      </c>
      <c r="EE175" s="36">
        <v>0.6108462608313876</v>
      </c>
      <c r="EF175" s="36">
        <v>0.20528521632699576</v>
      </c>
      <c r="EG175" s="36">
        <v>0.334814317785323</v>
      </c>
      <c r="EH175" s="36">
        <v>0.65612400366244494</v>
      </c>
      <c r="EI175" s="36">
        <v>0.48527998701182923</v>
      </c>
      <c r="EJ175" s="36">
        <v>0.76266966676051129</v>
      </c>
      <c r="EK175" s="36">
        <v>0.48896958517710093</v>
      </c>
      <c r="EL175" s="36">
        <v>0.66640312430561277</v>
      </c>
      <c r="EM175" s="36">
        <v>0.32454340891450406</v>
      </c>
      <c r="EN175" s="36">
        <v>0.21526093733193302</v>
      </c>
      <c r="EO175" s="36">
        <v>0.17647592717827471</v>
      </c>
      <c r="EP175" s="36">
        <v>0.83446965905422277</v>
      </c>
      <c r="EQ175" s="36">
        <v>0.1398535692875362</v>
      </c>
      <c r="ER175" s="36">
        <v>0.14308526606880564</v>
      </c>
      <c r="ES175" s="36">
        <v>0.25716129677045668</v>
      </c>
      <c r="ET175" s="36">
        <v>0.81071360285188476</v>
      </c>
      <c r="EU175" s="36">
        <v>0.31106779196954853</v>
      </c>
      <c r="EV175" s="36">
        <v>0.3692569273978194</v>
      </c>
      <c r="EW175" s="36">
        <v>0.81080410326776631</v>
      </c>
      <c r="EX175" s="82">
        <f>MEDIAN(tbl_Upstream_Assets_EF[[#This Row],[Afghanistan]:[South Africa]])</f>
        <v>0.300384453851344</v>
      </c>
      <c r="EY175" s="51">
        <v>2025</v>
      </c>
      <c r="EZ175" s="51" t="s">
        <v>873</v>
      </c>
      <c r="FA175" s="77" t="s">
        <v>928</v>
      </c>
      <c r="FB175" s="114" t="s">
        <v>929</v>
      </c>
    </row>
    <row r="176" spans="2:158" x14ac:dyDescent="0.35">
      <c r="B176" s="22" t="s">
        <v>1245</v>
      </c>
      <c r="C176" s="95">
        <v>533000</v>
      </c>
      <c r="D176" s="9" t="s">
        <v>983</v>
      </c>
      <c r="E176" s="36">
        <v>0.17540383878164917</v>
      </c>
      <c r="F176" s="36">
        <v>0.13729229581330168</v>
      </c>
      <c r="G176" s="36">
        <v>0.14170442772232156</v>
      </c>
      <c r="H176" s="36">
        <v>0.20039947906883873</v>
      </c>
      <c r="I176" s="36">
        <v>0.14412412473315478</v>
      </c>
      <c r="J176" s="36">
        <v>0.18910464962068438</v>
      </c>
      <c r="K176" s="36">
        <v>0.12658281613435021</v>
      </c>
      <c r="L176" s="36">
        <v>8.9213923777066384E-2</v>
      </c>
      <c r="M176" s="36">
        <v>8.7222475301038813E-2</v>
      </c>
      <c r="N176" s="36">
        <v>7.0590635611857286E-2</v>
      </c>
      <c r="O176" s="36">
        <v>0.14743500270400595</v>
      </c>
      <c r="P176" s="36">
        <v>0.11100452239203547</v>
      </c>
      <c r="Q176" s="36">
        <v>0.12184068847775843</v>
      </c>
      <c r="R176" s="36">
        <v>0.15284530979389666</v>
      </c>
      <c r="S176" s="36">
        <v>0.21477244983250363</v>
      </c>
      <c r="T176" s="36">
        <v>0.11796496352479438</v>
      </c>
      <c r="U176" s="36">
        <v>0.15638400755017792</v>
      </c>
      <c r="V176" s="36">
        <v>0.14716211706569557</v>
      </c>
      <c r="W176" s="36">
        <v>6.1327089254047007E-2</v>
      </c>
      <c r="X176" s="36">
        <v>0.12643509153087484</v>
      </c>
      <c r="Y176" s="36">
        <v>0.16107383030788272</v>
      </c>
      <c r="Z176" s="36">
        <v>0.13410893078647659</v>
      </c>
      <c r="AA176" s="36">
        <v>0.13419544243446588</v>
      </c>
      <c r="AB176" s="36">
        <v>6.3200723518367349E-2</v>
      </c>
      <c r="AC176" s="36">
        <v>7.1571195912687846E-2</v>
      </c>
      <c r="AD176" s="36">
        <v>0.37491322557094542</v>
      </c>
      <c r="AE176" s="36">
        <v>9.7602428758627943E-2</v>
      </c>
      <c r="AF176" s="36">
        <v>9.786590489918183E-2</v>
      </c>
      <c r="AG176" s="36">
        <v>0.15649094754556658</v>
      </c>
      <c r="AH176" s="36">
        <v>6.4577546068144365E-2</v>
      </c>
      <c r="AI176" s="36">
        <v>5.5208742629503073E-2</v>
      </c>
      <c r="AJ176" s="36">
        <v>9.2982199742561764E-2</v>
      </c>
      <c r="AK176" s="36">
        <v>0.20512606925822208</v>
      </c>
      <c r="AL176" s="36">
        <v>7.0546719852197265E-2</v>
      </c>
      <c r="AM176" s="36">
        <v>0.20626075175125597</v>
      </c>
      <c r="AN176" s="36">
        <v>5.1959048779453253E-2</v>
      </c>
      <c r="AO176" s="36">
        <v>0.11518765171600068</v>
      </c>
      <c r="AP176" s="36">
        <v>0.207613883612801</v>
      </c>
      <c r="AQ176" s="36">
        <v>0.11193108413058683</v>
      </c>
      <c r="AR176" s="36">
        <v>0.23617513727297468</v>
      </c>
      <c r="AS176" s="36">
        <v>0.1016870420932981</v>
      </c>
      <c r="AT176" s="36">
        <v>0.1707069285311584</v>
      </c>
      <c r="AU176" s="36">
        <v>8.4973054098487655E-2</v>
      </c>
      <c r="AV176" s="36">
        <v>6.9012880914296831E-2</v>
      </c>
      <c r="AW176" s="36">
        <v>0.164628647465793</v>
      </c>
      <c r="AX176" s="36">
        <v>7.5320551629717444E-2</v>
      </c>
      <c r="AY176" s="36">
        <v>0.11190547056674857</v>
      </c>
      <c r="AZ176" s="36">
        <v>4.3674182243265781E-2</v>
      </c>
      <c r="BA176" s="36">
        <v>0.14068686453150939</v>
      </c>
      <c r="BB176" s="36">
        <v>0.13906454313341951</v>
      </c>
      <c r="BC176" s="36">
        <v>0.10635514296424384</v>
      </c>
      <c r="BD176" s="36">
        <v>0.14354242069058198</v>
      </c>
      <c r="BE176" s="36">
        <v>0.10925365316709403</v>
      </c>
      <c r="BF176" s="36">
        <v>0.13162978886976337</v>
      </c>
      <c r="BG176" s="36">
        <v>0.10965572589379464</v>
      </c>
      <c r="BH176" s="36">
        <v>5.7151977384232805E-2</v>
      </c>
      <c r="BI176" s="36">
        <v>0.17841023339068141</v>
      </c>
      <c r="BJ176" s="36">
        <v>0.16796188846732485</v>
      </c>
      <c r="BK176" s="36">
        <v>0.13976168923219603</v>
      </c>
      <c r="BL176" s="36">
        <v>0.11279646639012213</v>
      </c>
      <c r="BM176" s="36">
        <v>0.21507713865214681</v>
      </c>
      <c r="BN176" s="36">
        <v>0.56747466618624376</v>
      </c>
      <c r="BO176" s="36">
        <v>6.7789669799909025E-2</v>
      </c>
      <c r="BP176" s="36">
        <v>0.26610927605110535</v>
      </c>
      <c r="BQ176" s="36">
        <v>0.23568004017402963</v>
      </c>
      <c r="BR176" s="36">
        <v>5.9919122217941038E-2</v>
      </c>
      <c r="BS176" s="36">
        <v>5.8336080526916384E-2</v>
      </c>
      <c r="BT176" s="36">
        <v>9.8758074356258288E-2</v>
      </c>
      <c r="BU176" s="36">
        <v>0.16655514034906693</v>
      </c>
      <c r="BV176" s="36">
        <v>0.18022222123805276</v>
      </c>
      <c r="BW176" s="36">
        <v>3.1093280784500091E-2</v>
      </c>
      <c r="BX176" s="36">
        <v>0.41840366999430212</v>
      </c>
      <c r="BY176" s="36">
        <v>8.2632206260419755E-2</v>
      </c>
      <c r="BZ176" s="36">
        <v>0.4763099545285624</v>
      </c>
      <c r="CA176" s="36">
        <v>0.22398262665411592</v>
      </c>
      <c r="CB176" s="36">
        <v>0.13079652241687081</v>
      </c>
      <c r="CC176" s="36">
        <v>0.24615940388117433</v>
      </c>
      <c r="CD176" s="36">
        <v>0.22170545598198257</v>
      </c>
      <c r="CE176" s="36">
        <v>0.52905583296636349</v>
      </c>
      <c r="CF176" s="36">
        <v>0.1588506925836041</v>
      </c>
      <c r="CG176" s="36">
        <v>0.13389471378497356</v>
      </c>
      <c r="CH176" s="36">
        <v>0.11543526796708838</v>
      </c>
      <c r="CI176" s="36">
        <v>0.24280935523173586</v>
      </c>
      <c r="CJ176" s="36">
        <v>7.6139475457999095E-2</v>
      </c>
      <c r="CK176" s="36">
        <v>0.10642303333110528</v>
      </c>
      <c r="CL176" s="36">
        <v>9.2857149201468703E-2</v>
      </c>
      <c r="CM176" s="36">
        <v>3.4417865476765896E-2</v>
      </c>
      <c r="CN176" s="36">
        <v>0.19389118525869511</v>
      </c>
      <c r="CO176" s="36">
        <v>0.21643491903707393</v>
      </c>
      <c r="CP176" s="36">
        <v>8.5631558404122551E-2</v>
      </c>
      <c r="CQ176" s="36">
        <v>0.20510361232229948</v>
      </c>
      <c r="CR176" s="36">
        <v>0.11502472804643923</v>
      </c>
      <c r="CS176" s="36">
        <v>0.37113106318063283</v>
      </c>
      <c r="CT176" s="36">
        <v>0.35256598776260273</v>
      </c>
      <c r="CU176" s="36">
        <v>0.25572815540911403</v>
      </c>
      <c r="CV176" s="36">
        <v>0.15709526456933295</v>
      </c>
      <c r="CW176" s="36">
        <v>0.12737943194887191</v>
      </c>
      <c r="CX176" s="36">
        <v>0.20986507333555401</v>
      </c>
      <c r="CY176" s="36">
        <v>0.14404555449532216</v>
      </c>
      <c r="CZ176" s="36">
        <v>0.10596181607764985</v>
      </c>
      <c r="DA176" s="36">
        <v>0.10931073204591063</v>
      </c>
      <c r="DB176" s="36">
        <v>0.15587103733177732</v>
      </c>
      <c r="DC176" s="36">
        <v>6.8964227132500291E-2</v>
      </c>
      <c r="DD176" s="36">
        <v>9.8563104560310477E-2</v>
      </c>
      <c r="DE176" s="36">
        <v>0.12986658714854662</v>
      </c>
      <c r="DF176" s="36">
        <v>0.19971487466753701</v>
      </c>
      <c r="DG176" s="36">
        <v>5.9443503964611538E-2</v>
      </c>
      <c r="DH176" s="36">
        <v>0.21589109495730324</v>
      </c>
      <c r="DI176" s="36">
        <v>0.16014542212275229</v>
      </c>
      <c r="DJ176" s="36">
        <v>7.1855867150845257E-2</v>
      </c>
      <c r="DK176" s="36">
        <v>0.17145644006454736</v>
      </c>
      <c r="DL176" s="36">
        <v>0.13932974672400103</v>
      </c>
      <c r="DM176" s="36">
        <v>0.18386165899773096</v>
      </c>
      <c r="DN176" s="36">
        <v>8.2540176481587776E-2</v>
      </c>
      <c r="DO176" s="36">
        <v>0.10984267871688252</v>
      </c>
      <c r="DP176" s="36">
        <v>0.20124695590893779</v>
      </c>
      <c r="DQ176" s="36">
        <v>0.14768772374244155</v>
      </c>
      <c r="DR176" s="36">
        <v>0.11243110013156035</v>
      </c>
      <c r="DS176" s="36">
        <v>0.27895529977295141</v>
      </c>
      <c r="DT176" s="36">
        <v>0.10125071869166054</v>
      </c>
      <c r="DU176" s="36">
        <v>0.61193279075835705</v>
      </c>
      <c r="DV176" s="36">
        <v>0.14653454886873266</v>
      </c>
      <c r="DW176" s="36">
        <v>0.20865585617711122</v>
      </c>
      <c r="DX176" s="36">
        <v>0.13442369409844598</v>
      </c>
      <c r="DY176" s="36">
        <v>0.12454785799070481</v>
      </c>
      <c r="DZ176" s="36">
        <v>0.13586723168081966</v>
      </c>
      <c r="EA176" s="36">
        <v>0.21795397279784634</v>
      </c>
      <c r="EB176" s="36">
        <v>0.14263733448191701</v>
      </c>
      <c r="EC176" s="36">
        <v>4.9443002059885229E-2</v>
      </c>
      <c r="ED176" s="36">
        <v>0.13829785175367079</v>
      </c>
      <c r="EE176" s="36">
        <v>0.25672558180798183</v>
      </c>
      <c r="EF176" s="36">
        <v>0.11761874698360104</v>
      </c>
      <c r="EG176" s="36">
        <v>0.13162988587665905</v>
      </c>
      <c r="EH176" s="36">
        <v>0.40132312350799965</v>
      </c>
      <c r="EI176" s="36">
        <v>0.18518095320697311</v>
      </c>
      <c r="EJ176" s="36">
        <v>0.24270960347940421</v>
      </c>
      <c r="EK176" s="36">
        <v>0.18568472670106631</v>
      </c>
      <c r="EL176" s="36">
        <v>0.29563426156173195</v>
      </c>
      <c r="EM176" s="36">
        <v>0.24915373262920246</v>
      </c>
      <c r="EN176" s="36">
        <v>9.8308135464608523E-2</v>
      </c>
      <c r="EO176" s="36">
        <v>7.5562943743959041E-2</v>
      </c>
      <c r="EP176" s="36">
        <v>0.24258122966602483</v>
      </c>
      <c r="EQ176" s="36">
        <v>6.6540254245943231E-2</v>
      </c>
      <c r="ER176" s="36">
        <v>7.340714403548107E-2</v>
      </c>
      <c r="ES176" s="36">
        <v>0.13033818676020389</v>
      </c>
      <c r="ET176" s="36">
        <v>0.49325992524121143</v>
      </c>
      <c r="EU176" s="36">
        <v>0.16252352927200628</v>
      </c>
      <c r="EV176" s="36">
        <v>0.15575645293631951</v>
      </c>
      <c r="EW176" s="36">
        <v>0.32876777182533773</v>
      </c>
      <c r="EX176" s="82">
        <f>MEDIAN(tbl_Upstream_Assets_EF[[#This Row],[Afghanistan]:[South Africa]])</f>
        <v>0.13906454313342</v>
      </c>
      <c r="EY176" s="51">
        <v>2025</v>
      </c>
      <c r="EZ176" s="51" t="s">
        <v>873</v>
      </c>
      <c r="FA176" s="112" t="s">
        <v>1003</v>
      </c>
      <c r="FB176" s="115" t="s">
        <v>929</v>
      </c>
    </row>
    <row r="177" spans="2:158" x14ac:dyDescent="0.35">
      <c r="B177" s="22" t="s">
        <v>1245</v>
      </c>
      <c r="C177" s="25">
        <v>511200</v>
      </c>
      <c r="D177" s="55" t="s">
        <v>972</v>
      </c>
      <c r="E177" s="36">
        <v>0.55247022918050681</v>
      </c>
      <c r="F177" s="36">
        <v>0.41328087916228906</v>
      </c>
      <c r="G177" s="36">
        <v>0.44953515328439886</v>
      </c>
      <c r="H177" s="36">
        <v>0.63325947515897674</v>
      </c>
      <c r="I177" s="36">
        <v>0.29568864131557726</v>
      </c>
      <c r="J177" s="36">
        <v>0.58744421639001376</v>
      </c>
      <c r="K177" s="36">
        <v>0.29785436629678014</v>
      </c>
      <c r="L177" s="36">
        <v>0.1782100162686886</v>
      </c>
      <c r="M177" s="36">
        <v>0.26526676959644424</v>
      </c>
      <c r="N177" s="36">
        <v>0.18055565199453516</v>
      </c>
      <c r="O177" s="36">
        <v>0.48434885865670352</v>
      </c>
      <c r="P177" s="36">
        <v>0.34408796682392151</v>
      </c>
      <c r="Q177" s="36">
        <v>0.38143014947161152</v>
      </c>
      <c r="R177" s="36">
        <v>0.20159410539374825</v>
      </c>
      <c r="S177" s="36">
        <v>0.71621166841396788</v>
      </c>
      <c r="T177" s="36">
        <v>0.36129339844246927</v>
      </c>
      <c r="U177" s="36">
        <v>0.47986323441430745</v>
      </c>
      <c r="V177" s="36">
        <v>0.48318368881264467</v>
      </c>
      <c r="W177" s="36">
        <v>0.17631140478805168</v>
      </c>
      <c r="X177" s="36">
        <v>0.39391278857682299</v>
      </c>
      <c r="Y177" s="36">
        <v>0.52143681732006575</v>
      </c>
      <c r="Z177" s="36">
        <v>0.4100328977164478</v>
      </c>
      <c r="AA177" s="36">
        <v>0.3514456498980556</v>
      </c>
      <c r="AB177" s="36">
        <v>0.13485784093383552</v>
      </c>
      <c r="AC177" s="36">
        <v>0.30680819981220991</v>
      </c>
      <c r="AD177" s="36">
        <v>0.36874206777055163</v>
      </c>
      <c r="AE177" s="36">
        <v>0.30082636882458169</v>
      </c>
      <c r="AF177" s="36">
        <v>0.30760316562818346</v>
      </c>
      <c r="AG177" s="36">
        <v>0.50289124246617856</v>
      </c>
      <c r="AH177" s="36">
        <v>0.16521496390957086</v>
      </c>
      <c r="AI177" s="36">
        <v>0.25477592591820591</v>
      </c>
      <c r="AJ177" s="36">
        <v>0.3320309892916683</v>
      </c>
      <c r="AK177" s="36">
        <v>0.30293694749955935</v>
      </c>
      <c r="AL177" s="36">
        <v>0.16702810588499115</v>
      </c>
      <c r="AM177" s="36">
        <v>0.63594904172353028</v>
      </c>
      <c r="AN177" s="36">
        <v>8.6353463354180732E-2</v>
      </c>
      <c r="AO177" s="36">
        <v>0.36186823987649497</v>
      </c>
      <c r="AP177" s="36">
        <v>0.68802910457937727</v>
      </c>
      <c r="AQ177" s="36">
        <v>0.36076418601314253</v>
      </c>
      <c r="AR177" s="36">
        <v>0.78501975066703977</v>
      </c>
      <c r="AS177" s="36">
        <v>0.19017999473308059</v>
      </c>
      <c r="AT177" s="36">
        <v>0.34330613564904128</v>
      </c>
      <c r="AU177" s="36">
        <v>0.26958462972994912</v>
      </c>
      <c r="AV177" s="36">
        <v>0.13379813102046756</v>
      </c>
      <c r="AW177" s="36">
        <v>0.52371991731520617</v>
      </c>
      <c r="AX177" s="36">
        <v>0.1835098735108249</v>
      </c>
      <c r="AY177" s="36">
        <v>0.35869669862199594</v>
      </c>
      <c r="AZ177" s="36">
        <v>4.2408017905391525E-2</v>
      </c>
      <c r="BA177" s="36">
        <v>0.43674205419349388</v>
      </c>
      <c r="BB177" s="36">
        <v>0.43840920868892974</v>
      </c>
      <c r="BC177" s="36">
        <v>0.3295173242820138</v>
      </c>
      <c r="BD177" s="36">
        <v>0.45303899716446983</v>
      </c>
      <c r="BE177" s="36">
        <v>0.30431445530986645</v>
      </c>
      <c r="BF177" s="36">
        <v>0.40330319912436324</v>
      </c>
      <c r="BG177" s="36">
        <v>0.34375263715315885</v>
      </c>
      <c r="BH177" s="36">
        <v>0.4936322484533765</v>
      </c>
      <c r="BI177" s="36">
        <v>0.56711593863877141</v>
      </c>
      <c r="BJ177" s="36">
        <v>0.29101998150073904</v>
      </c>
      <c r="BK177" s="36">
        <v>0.42167554052102946</v>
      </c>
      <c r="BL177" s="36">
        <v>0.28943967101935508</v>
      </c>
      <c r="BM177" s="36">
        <v>0.98913750548699253</v>
      </c>
      <c r="BN177" s="36">
        <v>0.98466311863576261</v>
      </c>
      <c r="BO177" s="36">
        <v>0.10647010759551706</v>
      </c>
      <c r="BP177" s="36">
        <v>0.90344849548674599</v>
      </c>
      <c r="BQ177" s="36">
        <v>0.74758569195395186</v>
      </c>
      <c r="BR177" s="36">
        <v>0.20464628163999526</v>
      </c>
      <c r="BS177" s="36">
        <v>0.13599333339652669</v>
      </c>
      <c r="BT177" s="36">
        <v>0.18086162806671907</v>
      </c>
      <c r="BU177" s="36">
        <v>0.54180922320037361</v>
      </c>
      <c r="BV177" s="36">
        <v>0.58434145733437215</v>
      </c>
      <c r="BW177" s="36">
        <v>7.1067015631404051E-2</v>
      </c>
      <c r="BX177" s="36">
        <v>1.2526698272347399</v>
      </c>
      <c r="BY177" s="36">
        <v>0.26008159798665559</v>
      </c>
      <c r="BZ177" s="36">
        <v>0.62944297401210736</v>
      </c>
      <c r="CA177" s="36">
        <v>0.68814628402809908</v>
      </c>
      <c r="CB177" s="36">
        <v>0.39707244960433624</v>
      </c>
      <c r="CC177" s="36">
        <v>0.23863421679585772</v>
      </c>
      <c r="CD177" s="36">
        <v>0.7017903488597208</v>
      </c>
      <c r="CE177" s="36">
        <v>1.1072781682461172</v>
      </c>
      <c r="CF177" s="36">
        <v>0.51199006013594839</v>
      </c>
      <c r="CG177" s="36">
        <v>0.40687184089618783</v>
      </c>
      <c r="CH177" s="36">
        <v>0.36027357982310831</v>
      </c>
      <c r="CI177" s="36">
        <v>0.74254352488909237</v>
      </c>
      <c r="CJ177" s="36">
        <v>0.30653902948379091</v>
      </c>
      <c r="CK177" s="36">
        <v>0.19352297964263904</v>
      </c>
      <c r="CL177" s="36">
        <v>0.25308628275962608</v>
      </c>
      <c r="CM177" s="36">
        <v>0.94206248212304688</v>
      </c>
      <c r="CN177" s="36">
        <v>0.63898760356669837</v>
      </c>
      <c r="CO177" s="36">
        <v>0.66553579732701584</v>
      </c>
      <c r="CP177" s="36">
        <v>0.30523136333815798</v>
      </c>
      <c r="CQ177" s="36">
        <v>0.66041920258289011</v>
      </c>
      <c r="CR177" s="36">
        <v>0.35688039233557894</v>
      </c>
      <c r="CS177" s="36">
        <v>0.59361502198395821</v>
      </c>
      <c r="CT177" s="36">
        <v>0.69605903701632843</v>
      </c>
      <c r="CU177" s="36">
        <v>0.90522441498558348</v>
      </c>
      <c r="CV177" s="36">
        <v>0.48786640577704926</v>
      </c>
      <c r="CW177" s="36">
        <v>0.38897686236684681</v>
      </c>
      <c r="CX177" s="36">
        <v>0.63351682623316119</v>
      </c>
      <c r="CY177" s="36">
        <v>0.45071837075437771</v>
      </c>
      <c r="CZ177" s="36">
        <v>0.32226598488359143</v>
      </c>
      <c r="DA177" s="36">
        <v>0.34072277652260147</v>
      </c>
      <c r="DB177" s="36">
        <v>0.49619593034658538</v>
      </c>
      <c r="DC177" s="36">
        <v>0.1177709532992243</v>
      </c>
      <c r="DD177" s="36">
        <v>0.18889691541241779</v>
      </c>
      <c r="DE177" s="36">
        <v>0.41603169856207184</v>
      </c>
      <c r="DF177" s="36">
        <v>0.58640532635774356</v>
      </c>
      <c r="DG177" s="36">
        <v>0.15522350423549461</v>
      </c>
      <c r="DH177" s="36">
        <v>0.72784628317390299</v>
      </c>
      <c r="DI177" s="36">
        <v>0.52715225105701913</v>
      </c>
      <c r="DJ177" s="36">
        <v>0.13227235896857084</v>
      </c>
      <c r="DK177" s="36">
        <v>0.66061011906337319</v>
      </c>
      <c r="DL177" s="36">
        <v>0.43630157901813382</v>
      </c>
      <c r="DM177" s="36">
        <v>0.35944579452406938</v>
      </c>
      <c r="DN177" s="36">
        <v>0.19777232676221534</v>
      </c>
      <c r="DO177" s="36">
        <v>0.34262034180130851</v>
      </c>
      <c r="DP177" s="36">
        <v>0.62423192497030955</v>
      </c>
      <c r="DQ177" s="36">
        <v>0.19472427825812796</v>
      </c>
      <c r="DR177" s="36">
        <v>0.27387693508320449</v>
      </c>
      <c r="DS177" s="36">
        <v>0.57291734570300101</v>
      </c>
      <c r="DT177" s="36">
        <v>0.30705892943068158</v>
      </c>
      <c r="DU177" s="36">
        <v>0.39672172529067012</v>
      </c>
      <c r="DV177" s="36">
        <v>0.46973933986800781</v>
      </c>
      <c r="DW177" s="36">
        <v>0.51564965484777281</v>
      </c>
      <c r="DX177" s="36">
        <v>0.41244318553411308</v>
      </c>
      <c r="DY177" s="36">
        <v>0.38941277414819697</v>
      </c>
      <c r="DZ177" s="36">
        <v>0.42518447598570625</v>
      </c>
      <c r="EA177" s="36">
        <v>0.26235938235060491</v>
      </c>
      <c r="EB177" s="36">
        <v>0.24662053274018589</v>
      </c>
      <c r="EC177" s="36">
        <v>7.9670319010302318E-2</v>
      </c>
      <c r="ED177" s="36">
        <v>0.44011841895963288</v>
      </c>
      <c r="EE177" s="36">
        <v>0.82764351785615242</v>
      </c>
      <c r="EF177" s="36">
        <v>0.34823628877796037</v>
      </c>
      <c r="EG177" s="36">
        <v>0.42271585338792428</v>
      </c>
      <c r="EH177" s="36">
        <v>0.83679390736886605</v>
      </c>
      <c r="EI177" s="36">
        <v>0.60770708631634784</v>
      </c>
      <c r="EJ177" s="36">
        <v>0.83110823974765524</v>
      </c>
      <c r="EK177" s="36">
        <v>0.53428151766067133</v>
      </c>
      <c r="EL177" s="36">
        <v>0.87288283254052501</v>
      </c>
      <c r="EM177" s="36">
        <v>0.46519297329579612</v>
      </c>
      <c r="EN177" s="36">
        <v>0.29903052748176245</v>
      </c>
      <c r="EO177" s="36">
        <v>0.23732956936692834</v>
      </c>
      <c r="EP177" s="36">
        <v>0.86075475769564003</v>
      </c>
      <c r="EQ177" s="36">
        <v>0.20457078421282934</v>
      </c>
      <c r="ER177" s="36">
        <v>6.164989256164978E-2</v>
      </c>
      <c r="ES177" s="36">
        <v>0.39779574930285488</v>
      </c>
      <c r="ET177" s="36">
        <v>1.1667332018532748</v>
      </c>
      <c r="EU177" s="36">
        <v>0.49392060946686578</v>
      </c>
      <c r="EV177" s="36">
        <v>0.49637004395009809</v>
      </c>
      <c r="EW177" s="36">
        <v>0.66461989252154796</v>
      </c>
      <c r="EX177" s="82">
        <f>MEDIAN(tbl_Upstream_Assets_EF[[#This Row],[Afghanistan]:[South Africa]])</f>
        <v>0.397795749302855</v>
      </c>
      <c r="EY177" s="51">
        <v>2025</v>
      </c>
      <c r="EZ177" s="51" t="s">
        <v>873</v>
      </c>
      <c r="FA177" s="77" t="s">
        <v>928</v>
      </c>
      <c r="FB177" s="114" t="s">
        <v>929</v>
      </c>
    </row>
    <row r="178" spans="2:158" s="42" customFormat="1" ht="15" thickBot="1" x14ac:dyDescent="0.4"/>
    <row r="179" spans="2:158" ht="15" thickTop="1" x14ac:dyDescent="0.35"/>
    <row r="180" spans="2:158" ht="17" x14ac:dyDescent="0.35">
      <c r="B180" s="41" t="s">
        <v>1251</v>
      </c>
      <c r="C180" s="67"/>
      <c r="D180" s="67"/>
      <c r="E180" s="67"/>
      <c r="F180" s="67"/>
      <c r="G180" s="67"/>
      <c r="H180" s="67"/>
      <c r="I180" s="67"/>
      <c r="J180" s="67"/>
      <c r="K180" s="67"/>
      <c r="L180" s="67"/>
      <c r="M180" s="67"/>
      <c r="N180" s="67"/>
      <c r="O180" s="67"/>
      <c r="P180" s="67"/>
      <c r="Q180" s="67"/>
      <c r="R180" s="67"/>
      <c r="S180" s="67"/>
      <c r="T180" s="67"/>
      <c r="U180" s="67"/>
      <c r="V180" s="67"/>
      <c r="W180" s="67"/>
      <c r="X180" s="67"/>
      <c r="Y180" s="67"/>
      <c r="Z180" s="67"/>
      <c r="AA180" s="67"/>
      <c r="AB180" s="67"/>
      <c r="AC180" s="67"/>
      <c r="AD180" s="67"/>
      <c r="AE180" s="67"/>
      <c r="AF180" s="67"/>
      <c r="AG180" s="67"/>
      <c r="AH180" s="67"/>
      <c r="AI180" s="67"/>
      <c r="AJ180" s="67"/>
      <c r="AK180" s="67"/>
      <c r="AL180" s="67"/>
      <c r="AM180" s="67"/>
      <c r="AN180" s="67"/>
      <c r="AO180" s="67"/>
      <c r="AP180" s="67"/>
      <c r="AQ180" s="67"/>
      <c r="AR180" s="67"/>
      <c r="AS180" s="67"/>
      <c r="AT180" s="67"/>
      <c r="AU180" s="67"/>
      <c r="AV180" s="67"/>
      <c r="AW180" s="67"/>
      <c r="AX180" s="67"/>
      <c r="AY180" s="67"/>
      <c r="AZ180" s="67"/>
      <c r="BA180" s="67"/>
      <c r="BB180" s="67"/>
      <c r="BC180" s="67"/>
      <c r="BD180" s="67"/>
      <c r="BE180" s="67"/>
      <c r="BF180" s="67"/>
      <c r="BG180" s="67"/>
      <c r="BH180" s="67"/>
      <c r="BI180" s="67"/>
      <c r="BJ180" s="67"/>
      <c r="BK180" s="67"/>
      <c r="BL180" s="67"/>
      <c r="BM180" s="67"/>
      <c r="BN180" s="67"/>
      <c r="BO180" s="67"/>
      <c r="BP180" s="67"/>
      <c r="BQ180" s="67"/>
      <c r="BR180" s="67"/>
      <c r="BS180" s="67"/>
      <c r="BT180" s="67"/>
      <c r="BU180" s="67"/>
      <c r="BV180" s="67"/>
      <c r="BW180" s="67"/>
      <c r="BX180" s="67"/>
      <c r="BY180" s="67"/>
      <c r="BZ180" s="67"/>
      <c r="CA180" s="67"/>
      <c r="CB180" s="67"/>
      <c r="CC180" s="67"/>
      <c r="CD180" s="67"/>
      <c r="CE180" s="67"/>
      <c r="CF180" s="67"/>
      <c r="CG180" s="67"/>
      <c r="CH180" s="67"/>
      <c r="CI180" s="67"/>
      <c r="CJ180" s="67"/>
      <c r="CK180" s="67"/>
      <c r="CL180" s="67"/>
      <c r="CM180" s="67"/>
      <c r="CN180" s="67"/>
      <c r="CO180" s="67"/>
      <c r="CP180" s="67"/>
      <c r="CQ180" s="67"/>
      <c r="CR180" s="67"/>
      <c r="CS180" s="67"/>
      <c r="CT180" s="67"/>
      <c r="CU180" s="67"/>
      <c r="CV180" s="67"/>
      <c r="CW180" s="67"/>
      <c r="CX180" s="67"/>
      <c r="CY180" s="67"/>
      <c r="CZ180" s="67"/>
      <c r="DA180" s="67"/>
      <c r="DB180" s="67"/>
      <c r="DC180" s="67"/>
      <c r="DD180" s="67"/>
      <c r="DE180" s="67"/>
      <c r="DF180" s="67"/>
      <c r="DG180" s="67"/>
      <c r="DH180" s="67"/>
      <c r="DI180" s="67"/>
      <c r="DJ180" s="67"/>
      <c r="DK180" s="67"/>
      <c r="DL180" s="67"/>
      <c r="DM180" s="67"/>
      <c r="DN180" s="67"/>
      <c r="DO180" s="67"/>
      <c r="DP180" s="67"/>
      <c r="DQ180" s="67"/>
      <c r="DR180" s="67"/>
      <c r="DS180" s="67"/>
      <c r="DT180" s="67"/>
      <c r="DU180" s="67"/>
      <c r="DV180" s="67"/>
      <c r="DW180" s="67"/>
      <c r="DX180" s="67"/>
      <c r="DY180" s="67"/>
      <c r="DZ180" s="67"/>
      <c r="EA180" s="67"/>
      <c r="EB180" s="67"/>
      <c r="EC180" s="67"/>
      <c r="ED180" s="67"/>
      <c r="EE180" s="67"/>
      <c r="EF180" s="67"/>
      <c r="EG180" s="67"/>
      <c r="EH180" s="67"/>
      <c r="EI180" s="67"/>
      <c r="EJ180" s="67"/>
      <c r="EK180" s="67"/>
      <c r="EL180" s="67"/>
      <c r="EM180" s="67"/>
      <c r="EN180" s="67"/>
      <c r="EO180" s="67"/>
      <c r="EP180" s="67"/>
      <c r="EQ180" s="67"/>
      <c r="ER180" s="67"/>
      <c r="ES180" s="67"/>
      <c r="ET180" s="67"/>
      <c r="EU180" s="67"/>
      <c r="EV180" s="67"/>
      <c r="EW180" s="67"/>
      <c r="EX180" s="67"/>
      <c r="EY180" s="67"/>
      <c r="EZ180" s="67"/>
      <c r="FA180" s="67"/>
      <c r="FB180" s="67"/>
    </row>
    <row r="182" spans="2:158" x14ac:dyDescent="0.35">
      <c r="B182" s="27" t="s">
        <v>875</v>
      </c>
      <c r="C182" s="28" t="s">
        <v>877</v>
      </c>
      <c r="D182" s="28" t="s">
        <v>876</v>
      </c>
      <c r="E182" s="28" t="s">
        <v>879</v>
      </c>
      <c r="F182" s="28" t="s">
        <v>714</v>
      </c>
      <c r="G182" s="28" t="s">
        <v>807</v>
      </c>
      <c r="H182" s="28" t="s">
        <v>651</v>
      </c>
      <c r="I182" s="28" t="s">
        <v>597</v>
      </c>
      <c r="J182" s="28" t="s">
        <v>880</v>
      </c>
      <c r="K182" s="28" t="s">
        <v>437</v>
      </c>
      <c r="L182" s="28" t="s">
        <v>324</v>
      </c>
      <c r="M182" s="28" t="s">
        <v>881</v>
      </c>
      <c r="N182" s="28" t="s">
        <v>404</v>
      </c>
      <c r="O182" s="28" t="s">
        <v>705</v>
      </c>
      <c r="P182" s="28" t="s">
        <v>473</v>
      </c>
      <c r="Q182" s="28" t="s">
        <v>654</v>
      </c>
      <c r="R182" s="28" t="s">
        <v>409</v>
      </c>
      <c r="S182" s="28" t="s">
        <v>756</v>
      </c>
      <c r="T182" s="28" t="s">
        <v>882</v>
      </c>
      <c r="U182" s="28" t="s">
        <v>883</v>
      </c>
      <c r="V182" s="28" t="s">
        <v>594</v>
      </c>
      <c r="W182" s="28" t="s">
        <v>358</v>
      </c>
      <c r="X182" s="28" t="s">
        <v>884</v>
      </c>
      <c r="Y182" s="28" t="s">
        <v>885</v>
      </c>
      <c r="Z182" s="28" t="s">
        <v>886</v>
      </c>
      <c r="AA182" s="28" t="s">
        <v>423</v>
      </c>
      <c r="AB182" s="28" t="s">
        <v>446</v>
      </c>
      <c r="AC182" s="28" t="s">
        <v>627</v>
      </c>
      <c r="AD182" s="28" t="s">
        <v>516</v>
      </c>
      <c r="AE182" s="28" t="s">
        <v>887</v>
      </c>
      <c r="AF182" s="28" t="s">
        <v>451</v>
      </c>
      <c r="AG182" s="28" t="s">
        <v>888</v>
      </c>
      <c r="AH182" s="28" t="s">
        <v>460</v>
      </c>
      <c r="AI182" s="28" t="s">
        <v>495</v>
      </c>
      <c r="AJ182" s="28" t="s">
        <v>263</v>
      </c>
      <c r="AK182" s="28" t="s">
        <v>889</v>
      </c>
      <c r="AL182" s="28" t="s">
        <v>306</v>
      </c>
      <c r="AM182" s="28" t="s">
        <v>890</v>
      </c>
      <c r="AN182" s="28" t="s">
        <v>279</v>
      </c>
      <c r="AO182" s="28" t="s">
        <v>532</v>
      </c>
      <c r="AP182" s="28" t="s">
        <v>723</v>
      </c>
      <c r="AQ182" s="28" t="s">
        <v>389</v>
      </c>
      <c r="AR182" s="28" t="s">
        <v>696</v>
      </c>
      <c r="AS182" s="28" t="s">
        <v>470</v>
      </c>
      <c r="AT182" s="28" t="s">
        <v>417</v>
      </c>
      <c r="AU182" s="28" t="s">
        <v>780</v>
      </c>
      <c r="AV182" s="28" t="s">
        <v>300</v>
      </c>
      <c r="AW182" s="28" t="s">
        <v>891</v>
      </c>
      <c r="AX182" s="28" t="s">
        <v>440</v>
      </c>
      <c r="AY182" s="28" t="s">
        <v>624</v>
      </c>
      <c r="AZ182" s="28" t="s">
        <v>377</v>
      </c>
      <c r="BA182" s="28" t="s">
        <v>892</v>
      </c>
      <c r="BB182" s="28" t="s">
        <v>893</v>
      </c>
      <c r="BC182" s="28" t="s">
        <v>894</v>
      </c>
      <c r="BD182" s="28" t="s">
        <v>747</v>
      </c>
      <c r="BE182" s="28" t="s">
        <v>309</v>
      </c>
      <c r="BF182" s="28" t="s">
        <v>895</v>
      </c>
      <c r="BG182" s="28" t="s">
        <v>588</v>
      </c>
      <c r="BH182" s="28" t="s">
        <v>896</v>
      </c>
      <c r="BI182" s="28" t="s">
        <v>580</v>
      </c>
      <c r="BJ182" s="28" t="s">
        <v>454</v>
      </c>
      <c r="BK182" s="28" t="s">
        <v>768</v>
      </c>
      <c r="BL182" s="28" t="s">
        <v>457</v>
      </c>
      <c r="BM182" s="28" t="s">
        <v>545</v>
      </c>
      <c r="BN182" s="28" t="s">
        <v>591</v>
      </c>
      <c r="BO182" s="28" t="s">
        <v>434</v>
      </c>
      <c r="BP182" s="28" t="s">
        <v>897</v>
      </c>
      <c r="BQ182" s="28" t="s">
        <v>726</v>
      </c>
      <c r="BR182" s="28" t="s">
        <v>792</v>
      </c>
      <c r="BS182" s="28" t="s">
        <v>660</v>
      </c>
      <c r="BT182" s="28" t="s">
        <v>366</v>
      </c>
      <c r="BU182" s="28" t="s">
        <v>633</v>
      </c>
      <c r="BV182" s="28" t="s">
        <v>321</v>
      </c>
      <c r="BW182" s="28" t="s">
        <v>343</v>
      </c>
      <c r="BX182" s="28" t="s">
        <v>349</v>
      </c>
      <c r="BY182" s="28" t="s">
        <v>492</v>
      </c>
      <c r="BZ182" s="28" t="s">
        <v>576</v>
      </c>
      <c r="CA182" s="28" t="s">
        <v>898</v>
      </c>
      <c r="CB182" s="28" t="s">
        <v>899</v>
      </c>
      <c r="CC182" s="28" t="s">
        <v>392</v>
      </c>
      <c r="CD182" s="28" t="s">
        <v>729</v>
      </c>
      <c r="CE182" s="28" t="s">
        <v>900</v>
      </c>
      <c r="CF182" s="28" t="s">
        <v>774</v>
      </c>
      <c r="CG182" s="28" t="s">
        <v>901</v>
      </c>
      <c r="CH182" s="28" t="s">
        <v>618</v>
      </c>
      <c r="CI182" s="28" t="s">
        <v>902</v>
      </c>
      <c r="CJ182" s="28" t="s">
        <v>282</v>
      </c>
      <c r="CK182" s="28" t="s">
        <v>288</v>
      </c>
      <c r="CL182" s="28" t="s">
        <v>297</v>
      </c>
      <c r="CM182" s="28" t="s">
        <v>669</v>
      </c>
      <c r="CN182" s="28" t="s">
        <v>903</v>
      </c>
      <c r="CO182" s="28" t="s">
        <v>904</v>
      </c>
      <c r="CP182" s="28" t="s">
        <v>636</v>
      </c>
      <c r="CQ182" s="28" t="s">
        <v>905</v>
      </c>
      <c r="CR182" s="28" t="s">
        <v>639</v>
      </c>
      <c r="CS182" s="28" t="s">
        <v>267</v>
      </c>
      <c r="CT182" s="28" t="s">
        <v>565</v>
      </c>
      <c r="CU182" s="28" t="s">
        <v>675</v>
      </c>
      <c r="CV182" s="28" t="s">
        <v>537</v>
      </c>
      <c r="CW182" s="28" t="s">
        <v>906</v>
      </c>
      <c r="CX182" s="28" t="s">
        <v>465</v>
      </c>
      <c r="CY182" s="28" t="s">
        <v>690</v>
      </c>
      <c r="CZ182" s="28" t="s">
        <v>681</v>
      </c>
      <c r="DA182" s="28" t="s">
        <v>732</v>
      </c>
      <c r="DB182" s="28" t="s">
        <v>556</v>
      </c>
      <c r="DC182" s="28" t="s">
        <v>443</v>
      </c>
      <c r="DD182" s="28" t="s">
        <v>333</v>
      </c>
      <c r="DE182" s="28" t="s">
        <v>777</v>
      </c>
      <c r="DF182" s="28" t="s">
        <v>907</v>
      </c>
      <c r="DG182" s="28" t="s">
        <v>603</v>
      </c>
      <c r="DH182" s="28" t="s">
        <v>693</v>
      </c>
      <c r="DI182" s="28" t="s">
        <v>571</v>
      </c>
      <c r="DJ182" s="28" t="s">
        <v>559</v>
      </c>
      <c r="DK182" s="28" t="s">
        <v>551</v>
      </c>
      <c r="DL182" s="28" t="s">
        <v>908</v>
      </c>
      <c r="DM182" s="28" t="s">
        <v>330</v>
      </c>
      <c r="DN182" s="28" t="s">
        <v>478</v>
      </c>
      <c r="DO182" s="28" t="s">
        <v>414</v>
      </c>
      <c r="DP182" s="28" t="s">
        <v>720</v>
      </c>
      <c r="DQ182" s="28" t="s">
        <v>401</v>
      </c>
      <c r="DR182" s="28" t="s">
        <v>909</v>
      </c>
      <c r="DS182" s="28" t="s">
        <v>910</v>
      </c>
      <c r="DT182" s="28" t="s">
        <v>361</v>
      </c>
      <c r="DU182" s="28" t="s">
        <v>735</v>
      </c>
      <c r="DV182" s="28" t="s">
        <v>621</v>
      </c>
      <c r="DW182" s="28" t="s">
        <v>521</v>
      </c>
      <c r="DX182" s="28" t="s">
        <v>911</v>
      </c>
      <c r="DY182" s="28" t="s">
        <v>912</v>
      </c>
      <c r="DZ182" s="28" t="s">
        <v>568</v>
      </c>
      <c r="EA182" s="28" t="s">
        <v>913</v>
      </c>
      <c r="EB182" s="28" t="s">
        <v>291</v>
      </c>
      <c r="EC182" s="28" t="s">
        <v>303</v>
      </c>
      <c r="ED182" s="28" t="s">
        <v>914</v>
      </c>
      <c r="EE182" s="28" t="s">
        <v>915</v>
      </c>
      <c r="EF182" s="28" t="s">
        <v>798</v>
      </c>
      <c r="EG182" s="28" t="s">
        <v>524</v>
      </c>
      <c r="EH182" s="28" t="s">
        <v>585</v>
      </c>
      <c r="EI182" s="28" t="s">
        <v>916</v>
      </c>
      <c r="EJ182" s="28" t="s">
        <v>738</v>
      </c>
      <c r="EK182" s="28" t="s">
        <v>702</v>
      </c>
      <c r="EL182" s="28" t="s">
        <v>917</v>
      </c>
      <c r="EM182" s="28" t="s">
        <v>918</v>
      </c>
      <c r="EN182" s="28" t="s">
        <v>919</v>
      </c>
      <c r="EO182" s="28" t="s">
        <v>501</v>
      </c>
      <c r="EP182" s="28" t="s">
        <v>294</v>
      </c>
      <c r="EQ182" s="28" t="s">
        <v>285</v>
      </c>
      <c r="ER182" s="28" t="s">
        <v>420</v>
      </c>
      <c r="ES182" s="28" t="s">
        <v>920</v>
      </c>
      <c r="ET182" s="28" t="s">
        <v>921</v>
      </c>
      <c r="EU182" s="28" t="s">
        <v>922</v>
      </c>
      <c r="EV182" s="28" t="s">
        <v>923</v>
      </c>
      <c r="EW182" s="28" t="s">
        <v>513</v>
      </c>
      <c r="EX182" s="28" t="s">
        <v>1000</v>
      </c>
      <c r="EY182" s="28" t="s">
        <v>252</v>
      </c>
      <c r="EZ182" s="28" t="s">
        <v>872</v>
      </c>
      <c r="FA182" s="28" t="s">
        <v>924</v>
      </c>
      <c r="FB182" s="29" t="s">
        <v>925</v>
      </c>
    </row>
    <row r="183" spans="2:158" x14ac:dyDescent="0.35">
      <c r="B183" s="18" t="s">
        <v>1248</v>
      </c>
      <c r="C183" s="9">
        <v>484000</v>
      </c>
      <c r="D183" s="9" t="s">
        <v>969</v>
      </c>
      <c r="E183" s="17">
        <v>1.008982300780032</v>
      </c>
      <c r="F183" s="17">
        <v>0.62935902831747315</v>
      </c>
      <c r="G183" s="17">
        <v>0.80656485762397334</v>
      </c>
      <c r="H183" s="17">
        <v>1.0884108577798601</v>
      </c>
      <c r="I183" s="17">
        <v>0.82529674515325735</v>
      </c>
      <c r="J183" s="17">
        <v>0.84947558040500815</v>
      </c>
      <c r="K183" s="17">
        <v>0.80353981322375079</v>
      </c>
      <c r="L183" s="17">
        <v>0.3708015038423973</v>
      </c>
      <c r="M183" s="17">
        <v>0.33176486878491906</v>
      </c>
      <c r="N183" s="17">
        <v>0.33270868921402297</v>
      </c>
      <c r="O183" s="17">
        <v>1.1430762664108844</v>
      </c>
      <c r="P183" s="17">
        <v>0.54576266273591889</v>
      </c>
      <c r="Q183" s="17">
        <v>0.74123063468384642</v>
      </c>
      <c r="R183" s="17">
        <v>1.094023620053524</v>
      </c>
      <c r="S183" s="17">
        <v>1.6822234152984392</v>
      </c>
      <c r="T183" s="17">
        <v>0.48704363537889156</v>
      </c>
      <c r="U183" s="17">
        <v>0.63034461129213504</v>
      </c>
      <c r="V183" s="17">
        <v>1.1611599302737992</v>
      </c>
      <c r="W183" s="17">
        <v>0.79153775368824009</v>
      </c>
      <c r="X183" s="17">
        <v>0.62848817925489375</v>
      </c>
      <c r="Y183" s="17">
        <v>1.046774521517736</v>
      </c>
      <c r="Z183" s="17">
        <v>0.53065490183944719</v>
      </c>
      <c r="AA183" s="17">
        <v>1.1028567338230379</v>
      </c>
      <c r="AB183" s="17">
        <v>0.22880420178791122</v>
      </c>
      <c r="AC183" s="17">
        <v>0.87577002306503793</v>
      </c>
      <c r="AD183" s="17">
        <v>1.0735679892497298</v>
      </c>
      <c r="AE183" s="17">
        <v>0.49802658664084815</v>
      </c>
      <c r="AF183" s="17">
        <v>0.58815502310551904</v>
      </c>
      <c r="AG183" s="17">
        <v>0.98361129845329509</v>
      </c>
      <c r="AH183" s="17">
        <v>0.75907381319601352</v>
      </c>
      <c r="AI183" s="17">
        <v>0.48366899744794506</v>
      </c>
      <c r="AJ183" s="17">
        <v>0.57760433265739963</v>
      </c>
      <c r="AK183" s="17">
        <v>0.66683764019587999</v>
      </c>
      <c r="AL183" s="17">
        <v>0.28856777475044892</v>
      </c>
      <c r="AM183" s="17">
        <v>0.85286554515879931</v>
      </c>
      <c r="AN183" s="17">
        <v>0.45619639138454321</v>
      </c>
      <c r="AO183" s="17">
        <v>0.66754145404823562</v>
      </c>
      <c r="AP183" s="17">
        <v>1.8055334599491357</v>
      </c>
      <c r="AQ183" s="17">
        <v>0.79574499039320623</v>
      </c>
      <c r="AR183" s="17">
        <v>2.138740767238692</v>
      </c>
      <c r="AS183" s="17">
        <v>0.59338630774588441</v>
      </c>
      <c r="AT183" s="17">
        <v>0.66906210192052429</v>
      </c>
      <c r="AU183" s="17">
        <v>0.51269631831694484</v>
      </c>
      <c r="AV183" s="17">
        <v>0.37687157157690249</v>
      </c>
      <c r="AW183" s="17">
        <v>0.93951563930664861</v>
      </c>
      <c r="AX183" s="17">
        <v>0.2740741471382302</v>
      </c>
      <c r="AY183" s="17">
        <v>0.7781621803890294</v>
      </c>
      <c r="AZ183" s="17">
        <v>0.66104184402027666</v>
      </c>
      <c r="BA183" s="17">
        <v>0.64833702979190666</v>
      </c>
      <c r="BB183" s="17">
        <v>0.77480734547104613</v>
      </c>
      <c r="BC183" s="17">
        <v>0.52402399874817496</v>
      </c>
      <c r="BD183" s="17">
        <v>0.79770887488245079</v>
      </c>
      <c r="BE183" s="17">
        <v>0.37603603575723193</v>
      </c>
      <c r="BF183" s="17">
        <v>0.53188304918232832</v>
      </c>
      <c r="BG183" s="17">
        <v>0.61293245719215195</v>
      </c>
      <c r="BH183" s="17">
        <v>0.70537070056238227</v>
      </c>
      <c r="BI183" s="17">
        <v>1.0016234194554154</v>
      </c>
      <c r="BJ183" s="17">
        <v>0.50075139053383066</v>
      </c>
      <c r="BK183" s="17">
        <v>0.5666383967525731</v>
      </c>
      <c r="BL183" s="17">
        <v>0.6391419211552043</v>
      </c>
      <c r="BM183" s="17">
        <v>1.007799432312974</v>
      </c>
      <c r="BN183" s="17">
        <v>1.0448650986993551</v>
      </c>
      <c r="BO183" s="17">
        <v>0.20287813658421183</v>
      </c>
      <c r="BP183" s="17">
        <v>2.6629068773169471</v>
      </c>
      <c r="BQ183" s="17">
        <v>1.7116993352953853</v>
      </c>
      <c r="BR183" s="17">
        <v>0.4174337206295326</v>
      </c>
      <c r="BS183" s="17">
        <v>0.4025790046171549</v>
      </c>
      <c r="BT183" s="17">
        <v>0.38384355088760791</v>
      </c>
      <c r="BU183" s="17">
        <v>1.1403273066137116</v>
      </c>
      <c r="BV183" s="17">
        <v>1.2216348484492039</v>
      </c>
      <c r="BW183" s="17">
        <v>0.58763344600575096</v>
      </c>
      <c r="BX183" s="17">
        <v>1.0371140921115316</v>
      </c>
      <c r="BY183" s="17">
        <v>0.47467279975733034</v>
      </c>
      <c r="BZ183" s="17">
        <v>1.3707105435833251</v>
      </c>
      <c r="CA183" s="17">
        <v>0.8823181287488312</v>
      </c>
      <c r="CB183" s="17">
        <v>0.47749865226613342</v>
      </c>
      <c r="CC183" s="17">
        <v>1.0442850055969553</v>
      </c>
      <c r="CD183" s="17">
        <v>1.4048952724701071</v>
      </c>
      <c r="CE183" s="17">
        <v>0.87791979428432643</v>
      </c>
      <c r="CF183" s="17">
        <v>1.0348482939931234</v>
      </c>
      <c r="CG183" s="17">
        <v>0.50113792617389252</v>
      </c>
      <c r="CH183" s="17">
        <v>0.62396426905264424</v>
      </c>
      <c r="CI183" s="17">
        <v>0.90226312897248928</v>
      </c>
      <c r="CJ183" s="17">
        <v>0.41199296416274861</v>
      </c>
      <c r="CK183" s="17">
        <v>0.22119752646065857</v>
      </c>
      <c r="CL183" s="17">
        <v>0.64832861310131862</v>
      </c>
      <c r="CM183" s="17">
        <v>0.97402350695616613</v>
      </c>
      <c r="CN183" s="17">
        <v>1.4639884206999594</v>
      </c>
      <c r="CO183" s="17">
        <v>0.8633827029321105</v>
      </c>
      <c r="CP183" s="17">
        <v>0.83400283717525703</v>
      </c>
      <c r="CQ183" s="17">
        <v>1.2598242383655758</v>
      </c>
      <c r="CR183" s="17">
        <v>0.55585532323212039</v>
      </c>
      <c r="CS183" s="17">
        <v>0.69346858710840698</v>
      </c>
      <c r="CT183" s="17">
        <v>1.3358675186116129</v>
      </c>
      <c r="CU183" s="17">
        <v>2.8097685988383914</v>
      </c>
      <c r="CV183" s="17">
        <v>0.72924411356088537</v>
      </c>
      <c r="CW183" s="17">
        <v>0.48766088140971603</v>
      </c>
      <c r="CX183" s="17">
        <v>1.4388373700549857</v>
      </c>
      <c r="CY183" s="17">
        <v>0.73759183922593519</v>
      </c>
      <c r="CZ183" s="17">
        <v>0.47774342412486553</v>
      </c>
      <c r="DA183" s="17">
        <v>0.67666507960208833</v>
      </c>
      <c r="DB183" s="17">
        <v>0.89882763852491532</v>
      </c>
      <c r="DC183" s="17">
        <v>0.32836828144950087</v>
      </c>
      <c r="DD183" s="17">
        <v>0.34588832031822608</v>
      </c>
      <c r="DE183" s="17">
        <v>0.79760851652024667</v>
      </c>
      <c r="DF183" s="17">
        <v>0.40369905747308998</v>
      </c>
      <c r="DG183" s="17">
        <v>0.61981209851337549</v>
      </c>
      <c r="DH183" s="17">
        <v>1.9628911020006066</v>
      </c>
      <c r="DI183" s="17">
        <v>1.3860713517858334</v>
      </c>
      <c r="DJ183" s="17">
        <v>0.58115643358215097</v>
      </c>
      <c r="DK183" s="17">
        <v>0.84855617447750165</v>
      </c>
      <c r="DL183" s="17">
        <v>0.70610406387481761</v>
      </c>
      <c r="DM183" s="17">
        <v>0.86439636260562702</v>
      </c>
      <c r="DN183" s="17">
        <v>0.77187127322074112</v>
      </c>
      <c r="DO183" s="17">
        <v>0.54353872338023923</v>
      </c>
      <c r="DP183" s="17">
        <v>1.1565702545344447</v>
      </c>
      <c r="DQ183" s="17">
        <v>0.41507964446791334</v>
      </c>
      <c r="DR183" s="17">
        <v>0.66049488254102262</v>
      </c>
      <c r="DS183" s="17">
        <v>2.0651116572726296</v>
      </c>
      <c r="DT183" s="17">
        <v>0.37327951267394233</v>
      </c>
      <c r="DU183" s="17">
        <v>2.7105930990464335</v>
      </c>
      <c r="DV183" s="17">
        <v>0.95177371335804006</v>
      </c>
      <c r="DW183" s="17">
        <v>0.6168733065317159</v>
      </c>
      <c r="DX183" s="17">
        <v>0.5468790428261201</v>
      </c>
      <c r="DY183" s="17">
        <v>0.63650543130430537</v>
      </c>
      <c r="DZ183" s="17">
        <v>0.67410319846094147</v>
      </c>
      <c r="EA183" s="17">
        <v>0.57079794849191712</v>
      </c>
      <c r="EB183" s="17">
        <v>0.63838814428011592</v>
      </c>
      <c r="EC183" s="17">
        <v>0.37526110574631732</v>
      </c>
      <c r="ED183" s="17">
        <v>0.8043936775337468</v>
      </c>
      <c r="EE183" s="17">
        <v>1.5454498824866103</v>
      </c>
      <c r="EF183" s="17">
        <v>0.33777800149481269</v>
      </c>
      <c r="EG183" s="17">
        <v>0.88012309483669915</v>
      </c>
      <c r="EH183" s="17">
        <v>1.9285450805494773</v>
      </c>
      <c r="EI183" s="17">
        <v>1.3271032924832806</v>
      </c>
      <c r="EJ183" s="17">
        <v>2.4009078317574377</v>
      </c>
      <c r="EK183" s="17">
        <v>0.90006005817439061</v>
      </c>
      <c r="EL183" s="17">
        <v>0.89993869958900363</v>
      </c>
      <c r="EM183" s="17">
        <v>0.96098746456697681</v>
      </c>
      <c r="EN183" s="17">
        <v>0.49840765892904065</v>
      </c>
      <c r="EO183" s="17">
        <v>0.41568542986676305</v>
      </c>
      <c r="EP183" s="17">
        <v>2.7555793733890437</v>
      </c>
      <c r="EQ183" s="17">
        <v>0.29103669348129868</v>
      </c>
      <c r="ER183" s="17">
        <v>0.637713403315606</v>
      </c>
      <c r="ES183" s="17">
        <v>0.50302961508883515</v>
      </c>
      <c r="ET183" s="17">
        <v>1.544244926454269</v>
      </c>
      <c r="EU183" s="17">
        <v>0.58327797849259055</v>
      </c>
      <c r="EV183" s="17">
        <v>0.91407820507835069</v>
      </c>
      <c r="EW183" s="17">
        <v>0.89403154756068293</v>
      </c>
      <c r="EX183" s="17">
        <v>0.72924411356088537</v>
      </c>
      <c r="EY183" s="51">
        <v>2025</v>
      </c>
      <c r="EZ183" s="51" t="s">
        <v>873</v>
      </c>
      <c r="FA183" s="77" t="s">
        <v>928</v>
      </c>
      <c r="FB183" s="114" t="s">
        <v>929</v>
      </c>
    </row>
    <row r="184" spans="2:158" x14ac:dyDescent="0.35">
      <c r="B184" s="18" t="s">
        <v>1249</v>
      </c>
      <c r="C184" s="9">
        <v>483000</v>
      </c>
      <c r="D184" s="9" t="s">
        <v>968</v>
      </c>
      <c r="E184" s="17">
        <v>1.128240851938102</v>
      </c>
      <c r="F184" s="17">
        <v>0.69146149753877573</v>
      </c>
      <c r="G184" s="17">
        <v>0.91209797072671284</v>
      </c>
      <c r="H184" s="17">
        <v>1.2472134081626991</v>
      </c>
      <c r="I184" s="17">
        <v>1.8623257458065101</v>
      </c>
      <c r="J184" s="17">
        <v>0.99255145095109309</v>
      </c>
      <c r="K184" s="17">
        <v>0.82419911579323546</v>
      </c>
      <c r="L184" s="17">
        <v>0.91524687101590052</v>
      </c>
      <c r="M184" s="17">
        <v>0.3828711705123144</v>
      </c>
      <c r="N184" s="17">
        <v>3.2022216606312783</v>
      </c>
      <c r="O184" s="17">
        <v>1.2565192382991992</v>
      </c>
      <c r="P184" s="17">
        <v>0.61406738323371912</v>
      </c>
      <c r="Q184" s="17">
        <v>0.80919182467240502</v>
      </c>
      <c r="R184" s="17">
        <v>1.7513952694755344</v>
      </c>
      <c r="S184" s="17">
        <v>1.911896353675427</v>
      </c>
      <c r="T184" s="17">
        <v>0.55997037927762339</v>
      </c>
      <c r="U184" s="17">
        <v>0.73531927393980356</v>
      </c>
      <c r="V184" s="17">
        <v>1.2695860185296728</v>
      </c>
      <c r="W184" s="17">
        <v>1.811327904351544</v>
      </c>
      <c r="X184" s="17">
        <v>0.71216357020407584</v>
      </c>
      <c r="Y184" s="17">
        <v>1.1855048688458487</v>
      </c>
      <c r="Z184" s="17">
        <v>0.61568322421787625</v>
      </c>
      <c r="AA184" s="17">
        <v>2.3448669976344472</v>
      </c>
      <c r="AB184" s="17">
        <v>0.56214969378070734</v>
      </c>
      <c r="AC184" s="17">
        <v>2.3498876348712958</v>
      </c>
      <c r="AD184" s="17">
        <v>1.1977947416445416</v>
      </c>
      <c r="AE184" s="17">
        <v>0.5513961503522512</v>
      </c>
      <c r="AF184" s="17">
        <v>0.64528879591408161</v>
      </c>
      <c r="AG184" s="17">
        <v>1.1091335974765737</v>
      </c>
      <c r="AH184" s="17">
        <v>1.5523255670074572</v>
      </c>
      <c r="AI184" s="17">
        <v>1.8404151349169566</v>
      </c>
      <c r="AJ184" s="17">
        <v>0.31901631588049689</v>
      </c>
      <c r="AK184" s="17">
        <v>1.7453557733981842</v>
      </c>
      <c r="AL184" s="17">
        <v>0.68782848463809432</v>
      </c>
      <c r="AM184" s="17">
        <v>1.0050706346242444</v>
      </c>
      <c r="AN184" s="17">
        <v>1.1812059696227402</v>
      </c>
      <c r="AO184" s="17">
        <v>0.73850216495956766</v>
      </c>
      <c r="AP184" s="17">
        <v>1.9580779123491332</v>
      </c>
      <c r="AQ184" s="17">
        <v>0.86856862093962428</v>
      </c>
      <c r="AR184" s="17">
        <v>2.3064124327520998</v>
      </c>
      <c r="AS184" s="17">
        <v>4.1930432665626665</v>
      </c>
      <c r="AT184" s="17">
        <v>1.4047804638943333</v>
      </c>
      <c r="AU184" s="17">
        <v>0.56709703599090111</v>
      </c>
      <c r="AV184" s="17">
        <v>1.3763539374284306</v>
      </c>
      <c r="AW184" s="17">
        <v>1.0711195437830447</v>
      </c>
      <c r="AX184" s="17">
        <v>0.97414268863626041</v>
      </c>
      <c r="AY184" s="17">
        <v>0.84820385119052699</v>
      </c>
      <c r="AZ184" s="17">
        <v>1.7552661036305053</v>
      </c>
      <c r="BA184" s="17">
        <v>0.74564573100708109</v>
      </c>
      <c r="BB184" s="17">
        <v>0.87155306061714433</v>
      </c>
      <c r="BC184" s="17">
        <v>0.58864325674155016</v>
      </c>
      <c r="BD184" s="17">
        <v>0.9001118663271892</v>
      </c>
      <c r="BE184" s="17">
        <v>2.5373927278911883</v>
      </c>
      <c r="BF184" s="17">
        <v>0.61623732903816075</v>
      </c>
      <c r="BG184" s="17">
        <v>0.68105076732927416</v>
      </c>
      <c r="BH184" s="17">
        <v>2.4746963064453231</v>
      </c>
      <c r="BI184" s="17">
        <v>1.1483930932304269</v>
      </c>
      <c r="BJ184" s="17">
        <v>2.8532295299271704</v>
      </c>
      <c r="BK184" s="17">
        <v>0.63860771167113795</v>
      </c>
      <c r="BL184" s="17">
        <v>2.220767192058275</v>
      </c>
      <c r="BM184" s="17">
        <v>3.0664780096243209</v>
      </c>
      <c r="BN184" s="17">
        <v>2.3087842209053946</v>
      </c>
      <c r="BO184" s="17">
        <v>1.1913975865421047</v>
      </c>
      <c r="BP184" s="17">
        <v>2.872830026139698</v>
      </c>
      <c r="BQ184" s="17">
        <v>1.8395847388538751</v>
      </c>
      <c r="BR184" s="17">
        <v>1.2479049318494577</v>
      </c>
      <c r="BS184" s="17">
        <v>1.1920381090291543</v>
      </c>
      <c r="BT184" s="17">
        <v>2.0328557835055552</v>
      </c>
      <c r="BU184" s="17">
        <v>1.2830456281647515</v>
      </c>
      <c r="BV184" s="17">
        <v>1.3731492856976191</v>
      </c>
      <c r="BW184" s="17">
        <v>2.6014199374104519</v>
      </c>
      <c r="BX184" s="17">
        <v>0.75172586583002043</v>
      </c>
      <c r="BY184" s="17">
        <v>0.52538692661588704</v>
      </c>
      <c r="BZ184" s="17">
        <v>1.5080253431380095</v>
      </c>
      <c r="CA184" s="17">
        <v>1.0480947057265757</v>
      </c>
      <c r="CB184" s="17">
        <v>0.55714001297185622</v>
      </c>
      <c r="CC184" s="17">
        <v>2.8234688781575836</v>
      </c>
      <c r="CD184" s="17">
        <v>1.5503154777425692</v>
      </c>
      <c r="CE184" s="17">
        <v>5.4082199035460148</v>
      </c>
      <c r="CF184" s="17">
        <v>1.1612276261336141</v>
      </c>
      <c r="CG184" s="17">
        <v>0.5823445767100478</v>
      </c>
      <c r="CH184" s="17">
        <v>0.69465167967641817</v>
      </c>
      <c r="CI184" s="17">
        <v>1.0793766088040884</v>
      </c>
      <c r="CJ184" s="17">
        <v>1.4706217712157661</v>
      </c>
      <c r="CK184" s="17">
        <v>1.2164188888683951</v>
      </c>
      <c r="CL184" s="17">
        <v>0.63433308327409776</v>
      </c>
      <c r="CM184" s="17">
        <v>1.5751693719392763</v>
      </c>
      <c r="CN184" s="17">
        <v>1.6409241358945539</v>
      </c>
      <c r="CO184" s="17">
        <v>1.0231145710570404</v>
      </c>
      <c r="CP184" s="17">
        <v>1.9189171193857084</v>
      </c>
      <c r="CQ184" s="17">
        <v>1.4481229978315744</v>
      </c>
      <c r="CR184" s="17">
        <v>0.62901627525887127</v>
      </c>
      <c r="CS184" s="17">
        <v>5.8928164023660221</v>
      </c>
      <c r="CT184" s="17">
        <v>2.0413329105373084</v>
      </c>
      <c r="CU184" s="17">
        <v>3.1424472797382501</v>
      </c>
      <c r="CV184" s="17">
        <v>0.8394300260183426</v>
      </c>
      <c r="CW184" s="17">
        <v>0.56881397911898524</v>
      </c>
      <c r="CX184" s="17">
        <v>0.76808171356250343</v>
      </c>
      <c r="CY184" s="17">
        <v>0.83758983862172998</v>
      </c>
      <c r="CZ184" s="17">
        <v>0.53291950594074788</v>
      </c>
      <c r="DA184" s="17">
        <v>0.73266762229097493</v>
      </c>
      <c r="DB184" s="17">
        <v>1.0214691287517299</v>
      </c>
      <c r="DC184" s="17">
        <v>1.6666815121615015</v>
      </c>
      <c r="DD184" s="17">
        <v>1.7232819137453086</v>
      </c>
      <c r="DE184" s="17">
        <v>0.89643309464379073</v>
      </c>
      <c r="DF184" s="17">
        <v>0.50764103527658122</v>
      </c>
      <c r="DG184" s="17">
        <v>1.5016167057946328</v>
      </c>
      <c r="DH184" s="17">
        <v>2.1555200987276448</v>
      </c>
      <c r="DI184" s="17">
        <v>1.4879766168425161</v>
      </c>
      <c r="DJ184" s="17">
        <v>1.8139676955547546</v>
      </c>
      <c r="DK184" s="17">
        <v>3.0175170780989964</v>
      </c>
      <c r="DL184" s="17">
        <v>0.80466765067602886</v>
      </c>
      <c r="DM184" s="17">
        <v>0.95675358671684241</v>
      </c>
      <c r="DN184" s="17">
        <v>2.0040582336023012</v>
      </c>
      <c r="DO184" s="17">
        <v>0.61633306229114992</v>
      </c>
      <c r="DP184" s="17">
        <v>1.2667016667701911</v>
      </c>
      <c r="DQ184" s="17">
        <v>0.56350289828221878</v>
      </c>
      <c r="DR184" s="17">
        <v>1.3369398801111791</v>
      </c>
      <c r="DS184" s="17">
        <v>3.6067139946230253</v>
      </c>
      <c r="DT184" s="17">
        <v>0.43243619106547326</v>
      </c>
      <c r="DU184" s="17">
        <v>2.812805192531489</v>
      </c>
      <c r="DV184" s="17">
        <v>1.0578738673175521</v>
      </c>
      <c r="DW184" s="17">
        <v>2.9051888156984145</v>
      </c>
      <c r="DX184" s="17">
        <v>0.63452945249889203</v>
      </c>
      <c r="DY184" s="17">
        <v>0.7203821873667865</v>
      </c>
      <c r="DZ184" s="17">
        <v>0.77128563333779976</v>
      </c>
      <c r="EA184" s="17">
        <v>0.6947680996630955</v>
      </c>
      <c r="EB184" s="17">
        <v>3.6437414398897223</v>
      </c>
      <c r="EC184" s="17">
        <v>2.4678240928496074</v>
      </c>
      <c r="ED184" s="17">
        <v>0.90876235671843208</v>
      </c>
      <c r="EE184" s="17">
        <v>1.8067544913812394</v>
      </c>
      <c r="EF184" s="17">
        <v>0.3963557841461362</v>
      </c>
      <c r="EG184" s="17">
        <v>0.97193553857863102</v>
      </c>
      <c r="EH184" s="17">
        <v>2.1265310874083525</v>
      </c>
      <c r="EI184" s="17">
        <v>1.5004601751397655</v>
      </c>
      <c r="EJ184" s="17">
        <v>2.6326682702307003</v>
      </c>
      <c r="EK184" s="17">
        <v>0.86625000384962914</v>
      </c>
      <c r="EL184" s="17">
        <v>1.2445351735271906</v>
      </c>
      <c r="EM184" s="17">
        <v>1.9805510412873377</v>
      </c>
      <c r="EN184" s="17">
        <v>0.54451964936721531</v>
      </c>
      <c r="EO184" s="17">
        <v>0.46255826841581493</v>
      </c>
      <c r="EP184" s="17">
        <v>3.0429827498993447</v>
      </c>
      <c r="EQ184" s="17">
        <v>0.33020463125836708</v>
      </c>
      <c r="ER184" s="17">
        <v>0.87358345730453302</v>
      </c>
      <c r="ES184" s="17">
        <v>0.58503352876767145</v>
      </c>
      <c r="ET184" s="17">
        <v>4.0328018069286964</v>
      </c>
      <c r="EU184" s="17">
        <v>0.68746212181545219</v>
      </c>
      <c r="EV184" s="17">
        <v>1.0355414951400128</v>
      </c>
      <c r="EW184" s="17">
        <v>7.6261576986001565</v>
      </c>
      <c r="EX184" s="17">
        <v>1.1612276261336141</v>
      </c>
      <c r="EY184" s="51">
        <v>2025</v>
      </c>
      <c r="EZ184" s="51" t="s">
        <v>873</v>
      </c>
      <c r="FA184" s="77" t="s">
        <v>928</v>
      </c>
      <c r="FB184" s="114" t="s">
        <v>929</v>
      </c>
    </row>
    <row r="185" spans="2:158" x14ac:dyDescent="0.35">
      <c r="B185" s="18" t="s">
        <v>1014</v>
      </c>
      <c r="C185" s="9">
        <v>481000</v>
      </c>
      <c r="D185" s="9" t="s">
        <v>966</v>
      </c>
      <c r="E185" s="17">
        <v>1.6909594793116556</v>
      </c>
      <c r="F185" s="17">
        <v>1.0414257509613689</v>
      </c>
      <c r="G185" s="17">
        <v>1.3555532454755308</v>
      </c>
      <c r="H185" s="17">
        <v>1.8370350503015729</v>
      </c>
      <c r="I185" s="17">
        <v>1.9150347280825777</v>
      </c>
      <c r="J185" s="17">
        <v>1.434414099987483</v>
      </c>
      <c r="K185" s="17">
        <v>1.380268820442428</v>
      </c>
      <c r="L185" s="17">
        <v>1.0087195754526108</v>
      </c>
      <c r="M185" s="17">
        <v>0.55362612672270883</v>
      </c>
      <c r="N185" s="17">
        <v>1.1001600317990028</v>
      </c>
      <c r="O185" s="17">
        <v>1.9158114244425597</v>
      </c>
      <c r="P185" s="17">
        <v>0.91147141495942952</v>
      </c>
      <c r="Q185" s="17">
        <v>1.2326913723018622</v>
      </c>
      <c r="R185" s="17">
        <v>0.91052009473254125</v>
      </c>
      <c r="S185" s="17">
        <v>2.8561607820221457</v>
      </c>
      <c r="T185" s="17">
        <v>0.81470802168312517</v>
      </c>
      <c r="U185" s="17">
        <v>1.0592675612282814</v>
      </c>
      <c r="V185" s="17">
        <v>1.9430665874713855</v>
      </c>
      <c r="W185" s="17">
        <v>1.542286181760173</v>
      </c>
      <c r="X185" s="17">
        <v>1.0527323694766155</v>
      </c>
      <c r="Y185" s="17">
        <v>1.7665322332242481</v>
      </c>
      <c r="Z185" s="17">
        <v>0.88921381747412942</v>
      </c>
      <c r="AA185" s="17">
        <v>2.3511584610581058</v>
      </c>
      <c r="AB185" s="17">
        <v>0.99758572036790671</v>
      </c>
      <c r="AC185" s="17">
        <v>2.2635480122831311</v>
      </c>
      <c r="AD185" s="17">
        <v>1.4820555077332034</v>
      </c>
      <c r="AE185" s="17">
        <v>0.82807149331502361</v>
      </c>
      <c r="AF185" s="17">
        <v>0.97902965271548537</v>
      </c>
      <c r="AG185" s="17">
        <v>1.656068123563315</v>
      </c>
      <c r="AH185" s="17">
        <v>1.3255032856987354</v>
      </c>
      <c r="AI185" s="17">
        <v>0.53186609342134927</v>
      </c>
      <c r="AJ185" s="17">
        <v>1.433955951809655</v>
      </c>
      <c r="AK185" s="17">
        <v>0.9428614896303309</v>
      </c>
      <c r="AL185" s="17">
        <v>1.3228418390003052</v>
      </c>
      <c r="AM185" s="17">
        <v>1.4403221847882222</v>
      </c>
      <c r="AN185" s="17">
        <v>0.98662490992850771</v>
      </c>
      <c r="AO185" s="17">
        <v>1.1136496873713921</v>
      </c>
      <c r="AP185" s="17">
        <v>3.0196971011973721</v>
      </c>
      <c r="AQ185" s="17">
        <v>1.3273901131543893</v>
      </c>
      <c r="AR185" s="17">
        <v>3.5724081048786047</v>
      </c>
      <c r="AS185" s="17">
        <v>1.5001251640850879</v>
      </c>
      <c r="AT185" s="17">
        <v>0.54344915873588628</v>
      </c>
      <c r="AU185" s="17">
        <v>0.85550414923573137</v>
      </c>
      <c r="AV185" s="17">
        <v>1.1988201643942584</v>
      </c>
      <c r="AW185" s="17">
        <v>1.5841427612120023</v>
      </c>
      <c r="AX185" s="17">
        <v>1.1625961908433065</v>
      </c>
      <c r="AY185" s="17">
        <v>1.2968881042021543</v>
      </c>
      <c r="AZ185" s="17">
        <v>2.1279247477365861</v>
      </c>
      <c r="BA185" s="17">
        <v>1.0890847602792275</v>
      </c>
      <c r="BB185" s="17">
        <v>1.2991079846589502</v>
      </c>
      <c r="BC185" s="17">
        <v>0.87466570978839708</v>
      </c>
      <c r="BD185" s="17">
        <v>1.3389254584785537</v>
      </c>
      <c r="BE185" s="17">
        <v>1.0689154366014546</v>
      </c>
      <c r="BF185" s="17">
        <v>0.89149123921834761</v>
      </c>
      <c r="BG185" s="17">
        <v>1.0229776895753355</v>
      </c>
      <c r="BH185" s="17">
        <v>1.5528042646755065</v>
      </c>
      <c r="BI185" s="17">
        <v>1.6917506433015868</v>
      </c>
      <c r="BJ185" s="17">
        <v>0.63560805371894069</v>
      </c>
      <c r="BK185" s="17">
        <v>0.94167831073054686</v>
      </c>
      <c r="BL185" s="17">
        <v>1.6062358012469646</v>
      </c>
      <c r="BM185" s="17">
        <v>0.9295772502303441</v>
      </c>
      <c r="BN185" s="17">
        <v>2.6643648501269772</v>
      </c>
      <c r="BO185" s="17">
        <v>3.7511745124300235</v>
      </c>
      <c r="BP185" s="17">
        <v>4.4559248340490711</v>
      </c>
      <c r="BQ185" s="17">
        <v>2.8448299468797673</v>
      </c>
      <c r="BR185" s="17">
        <v>1.2404313519725363</v>
      </c>
      <c r="BS185" s="17">
        <v>0.64324532853010907</v>
      </c>
      <c r="BT185" s="17">
        <v>0.96935941983898954</v>
      </c>
      <c r="BU185" s="17">
        <v>1.9225888084978724</v>
      </c>
      <c r="BV185" s="17">
        <v>2.0590437774619916</v>
      </c>
      <c r="BW185" s="17">
        <v>0.37404462567548258</v>
      </c>
      <c r="BX185" s="17">
        <v>1.5017426094556776</v>
      </c>
      <c r="BY185" s="17">
        <v>0.79127119882102059</v>
      </c>
      <c r="BZ185" s="17">
        <v>2.791063286752733</v>
      </c>
      <c r="CA185" s="17">
        <v>1.4914618943318432</v>
      </c>
      <c r="CB185" s="17">
        <v>0.79910627633328135</v>
      </c>
      <c r="CC185" s="17">
        <v>1.8308740931614758</v>
      </c>
      <c r="CD185" s="17">
        <v>2.3508185029274657</v>
      </c>
      <c r="CE185" s="17">
        <v>1.8534233902022554</v>
      </c>
      <c r="CF185" s="17">
        <v>1.7409733016388358</v>
      </c>
      <c r="CG185" s="17">
        <v>0.83843794328361021</v>
      </c>
      <c r="CH185" s="17">
        <v>1.0412894838692421</v>
      </c>
      <c r="CI185" s="17">
        <v>1.525315515105407</v>
      </c>
      <c r="CJ185" s="17">
        <v>0.39960180926668465</v>
      </c>
      <c r="CK185" s="17">
        <v>1.0168065638581927</v>
      </c>
      <c r="CL185" s="17">
        <v>0.90196171185097318</v>
      </c>
      <c r="CM185" s="17">
        <v>2.4922700620978748</v>
      </c>
      <c r="CN185" s="17">
        <v>2.4712129511817089</v>
      </c>
      <c r="CO185" s="17">
        <v>1.4589144565169647</v>
      </c>
      <c r="CP185" s="17">
        <v>1.1088941390148912</v>
      </c>
      <c r="CQ185" s="17">
        <v>2.1354787012716305</v>
      </c>
      <c r="CR185" s="17">
        <v>0.92966141679144798</v>
      </c>
      <c r="CS185" s="17">
        <v>1.5403006174060911</v>
      </c>
      <c r="CT185" s="17">
        <v>1.1210220468292142</v>
      </c>
      <c r="CU185" s="17">
        <v>4.7723512196490212</v>
      </c>
      <c r="CV185" s="17">
        <v>1.2260413847684701</v>
      </c>
      <c r="CW185" s="17">
        <v>0.81744700457453179</v>
      </c>
      <c r="CX185" s="17">
        <v>2.005170831061621</v>
      </c>
      <c r="CY185" s="17">
        <v>1.2378781002201769</v>
      </c>
      <c r="CZ185" s="17">
        <v>0.79357077670085363</v>
      </c>
      <c r="DA185" s="17">
        <v>1.122451064089776</v>
      </c>
      <c r="DB185" s="17">
        <v>1.5140639101167288</v>
      </c>
      <c r="DC185" s="17">
        <v>1.1301181587130724</v>
      </c>
      <c r="DD185" s="17">
        <v>1.4030991922396374</v>
      </c>
      <c r="DE185" s="17">
        <v>1.3399042466389948</v>
      </c>
      <c r="DF185" s="17">
        <v>0.67067657608003606</v>
      </c>
      <c r="DG185" s="17">
        <v>1.3803740282336345</v>
      </c>
      <c r="DH185" s="17">
        <v>3.3009180017996913</v>
      </c>
      <c r="DI185" s="17">
        <v>2.3080934598806446</v>
      </c>
      <c r="DJ185" s="17">
        <v>0.91913748743105239</v>
      </c>
      <c r="DK185" s="17">
        <v>1.791751413406325</v>
      </c>
      <c r="DL185" s="17">
        <v>1.1859300005050206</v>
      </c>
      <c r="DM185" s="17">
        <v>0.94772774220861655</v>
      </c>
      <c r="DN185" s="17">
        <v>1.1917284345181938</v>
      </c>
      <c r="DO185" s="17">
        <v>0.9101665530866635</v>
      </c>
      <c r="DP185" s="17">
        <v>1.9252466456719337</v>
      </c>
      <c r="DQ185" s="17">
        <v>1.0194714461675456</v>
      </c>
      <c r="DR185" s="17">
        <v>1.5003379564846082</v>
      </c>
      <c r="DS185" s="17">
        <v>2.0738308218791488</v>
      </c>
      <c r="DT185" s="17">
        <v>0.6231346000114949</v>
      </c>
      <c r="DU185" s="17">
        <v>1.6511644632964004</v>
      </c>
      <c r="DV185" s="17">
        <v>1.5955328177113279</v>
      </c>
      <c r="DW185" s="17">
        <v>1.5845137339073363</v>
      </c>
      <c r="DX185" s="17">
        <v>0.91732433157095006</v>
      </c>
      <c r="DY185" s="17">
        <v>1.0665361738772303</v>
      </c>
      <c r="DZ185" s="17">
        <v>1.1328798036204033</v>
      </c>
      <c r="EA185" s="17">
        <v>0.49942768041500812</v>
      </c>
      <c r="EB185" s="17">
        <v>0.74231448455156357</v>
      </c>
      <c r="EC185" s="17">
        <v>1.162459666599913</v>
      </c>
      <c r="ED185" s="17">
        <v>1.3521068639511944</v>
      </c>
      <c r="EE185" s="17">
        <v>2.6338837446960213</v>
      </c>
      <c r="EF185" s="17">
        <v>0.56031858402920953</v>
      </c>
      <c r="EG185" s="17">
        <v>1.4726740334154831</v>
      </c>
      <c r="EH185" s="17">
        <v>2.1625917102928423</v>
      </c>
      <c r="EI185" s="17">
        <v>2.2441615500329632</v>
      </c>
      <c r="EJ185" s="17">
        <v>4.0416097215261599</v>
      </c>
      <c r="EK185" s="17">
        <v>2.3862701312359933</v>
      </c>
      <c r="EL185" s="17">
        <v>2.3281911592194606</v>
      </c>
      <c r="EM185" s="17">
        <v>1.9174664909012347</v>
      </c>
      <c r="EN185" s="17">
        <v>0.82506473074861397</v>
      </c>
      <c r="EO185" s="17">
        <v>0.69325892444166981</v>
      </c>
      <c r="EP185" s="17">
        <v>4.6598063690391607</v>
      </c>
      <c r="EQ185" s="17">
        <v>0.48510874055644393</v>
      </c>
      <c r="ER185" s="17">
        <v>0.97109684765906557</v>
      </c>
      <c r="ES185" s="17">
        <v>0.84273300820939556</v>
      </c>
      <c r="ET185" s="17">
        <v>2.2432153744720962</v>
      </c>
      <c r="EU185" s="17">
        <v>0.97916416700070275</v>
      </c>
      <c r="EV185" s="17">
        <v>1.5388221737251664</v>
      </c>
      <c r="EW185" s="17">
        <v>1.8591050867283501</v>
      </c>
      <c r="EX185" s="17">
        <v>1.3255032856987354</v>
      </c>
      <c r="EY185" s="51">
        <v>2025</v>
      </c>
      <c r="EZ185" s="51" t="s">
        <v>873</v>
      </c>
      <c r="FA185" s="77" t="s">
        <v>928</v>
      </c>
      <c r="FB185" s="114" t="s">
        <v>929</v>
      </c>
    </row>
    <row r="186" spans="2:158" x14ac:dyDescent="0.35">
      <c r="B186" s="22" t="s">
        <v>1250</v>
      </c>
      <c r="C186" s="55">
        <v>482000</v>
      </c>
      <c r="D186" s="55" t="s">
        <v>967</v>
      </c>
      <c r="E186" s="36">
        <v>0.91722663097429324</v>
      </c>
      <c r="F186" s="36">
        <v>0.57333138545197915</v>
      </c>
      <c r="G186" s="36">
        <v>0.73569615503239827</v>
      </c>
      <c r="H186" s="36">
        <v>0.97889136671009502</v>
      </c>
      <c r="I186" s="36">
        <v>0.72454205334360067</v>
      </c>
      <c r="J186" s="36">
        <v>0.75952413540367802</v>
      </c>
      <c r="K186" s="36">
        <v>0.83450040196797626</v>
      </c>
      <c r="L186" s="36">
        <v>0.39630629693531383</v>
      </c>
      <c r="M186" s="36">
        <v>0.29914420257968016</v>
      </c>
      <c r="N186" s="36">
        <v>0.39892471913995198</v>
      </c>
      <c r="O186" s="36">
        <v>1.0603411097875062</v>
      </c>
      <c r="P186" s="36">
        <v>0.49798737489088679</v>
      </c>
      <c r="Q186" s="36">
        <v>0.68690326828394077</v>
      </c>
      <c r="R186" s="36">
        <v>1.0955711365929783</v>
      </c>
      <c r="S186" s="36">
        <v>1.5283080667879041</v>
      </c>
      <c r="T186" s="36">
        <v>0.43886021095635724</v>
      </c>
      <c r="U186" s="36">
        <v>0.56334551249330223</v>
      </c>
      <c r="V186" s="36">
        <v>1.0802699212292999</v>
      </c>
      <c r="W186" s="36">
        <v>0.73419010567212395</v>
      </c>
      <c r="X186" s="36">
        <v>0.57150017161067312</v>
      </c>
      <c r="Y186" s="36">
        <v>0.95558279180968875</v>
      </c>
      <c r="Z186" s="36">
        <v>0.47547809701468657</v>
      </c>
      <c r="AA186" s="36">
        <v>0.98205246129726065</v>
      </c>
      <c r="AB186" s="36">
        <v>0.23542349005092064</v>
      </c>
      <c r="AC186" s="36">
        <v>0.89787083075081897</v>
      </c>
      <c r="AD186" s="36">
        <v>1.2057503265663401</v>
      </c>
      <c r="AE186" s="36">
        <v>0.45791609976605813</v>
      </c>
      <c r="AF186" s="36">
        <v>0.54576346385118935</v>
      </c>
      <c r="AG186" s="36">
        <v>0.89835062688423895</v>
      </c>
      <c r="AH186" s="36">
        <v>0.77851267581171513</v>
      </c>
      <c r="AI186" s="36">
        <v>0.54141654094106428</v>
      </c>
      <c r="AJ186" s="36">
        <v>0.65005589954440135</v>
      </c>
      <c r="AK186" s="36">
        <v>0.66996620577713661</v>
      </c>
      <c r="AL186" s="36">
        <v>0.24021474454118349</v>
      </c>
      <c r="AM186" s="36">
        <v>0.75793257322391627</v>
      </c>
      <c r="AN186" s="36">
        <v>0.56551461908594536</v>
      </c>
      <c r="AO186" s="36">
        <v>0.61519783822189178</v>
      </c>
      <c r="AP186" s="36">
        <v>1.681621183081949</v>
      </c>
      <c r="AQ186" s="36">
        <v>0.74223374354901739</v>
      </c>
      <c r="AR186" s="36">
        <v>1.9986967897424319</v>
      </c>
      <c r="AS186" s="36">
        <v>0.59410048048240349</v>
      </c>
      <c r="AT186" s="36">
        <v>0.69923100033447783</v>
      </c>
      <c r="AU186" s="36">
        <v>0.47573874137366895</v>
      </c>
      <c r="AV186" s="36">
        <v>0.40209838955220395</v>
      </c>
      <c r="AW186" s="36">
        <v>0.85254192486895408</v>
      </c>
      <c r="AX186" s="36">
        <v>0.2738931083739784</v>
      </c>
      <c r="AY186" s="36">
        <v>0.72577921106917909</v>
      </c>
      <c r="AZ186" s="36">
        <v>0.3323953686736047</v>
      </c>
      <c r="BA186" s="36">
        <v>0.58521025091679657</v>
      </c>
      <c r="BB186" s="36">
        <v>0.70708266728105362</v>
      </c>
      <c r="BC186" s="36">
        <v>0.47875799191626917</v>
      </c>
      <c r="BD186" s="36">
        <v>0.72691391708491182</v>
      </c>
      <c r="BE186" s="36">
        <v>0.42170336644037215</v>
      </c>
      <c r="BF186" s="36">
        <v>0.47740833270819855</v>
      </c>
      <c r="BG186" s="36">
        <v>0.56396336369915856</v>
      </c>
      <c r="BH186" s="36">
        <v>0.67871733914722632</v>
      </c>
      <c r="BI186" s="36">
        <v>0.90564155152306269</v>
      </c>
      <c r="BJ186" s="36">
        <v>0.56574365849353037</v>
      </c>
      <c r="BK186" s="36">
        <v>0.50873148054204276</v>
      </c>
      <c r="BL186" s="36">
        <v>0.6867849462917005</v>
      </c>
      <c r="BM186" s="36">
        <v>1.045085008727535</v>
      </c>
      <c r="BN186" s="36">
        <v>1.1255714332059414</v>
      </c>
      <c r="BO186" s="36">
        <v>0.22560023065274143</v>
      </c>
      <c r="BP186" s="36">
        <v>2.4900869989057144</v>
      </c>
      <c r="BQ186" s="36">
        <v>1.5935909901988472</v>
      </c>
      <c r="BR186" s="36">
        <v>0.4908183452790042</v>
      </c>
      <c r="BS186" s="36">
        <v>0.39800038379834901</v>
      </c>
      <c r="BT186" s="36">
        <v>0.37128889837454659</v>
      </c>
      <c r="BU186" s="36">
        <v>1.0429211213862064</v>
      </c>
      <c r="BV186" s="36">
        <v>1.1145837421460927</v>
      </c>
      <c r="BW186" s="36">
        <v>0.22701373330079752</v>
      </c>
      <c r="BX186" s="36">
        <v>0.99040876101658826</v>
      </c>
      <c r="BY186" s="36">
        <v>0.43977775518835643</v>
      </c>
      <c r="BZ186" s="36">
        <v>1.465538754113505</v>
      </c>
      <c r="CA186" s="36">
        <v>0.78118194664659291</v>
      </c>
      <c r="CB186" s="36">
        <v>0.42592699451210797</v>
      </c>
      <c r="CC186" s="36">
        <v>0.65461460476499544</v>
      </c>
      <c r="CD186" s="36">
        <v>1.2793981013301103</v>
      </c>
      <c r="CE186" s="36">
        <v>1.2697846980634968</v>
      </c>
      <c r="CF186" s="36">
        <v>0.94683308786654052</v>
      </c>
      <c r="CG186" s="36">
        <v>0.44741801736873782</v>
      </c>
      <c r="CH186" s="36">
        <v>0.57246163753685497</v>
      </c>
      <c r="CI186" s="36">
        <v>0.79558114599106611</v>
      </c>
      <c r="CJ186" s="36">
        <v>0.41279540070975906</v>
      </c>
      <c r="CK186" s="36">
        <v>0.26675527112066688</v>
      </c>
      <c r="CL186" s="36">
        <v>0.7237640957737782</v>
      </c>
      <c r="CM186" s="36">
        <v>1.0251408820275205</v>
      </c>
      <c r="CN186" s="36">
        <v>1.3379890354237514</v>
      </c>
      <c r="CO186" s="36">
        <v>0.76538061103779775</v>
      </c>
      <c r="CP186" s="36">
        <v>0.88286396526693667</v>
      </c>
      <c r="CQ186" s="36">
        <v>1.1370931075904065</v>
      </c>
      <c r="CR186" s="36">
        <v>0.50598131509362032</v>
      </c>
      <c r="CS186" s="36">
        <v>0.77592231993314187</v>
      </c>
      <c r="CT186" s="36">
        <v>1.3412918138335328</v>
      </c>
      <c r="CU186" s="36">
        <v>2.57066549901824</v>
      </c>
      <c r="CV186" s="36">
        <v>0.6563996509284995</v>
      </c>
      <c r="CW186" s="36">
        <v>0.4367042353195047</v>
      </c>
      <c r="CX186" s="36">
        <v>1.3432636666458042</v>
      </c>
      <c r="CY186" s="36">
        <v>0.66917882962818576</v>
      </c>
      <c r="CZ186" s="36">
        <v>0.43519971818815406</v>
      </c>
      <c r="DA186" s="36">
        <v>0.63089450340904318</v>
      </c>
      <c r="DB186" s="36">
        <v>0.81755290660466173</v>
      </c>
      <c r="DC186" s="36">
        <v>0.37121119818612214</v>
      </c>
      <c r="DD186" s="36">
        <v>0.50351581898723929</v>
      </c>
      <c r="DE186" s="36">
        <v>0.73192671559967948</v>
      </c>
      <c r="DF186" s="36">
        <v>0.34310575058722231</v>
      </c>
      <c r="DG186" s="36">
        <v>0.67604743903638032</v>
      </c>
      <c r="DH186" s="36">
        <v>1.8141318995926907</v>
      </c>
      <c r="DI186" s="36">
        <v>1.3050877989681902</v>
      </c>
      <c r="DJ186" s="36">
        <v>0.57671018182624467</v>
      </c>
      <c r="DK186" s="36">
        <v>0.87450154046701389</v>
      </c>
      <c r="DL186" s="36">
        <v>0.64069961415592036</v>
      </c>
      <c r="DM186" s="36">
        <v>0.85641845030357455</v>
      </c>
      <c r="DN186" s="36">
        <v>0.75176358797952081</v>
      </c>
      <c r="DO186" s="36">
        <v>0.4957268195964204</v>
      </c>
      <c r="DP186" s="36">
        <v>1.0561666274551424</v>
      </c>
      <c r="DQ186" s="36">
        <v>0.52293973985234621</v>
      </c>
      <c r="DR186" s="36">
        <v>0.67613489806251514</v>
      </c>
      <c r="DS186" s="36">
        <v>1.9567967077275803</v>
      </c>
      <c r="DT186" s="36">
        <v>0.3349440344599906</v>
      </c>
      <c r="DU186" s="36">
        <v>2.7030295027186164</v>
      </c>
      <c r="DV186" s="36">
        <v>0.87481276617108183</v>
      </c>
      <c r="DW186" s="36">
        <v>0.77186482210194318</v>
      </c>
      <c r="DX186" s="36">
        <v>0.49084799283804653</v>
      </c>
      <c r="DY186" s="36">
        <v>0.5798209170779941</v>
      </c>
      <c r="DZ186" s="36">
        <v>0.61133833455839859</v>
      </c>
      <c r="EA186" s="36">
        <v>0.62171563666446972</v>
      </c>
      <c r="EB186" s="36">
        <v>0.67576548707564921</v>
      </c>
      <c r="EC186" s="36">
        <v>0.41153380753890617</v>
      </c>
      <c r="ED186" s="36">
        <v>0.73489973081757731</v>
      </c>
      <c r="EE186" s="36">
        <v>1.3829704145703747</v>
      </c>
      <c r="EF186" s="36">
        <v>0.29608365578834178</v>
      </c>
      <c r="EG186" s="36">
        <v>0.81338687416912092</v>
      </c>
      <c r="EH186" s="36">
        <v>1.4843486661166905</v>
      </c>
      <c r="EI186" s="36">
        <v>1.2101722968410935</v>
      </c>
      <c r="EJ186" s="36">
        <v>2.2199549054219037</v>
      </c>
      <c r="EK186" s="36">
        <v>0.94108505426171374</v>
      </c>
      <c r="EL186" s="36">
        <v>0.97459331863214949</v>
      </c>
      <c r="EM186" s="36">
        <v>1.047445760799661</v>
      </c>
      <c r="EN186" s="36">
        <v>0.46006921729474159</v>
      </c>
      <c r="EO186" s="36">
        <v>0.38453389959519851</v>
      </c>
      <c r="EP186" s="36">
        <v>2.5443162196005065</v>
      </c>
      <c r="EQ186" s="36">
        <v>0.26603242073988442</v>
      </c>
      <c r="ER186" s="36">
        <v>0.52886855228773899</v>
      </c>
      <c r="ES186" s="36">
        <v>0.45037032230168983</v>
      </c>
      <c r="ET186" s="36">
        <v>1.6236455918257964</v>
      </c>
      <c r="EU186" s="36">
        <v>0.51737233284592732</v>
      </c>
      <c r="EV186" s="36">
        <v>0.8323105031683925</v>
      </c>
      <c r="EW186" s="36">
        <v>0.95145957389630764</v>
      </c>
      <c r="EX186" s="36">
        <v>0.69923100033447783</v>
      </c>
      <c r="EY186" s="51">
        <v>2025</v>
      </c>
      <c r="EZ186" s="51" t="s">
        <v>873</v>
      </c>
      <c r="FA186" s="77" t="s">
        <v>928</v>
      </c>
      <c r="FB186" s="114" t="s">
        <v>929</v>
      </c>
    </row>
    <row r="187" spans="2:158" s="42" customFormat="1" ht="15" thickBot="1" x14ac:dyDescent="0.4"/>
    <row r="188" spans="2:158" ht="15" thickTop="1" x14ac:dyDescent="0.35"/>
    <row r="189" spans="2:158" ht="17" x14ac:dyDescent="0.35">
      <c r="B189" s="41" t="s">
        <v>1299</v>
      </c>
      <c r="C189" s="67"/>
      <c r="D189" s="67"/>
      <c r="E189" s="67"/>
      <c r="F189" s="67"/>
      <c r="G189" s="67"/>
    </row>
    <row r="191" spans="2:158" x14ac:dyDescent="0.35">
      <c r="B191" s="27" t="s">
        <v>846</v>
      </c>
      <c r="C191" s="28" t="s">
        <v>40</v>
      </c>
      <c r="D191" s="28" t="s">
        <v>245</v>
      </c>
      <c r="E191" s="28" t="s">
        <v>38</v>
      </c>
      <c r="F191" s="28" t="s">
        <v>46</v>
      </c>
      <c r="G191" s="29" t="s">
        <v>47</v>
      </c>
    </row>
    <row r="192" spans="2:158" ht="29" x14ac:dyDescent="0.35">
      <c r="B192" s="123" t="s">
        <v>1300</v>
      </c>
      <c r="C192" s="55" t="s">
        <v>1301</v>
      </c>
      <c r="D192" s="36">
        <v>0.33378000000000002</v>
      </c>
      <c r="E192" s="55" t="s">
        <v>53</v>
      </c>
      <c r="F192" s="55">
        <v>2025</v>
      </c>
      <c r="G192" s="26" t="s">
        <v>54</v>
      </c>
    </row>
  </sheetData>
  <phoneticPr fontId="22" type="noConversion"/>
  <hyperlinks>
    <hyperlink ref="FA7" r:id="rId1" location="516fbe13-2f86-43f4-b2d6-8c6721856a22" xr:uid="{D1A4DA36-032D-486D-AE6E-151E5ED00ED0}"/>
    <hyperlink ref="FA8" r:id="rId2" location="516fbe13-2f86-43f4-b2d6-8c6721856a22" display="https://openceda.org/en-GB/solutions/ceda#516fbe13-2f86-43f4-b2d6-8c6721856a22" xr:uid="{C1960C7B-7AF2-4613-8849-BB5B3FF62E04}"/>
    <hyperlink ref="FA9" r:id="rId3" location="516fbe13-2f86-43f4-b2d6-8c6721856a22" display="https://openceda.org/en-GB/solutions/ceda#516fbe13-2f86-43f4-b2d6-8c6721856a22" xr:uid="{34A02FCF-D997-4735-8892-5C5AB23C8C18}"/>
    <hyperlink ref="FA10" r:id="rId4" location="516fbe13-2f86-43f4-b2d6-8c6721856a22" display="https://openceda.org/en-GB/solutions/ceda#516fbe13-2f86-43f4-b2d6-8c6721856a22" xr:uid="{4F5D3937-979F-4061-AD3F-41CB0C10E13F}"/>
    <hyperlink ref="FA11" r:id="rId5" location="516fbe13-2f86-43f4-b2d6-8c6721856a22" display="https://openceda.org/en-GB/solutions/ceda#516fbe13-2f86-43f4-b2d6-8c6721856a22" xr:uid="{A22D9278-0C27-4D25-AF00-A39BE527FC7E}"/>
    <hyperlink ref="FA12" r:id="rId6" location="516fbe13-2f86-43f4-b2d6-8c6721856a22" display="https://openceda.org/en-GB/solutions/ceda#516fbe13-2f86-43f4-b2d6-8c6721856a22" xr:uid="{FD12C9F1-229A-4570-9EC9-3B3B42B2D1D6}"/>
    <hyperlink ref="FA13" r:id="rId7" location="516fbe13-2f86-43f4-b2d6-8c6721856a22" display="https://openceda.org/en-GB/solutions/ceda#516fbe13-2f86-43f4-b2d6-8c6721856a22" xr:uid="{1843FA45-881A-48CD-A2C2-8402DD8C0197}"/>
    <hyperlink ref="FA14" r:id="rId8" location="516fbe13-2f86-43f4-b2d6-8c6721856a29" xr:uid="{A01B7AFA-4B58-42F4-9D5F-32CFA296FD03}"/>
    <hyperlink ref="J66" r:id="rId9" xr:uid="{774EDE62-939F-4A0B-855C-C203E0D43735}"/>
    <hyperlink ref="H83" r:id="rId10" xr:uid="{70954DEB-17F6-435A-81CA-0B48B570CD21}"/>
    <hyperlink ref="H84" r:id="rId11" xr:uid="{6F752E7C-D8D4-4B04-B168-23F7A6BF0FAE}"/>
    <hyperlink ref="H85" r:id="rId12" xr:uid="{241DED75-9B3B-4F47-830F-C21CAD337B6D}"/>
    <hyperlink ref="H86" r:id="rId13" xr:uid="{75E3A331-C3D0-4AD6-8652-95CDCC8AB820}"/>
    <hyperlink ref="M92" r:id="rId14" xr:uid="{5F0409EA-DBA2-4C6B-A063-2A2EAA4ADDF5}"/>
    <hyperlink ref="M93" r:id="rId15" xr:uid="{713273A4-11ED-4D17-B7B9-9DFDE9CDDC38}"/>
    <hyperlink ref="M94" r:id="rId16" xr:uid="{1C500BE3-955B-4706-BF58-DDBCFFD2CACA}"/>
    <hyperlink ref="M95" r:id="rId17" xr:uid="{99B6AFD7-147E-4ACE-BD88-A7B54F71A2E0}"/>
    <hyperlink ref="M96" r:id="rId18" xr:uid="{E3A0EE82-ACBB-41C5-88E2-E354F0531F27}"/>
    <hyperlink ref="M97" r:id="rId19" xr:uid="{EE44D49C-32DD-4779-B53A-93CBC04A0719}"/>
    <hyperlink ref="M98" r:id="rId20" xr:uid="{A87587A2-B5E1-494E-BA3F-C1494C8701E9}"/>
    <hyperlink ref="M99" r:id="rId21" xr:uid="{DFE7A878-A165-4A77-9A77-410B598AE052}"/>
    <hyperlink ref="M100" r:id="rId22" xr:uid="{8B0E7F39-2873-424A-A226-2B9DC3E5FAFF}"/>
    <hyperlink ref="M101" r:id="rId23" xr:uid="{413AA298-74CF-40EE-A48D-8518E720F840}"/>
    <hyperlink ref="M102" r:id="rId24" xr:uid="{E2E8A54B-7EA5-4B0A-92B2-2A50B6954E00}"/>
    <hyperlink ref="M103" r:id="rId25" xr:uid="{2F02512C-A6E4-4CBD-A4C3-CAB71DCD588F}"/>
    <hyperlink ref="M104" r:id="rId26" xr:uid="{1ADCE29E-8967-485E-B05E-ABF93F2EA45C}"/>
    <hyperlink ref="M105" r:id="rId27" xr:uid="{059A07B5-64FF-4081-AEDE-2FBB42AF66D8}"/>
    <hyperlink ref="M106" r:id="rId28" xr:uid="{442FD36B-E540-4304-BF06-F9D537880F4B}"/>
    <hyperlink ref="M107" r:id="rId29" xr:uid="{C4485DF8-A3BB-407B-9656-E8C4A0D78559}"/>
    <hyperlink ref="FA150" r:id="rId30" location="516fbe13-2f86-43f4-b2d6-8c6721856a22" xr:uid="{E2FA74BC-AC08-447D-98A3-E636DD2A4E1D}"/>
    <hyperlink ref="FA151" r:id="rId31" location="516fbe13-2f86-43f4-b2d6-8c6721856a22" xr:uid="{2FD56FE1-36C5-4550-93AA-2EEB89B82427}"/>
    <hyperlink ref="FA152" r:id="rId32" location="516fbe13-2f86-43f4-b2d6-8c6721856a22" xr:uid="{2E56E357-7032-42C3-A1B9-DB54D1A8E523}"/>
    <hyperlink ref="FA153" r:id="rId33" location="516fbe13-2f86-43f4-b2d6-8c6721856a22" xr:uid="{12E8F81B-8F5D-4283-8758-2D7EEFC530E8}"/>
    <hyperlink ref="FA154" r:id="rId34" location="516fbe13-2f86-43f4-b2d6-8c6721856a22" xr:uid="{562B8B10-154F-44A9-8B30-95E91C06FA2E}"/>
    <hyperlink ref="FA155" r:id="rId35" location="516fbe13-2f86-43f4-b2d6-8c6721856a22" xr:uid="{1826C629-FF51-48A5-AF9F-B82B24709EE7}"/>
    <hyperlink ref="H110" r:id="rId36" xr:uid="{8148A921-EBBF-4269-868B-67334E5C8338}"/>
    <hyperlink ref="M161" r:id="rId37" xr:uid="{ABAFDBAE-0D84-4888-87B6-B446708DD3FB}"/>
    <hyperlink ref="FA170" r:id="rId38" location="516fbe13-2f86-43f4-b2d6-8c6721856a22" xr:uid="{107003C2-9C60-4EF6-9347-D3F1AE4084B3}"/>
    <hyperlink ref="FA173" r:id="rId39" location="516fbe13-2f86-43f4-b2d6-8c6721856a22" display="https://openceda.org/en-GB/solutions/ceda#516fbe13-2f86-43f4-b2d6-8c6721856a22" xr:uid="{380677E2-C53C-4BB8-BC8E-B0A3C1B9960E}"/>
    <hyperlink ref="FA174" r:id="rId40" location="516fbe13-2f86-43f4-b2d6-8c6721856a22" display="https://openceda.org/en-GB/solutions/ceda#516fbe13-2f86-43f4-b2d6-8c6721856a22" xr:uid="{5E8A5AB1-2613-4E0F-9FDC-66D4A3138941}"/>
    <hyperlink ref="FA176" r:id="rId41" location="516fbe13-2f86-43f4-b2d6-8c6721856a22" display="https://openceda.org/en-GB/solutions/ceda#516fbe13-2f86-43f4-b2d6-8c6721856a22" xr:uid="{B8E83C87-9B3C-447A-984F-9F168D5F7B7E}"/>
    <hyperlink ref="FA171" r:id="rId42" location="516fbe13-2f86-43f4-b2d6-8c6721856a22" xr:uid="{2DC8608C-BF17-4E62-B484-2EB055081354}"/>
    <hyperlink ref="FA172" r:id="rId43" location="516fbe13-2f86-43f4-b2d6-8c6721856a22" xr:uid="{F10C768F-09AD-4C6F-8BE6-B0D3CF817C16}"/>
    <hyperlink ref="FA175" r:id="rId44" location="516fbe13-2f86-43f4-b2d6-8c6721856a22" xr:uid="{EDC89DC4-81FB-4009-866D-F4AAA983863F}"/>
    <hyperlink ref="FA177" r:id="rId45" location="516fbe13-2f86-43f4-b2d6-8c6721856a22" xr:uid="{637096EA-7961-4CEA-ADDC-006ED8086174}"/>
    <hyperlink ref="FA183" r:id="rId46" location="516fbe13-2f86-43f4-b2d6-8c6721856a22" xr:uid="{C2910098-2533-4F59-9C17-24CDD26D477A}"/>
    <hyperlink ref="FA184" r:id="rId47" location="516fbe13-2f86-43f4-b2d6-8c6721856a22" xr:uid="{558EDF21-D982-4BAE-B0A3-F64E7F3D7F6B}"/>
    <hyperlink ref="FA185" r:id="rId48" location="516fbe13-2f86-43f4-b2d6-8c6721856a22" xr:uid="{B92107ED-C839-41E0-9EEB-5C1855AD4771}"/>
    <hyperlink ref="FA186" r:id="rId49" location="516fbe13-2f86-43f4-b2d6-8c6721856a22" xr:uid="{5F70198D-4A8B-4E3B-B8E6-E9CDD821A8CD}"/>
  </hyperlinks>
  <pageMargins left="0.7" right="0.7" top="0.75" bottom="0.75" header="0.3" footer="0.3"/>
  <tableParts count="10">
    <tablePart r:id="rId50"/>
    <tablePart r:id="rId51"/>
    <tablePart r:id="rId52"/>
    <tablePart r:id="rId53"/>
    <tablePart r:id="rId54"/>
    <tablePart r:id="rId55"/>
    <tablePart r:id="rId56"/>
    <tablePart r:id="rId57"/>
    <tablePart r:id="rId58"/>
    <tablePart r:id="rId59"/>
  </tableParts>
</worksheet>
</file>

<file path=xl/worksheets/sheet90.xml><?xml version="1.0" encoding="utf-8"?>
<worksheet xmlns="http://schemas.openxmlformats.org/spreadsheetml/2006/main" xmlns:r="http://schemas.openxmlformats.org/officeDocument/2006/relationships">
  <sheetPr>
    <tabColor rgb="FFE7EEEE"/>
  </sheetPr>
  <dimension ref="A1:K44"/>
  <sheetViews>
    <sheetView showGridLines="0" zoomScale="80" zoomScaleNormal="80" workbookViewId="0"/>
  </sheetViews>
  <sheetFormatPr defaultRowHeight="14.5"/>
  <cols>
    <col min="1" max="1" width="2.6" style="4" customWidth="1"/>
    <col min="2" max="2" width="34" style="4" customWidth="1"/>
    <col min="3" max="10" width="22" style="4" customWidth="1"/>
    <col min="11" max="11" width="40" style="4" customWidth="1"/>
  </cols>
  <sheetData>
    <row r="1">
      <c r="B1" s="147" t="str">
        <f>const_Company_Name &amp; " Corporate Carbon Footprint Calculation"</f>
        <v>[Ihr Unternehmen] Corporate Carbon Footprint Calculation</v>
      </c>
    </row>
    <row r="2">
      <c r="B2" s="147" t="str">
        <f>"01/01/" &amp; const_Reporting_Year &amp; " - 31/12/" &amp; const_Reporting_Year</f>
        <v>01/01/2025 - 31/12/2025</v>
      </c>
    </row>
    <row r="4">
      <c r="B4" s="7" t="s">
        <v>2759</v>
      </c>
      <c r="C4" s="7"/>
      <c r="D4" s="7"/>
      <c r="E4" s="7"/>
      <c r="F4" s="7"/>
      <c r="G4" s="7"/>
      <c r="H4" s="7"/>
      <c r="I4" s="7"/>
      <c r="J4" s="7"/>
      <c r="K4" s="7"/>
    </row>
    <row r="6" ht="85" customHeight="1">
      <c r="B6" s="179" t="s">
        <v>2760</v>
      </c>
      <c r="C6" s="180"/>
      <c r="D6" s="180"/>
      <c r="E6" s="180"/>
      <c r="F6" s="180"/>
      <c r="G6" s="180"/>
      <c r="H6" s="180"/>
      <c r="I6" s="180"/>
      <c r="J6" s="180"/>
      <c r="K6" s="181"/>
    </row>
    <row r="8">
      <c r="B8" s="11" t="s">
        <v>2761</v>
      </c>
      <c r="C8" s="45">
        <f>SUM(J13:J22)</f>
        <v>0</v>
      </c>
    </row>
    <row r="10" ht="55" customHeight="1">
      <c r="B10" s="148" t="s">
        <v>2762</v>
      </c>
      <c r="C10" s="148" t="s">
        <v>2763</v>
      </c>
      <c r="D10" s="148" t="s">
        <v>2764</v>
      </c>
      <c r="E10" s="148" t="s">
        <v>2765</v>
      </c>
      <c r="F10" s="148" t="s">
        <v>2766</v>
      </c>
      <c r="G10" s="148" t="s">
        <v>2767</v>
      </c>
      <c r="H10" s="148" t="s">
        <v>2768</v>
      </c>
      <c r="I10" s="148" t="s">
        <v>2769</v>
      </c>
      <c r="J10" s="148" t="s">
        <v>2770</v>
      </c>
      <c r="K10" s="148" t="s">
        <v>2696</v>
      </c>
    </row>
    <row r="12" ht="30" customHeight="1">
      <c r="B12" s="19" t="s">
        <v>2771</v>
      </c>
      <c r="C12" s="20" t="s">
        <v>2772</v>
      </c>
      <c r="D12" s="20" t="s">
        <v>2773</v>
      </c>
      <c r="E12" s="20" t="s">
        <v>2774</v>
      </c>
      <c r="F12" s="20" t="s">
        <v>2775</v>
      </c>
      <c r="G12" s="20" t="s">
        <v>2776</v>
      </c>
      <c r="H12" s="20" t="s">
        <v>2777</v>
      </c>
      <c r="I12" s="20" t="s">
        <v>2778</v>
      </c>
      <c r="J12" s="20" t="s">
        <v>2779</v>
      </c>
      <c r="K12" s="21" t="s">
        <v>2674</v>
      </c>
    </row>
    <row r="13" ht="20" customHeight="1">
      <c r="B13" s="216"/>
      <c r="C13" s="216"/>
      <c r="D13" s="216"/>
      <c r="E13" s="216"/>
      <c r="F13" s="219"/>
      <c r="G13" s="219"/>
      <c r="H13" s="66">
        <f>IF($F13="","",IF($F13="Electricity (kWh)",SUMIFS(tbl_IEA_EFs[kg CO2e],tbl_IEA_EFs[Country],IF($G13="","Germany",$G13),tbl_IEA_EFs[Category],"Direct Electricity",tbl_IEA_EFs[Fuel],"Total",tbl_IEA_EFs[Year],_xlfn.MAXIFS(tbl_IEA_EFs[Year],tbl_IEA_EFs[Country],IF($G13="","Germany",$G13),tbl_IEA_EFs[Category],"Direct Electricity")),SUMIFS(tbl_1.01._Emission_Factors[kg CO2e/unit],tbl_1.01._Emission_Factors[Scope],"1.01. Stationary Combustion",tbl_1.01._Emission_Factors[Fuel],IF($F13="Natural Gas (kWh)","Natural Gas",IF($F13="Diesel (l)","Diesel",IF($F13="Petrol (l)","Petrol","Liquefied Petroleum Gas (LPG)"))),tbl_1.01._Emission_Factors[Unit],IF($F13="Natural Gas (kWh)","kWh","l"))))</f>
      </c>
      <c r="I13" s="216"/>
      <c r="J13" s="45">
        <f>IF(N($I13)&gt;0,$I13*1000,IF($F13="",0,N($C13)*N($D13)*N($E13)*N($H13)))</f>
        <v>0</v>
      </c>
      <c r="K13" s="218"/>
    </row>
    <row r="14" ht="20" customHeight="1">
      <c r="B14" s="216"/>
      <c r="C14" s="216"/>
      <c r="D14" s="216"/>
      <c r="E14" s="216"/>
      <c r="F14" s="219"/>
      <c r="G14" s="219"/>
      <c r="H14" s="66">
        <f>IF($F14="","",IF($F14="Electricity (kWh)",SUMIFS(tbl_IEA_EFs[kg CO2e],tbl_IEA_EFs[Country],IF($G14="","Germany",$G14),tbl_IEA_EFs[Category],"Direct Electricity",tbl_IEA_EFs[Fuel],"Total",tbl_IEA_EFs[Year],_xlfn.MAXIFS(tbl_IEA_EFs[Year],tbl_IEA_EFs[Country],IF($G14="","Germany",$G14),tbl_IEA_EFs[Category],"Direct Electricity")),SUMIFS(tbl_1.01._Emission_Factors[kg CO2e/unit],tbl_1.01._Emission_Factors[Scope],"1.01. Stationary Combustion",tbl_1.01._Emission_Factors[Fuel],IF($F14="Natural Gas (kWh)","Natural Gas",IF($F14="Diesel (l)","Diesel",IF($F14="Petrol (l)","Petrol","Liquefied Petroleum Gas (LPG)"))),tbl_1.01._Emission_Factors[Unit],IF($F14="Natural Gas (kWh)","kWh","l"))))</f>
      </c>
      <c r="I14" s="216"/>
      <c r="J14" s="45">
        <f>IF(N($I14)&gt;0,$I14*1000,IF($F14="",0,N($C14)*N($D14)*N($E14)*N($H14)))</f>
        <v>0</v>
      </c>
      <c r="K14" s="218"/>
    </row>
    <row r="15" ht="20" customHeight="1">
      <c r="B15" s="216"/>
      <c r="C15" s="216"/>
      <c r="D15" s="216"/>
      <c r="E15" s="216"/>
      <c r="F15" s="219"/>
      <c r="G15" s="219"/>
      <c r="H15" s="66">
        <f>IF($F15="","",IF($F15="Electricity (kWh)",SUMIFS(tbl_IEA_EFs[kg CO2e],tbl_IEA_EFs[Country],IF($G15="","Germany",$G15),tbl_IEA_EFs[Category],"Direct Electricity",tbl_IEA_EFs[Fuel],"Total",tbl_IEA_EFs[Year],_xlfn.MAXIFS(tbl_IEA_EFs[Year],tbl_IEA_EFs[Country],IF($G15="","Germany",$G15),tbl_IEA_EFs[Category],"Direct Electricity")),SUMIFS(tbl_1.01._Emission_Factors[kg CO2e/unit],tbl_1.01._Emission_Factors[Scope],"1.01. Stationary Combustion",tbl_1.01._Emission_Factors[Fuel],IF($F15="Natural Gas (kWh)","Natural Gas",IF($F15="Diesel (l)","Diesel",IF($F15="Petrol (l)","Petrol","Liquefied Petroleum Gas (LPG)"))),tbl_1.01._Emission_Factors[Unit],IF($F15="Natural Gas (kWh)","kWh","l"))))</f>
      </c>
      <c r="I15" s="216"/>
      <c r="J15" s="45">
        <f>IF(N($I15)&gt;0,$I15*1000,IF($F15="",0,N($C15)*N($D15)*N($E15)*N($H15)))</f>
        <v>0</v>
      </c>
      <c r="K15" s="218"/>
    </row>
    <row r="16" ht="20" customHeight="1">
      <c r="B16" s="216"/>
      <c r="C16" s="216"/>
      <c r="D16" s="216"/>
      <c r="E16" s="216"/>
      <c r="F16" s="219"/>
      <c r="G16" s="219"/>
      <c r="H16" s="66">
        <f>IF($F16="","",IF($F16="Electricity (kWh)",SUMIFS(tbl_IEA_EFs[kg CO2e],tbl_IEA_EFs[Country],IF($G16="","Germany",$G16),tbl_IEA_EFs[Category],"Direct Electricity",tbl_IEA_EFs[Fuel],"Total",tbl_IEA_EFs[Year],_xlfn.MAXIFS(tbl_IEA_EFs[Year],tbl_IEA_EFs[Country],IF($G16="","Germany",$G16),tbl_IEA_EFs[Category],"Direct Electricity")),SUMIFS(tbl_1.01._Emission_Factors[kg CO2e/unit],tbl_1.01._Emission_Factors[Scope],"1.01. Stationary Combustion",tbl_1.01._Emission_Factors[Fuel],IF($F16="Natural Gas (kWh)","Natural Gas",IF($F16="Diesel (l)","Diesel",IF($F16="Petrol (l)","Petrol","Liquefied Petroleum Gas (LPG)"))),tbl_1.01._Emission_Factors[Unit],IF($F16="Natural Gas (kWh)","kWh","l"))))</f>
      </c>
      <c r="I16" s="216"/>
      <c r="J16" s="45">
        <f>IF(N($I16)&gt;0,$I16*1000,IF($F16="",0,N($C16)*N($D16)*N($E16)*N($H16)))</f>
        <v>0</v>
      </c>
      <c r="K16" s="218"/>
    </row>
    <row r="17" ht="20" customHeight="1">
      <c r="B17" s="216"/>
      <c r="C17" s="216"/>
      <c r="D17" s="216"/>
      <c r="E17" s="216"/>
      <c r="F17" s="219"/>
      <c r="G17" s="219"/>
      <c r="H17" s="66">
        <f>IF($F17="","",IF($F17="Electricity (kWh)",SUMIFS(tbl_IEA_EFs[kg CO2e],tbl_IEA_EFs[Country],IF($G17="","Germany",$G17),tbl_IEA_EFs[Category],"Direct Electricity",tbl_IEA_EFs[Fuel],"Total",tbl_IEA_EFs[Year],_xlfn.MAXIFS(tbl_IEA_EFs[Year],tbl_IEA_EFs[Country],IF($G17="","Germany",$G17),tbl_IEA_EFs[Category],"Direct Electricity")),SUMIFS(tbl_1.01._Emission_Factors[kg CO2e/unit],tbl_1.01._Emission_Factors[Scope],"1.01. Stationary Combustion",tbl_1.01._Emission_Factors[Fuel],IF($F17="Natural Gas (kWh)","Natural Gas",IF($F17="Diesel (l)","Diesel",IF($F17="Petrol (l)","Petrol","Liquefied Petroleum Gas (LPG)"))),tbl_1.01._Emission_Factors[Unit],IF($F17="Natural Gas (kWh)","kWh","l"))))</f>
      </c>
      <c r="I17" s="216"/>
      <c r="J17" s="45">
        <f>IF(N($I17)&gt;0,$I17*1000,IF($F17="",0,N($C17)*N($D17)*N($E17)*N($H17)))</f>
        <v>0</v>
      </c>
      <c r="K17" s="218"/>
    </row>
    <row r="18" ht="20" customHeight="1">
      <c r="B18" s="216"/>
      <c r="C18" s="216"/>
      <c r="D18" s="216"/>
      <c r="E18" s="216"/>
      <c r="F18" s="219"/>
      <c r="G18" s="219"/>
      <c r="H18" s="66">
        <f>IF($F18="","",IF($F18="Electricity (kWh)",SUMIFS(tbl_IEA_EFs[kg CO2e],tbl_IEA_EFs[Country],IF($G18="","Germany",$G18),tbl_IEA_EFs[Category],"Direct Electricity",tbl_IEA_EFs[Fuel],"Total",tbl_IEA_EFs[Year],_xlfn.MAXIFS(tbl_IEA_EFs[Year],tbl_IEA_EFs[Country],IF($G18="","Germany",$G18),tbl_IEA_EFs[Category],"Direct Electricity")),SUMIFS(tbl_1.01._Emission_Factors[kg CO2e/unit],tbl_1.01._Emission_Factors[Scope],"1.01. Stationary Combustion",tbl_1.01._Emission_Factors[Fuel],IF($F18="Natural Gas (kWh)","Natural Gas",IF($F18="Diesel (l)","Diesel",IF($F18="Petrol (l)","Petrol","Liquefied Petroleum Gas (LPG)"))),tbl_1.01._Emission_Factors[Unit],IF($F18="Natural Gas (kWh)","kWh","l"))))</f>
      </c>
      <c r="I18" s="216"/>
      <c r="J18" s="45">
        <f>IF(N($I18)&gt;0,$I18*1000,IF($F18="",0,N($C18)*N($D18)*N($E18)*N($H18)))</f>
        <v>0</v>
      </c>
      <c r="K18" s="218"/>
    </row>
    <row r="19" ht="20" customHeight="1">
      <c r="B19" s="216"/>
      <c r="C19" s="216"/>
      <c r="D19" s="216"/>
      <c r="E19" s="216"/>
      <c r="F19" s="219"/>
      <c r="G19" s="219"/>
      <c r="H19" s="66">
        <f>IF($F19="","",IF($F19="Electricity (kWh)",SUMIFS(tbl_IEA_EFs[kg CO2e],tbl_IEA_EFs[Country],IF($G19="","Germany",$G19),tbl_IEA_EFs[Category],"Direct Electricity",tbl_IEA_EFs[Fuel],"Total",tbl_IEA_EFs[Year],_xlfn.MAXIFS(tbl_IEA_EFs[Year],tbl_IEA_EFs[Country],IF($G19="","Germany",$G19),tbl_IEA_EFs[Category],"Direct Electricity")),SUMIFS(tbl_1.01._Emission_Factors[kg CO2e/unit],tbl_1.01._Emission_Factors[Scope],"1.01. Stationary Combustion",tbl_1.01._Emission_Factors[Fuel],IF($F19="Natural Gas (kWh)","Natural Gas",IF($F19="Diesel (l)","Diesel",IF($F19="Petrol (l)","Petrol","Liquefied Petroleum Gas (LPG)"))),tbl_1.01._Emission_Factors[Unit],IF($F19="Natural Gas (kWh)","kWh","l"))))</f>
      </c>
      <c r="I19" s="216"/>
      <c r="J19" s="45">
        <f>IF(N($I19)&gt;0,$I19*1000,IF($F19="",0,N($C19)*N($D19)*N($E19)*N($H19)))</f>
        <v>0</v>
      </c>
      <c r="K19" s="218"/>
    </row>
    <row r="20" ht="20" customHeight="1">
      <c r="B20" s="216"/>
      <c r="C20" s="216"/>
      <c r="D20" s="216"/>
      <c r="E20" s="216"/>
      <c r="F20" s="219"/>
      <c r="G20" s="219"/>
      <c r="H20" s="66">
        <f>IF($F20="","",IF($F20="Electricity (kWh)",SUMIFS(tbl_IEA_EFs[kg CO2e],tbl_IEA_EFs[Country],IF($G20="","Germany",$G20),tbl_IEA_EFs[Category],"Direct Electricity",tbl_IEA_EFs[Fuel],"Total",tbl_IEA_EFs[Year],_xlfn.MAXIFS(tbl_IEA_EFs[Year],tbl_IEA_EFs[Country],IF($G20="","Germany",$G20),tbl_IEA_EFs[Category],"Direct Electricity")),SUMIFS(tbl_1.01._Emission_Factors[kg CO2e/unit],tbl_1.01._Emission_Factors[Scope],"1.01. Stationary Combustion",tbl_1.01._Emission_Factors[Fuel],IF($F20="Natural Gas (kWh)","Natural Gas",IF($F20="Diesel (l)","Diesel",IF($F20="Petrol (l)","Petrol","Liquefied Petroleum Gas (LPG)"))),tbl_1.01._Emission_Factors[Unit],IF($F20="Natural Gas (kWh)","kWh","l"))))</f>
      </c>
      <c r="I20" s="216"/>
      <c r="J20" s="45">
        <f>IF(N($I20)&gt;0,$I20*1000,IF($F20="",0,N($C20)*N($D20)*N($E20)*N($H20)))</f>
        <v>0</v>
      </c>
      <c r="K20" s="218"/>
    </row>
    <row r="21" ht="20" customHeight="1">
      <c r="B21" s="216"/>
      <c r="C21" s="216"/>
      <c r="D21" s="216"/>
      <c r="E21" s="216"/>
      <c r="F21" s="219"/>
      <c r="G21" s="219"/>
      <c r="H21" s="66">
        <f>IF($F21="","",IF($F21="Electricity (kWh)",SUMIFS(tbl_IEA_EFs[kg CO2e],tbl_IEA_EFs[Country],IF($G21="","Germany",$G21),tbl_IEA_EFs[Category],"Direct Electricity",tbl_IEA_EFs[Fuel],"Total",tbl_IEA_EFs[Year],_xlfn.MAXIFS(tbl_IEA_EFs[Year],tbl_IEA_EFs[Country],IF($G21="","Germany",$G21),tbl_IEA_EFs[Category],"Direct Electricity")),SUMIFS(tbl_1.01._Emission_Factors[kg CO2e/unit],tbl_1.01._Emission_Factors[Scope],"1.01. Stationary Combustion",tbl_1.01._Emission_Factors[Fuel],IF($F21="Natural Gas (kWh)","Natural Gas",IF($F21="Diesel (l)","Diesel",IF($F21="Petrol (l)","Petrol","Liquefied Petroleum Gas (LPG)"))),tbl_1.01._Emission_Factors[Unit],IF($F21="Natural Gas (kWh)","kWh","l"))))</f>
      </c>
      <c r="I21" s="216"/>
      <c r="J21" s="45">
        <f>IF(N($I21)&gt;0,$I21*1000,IF($F21="",0,N($C21)*N($D21)*N($E21)*N($H21)))</f>
        <v>0</v>
      </c>
      <c r="K21" s="218"/>
    </row>
    <row r="22" ht="20" customHeight="1">
      <c r="B22" s="216"/>
      <c r="C22" s="216"/>
      <c r="D22" s="216"/>
      <c r="E22" s="216"/>
      <c r="F22" s="219"/>
      <c r="G22" s="219"/>
      <c r="H22" s="66">
        <f>IF($F22="","",IF($F22="Electricity (kWh)",SUMIFS(tbl_IEA_EFs[kg CO2e],tbl_IEA_EFs[Country],IF($G22="","Germany",$G22),tbl_IEA_EFs[Category],"Direct Electricity",tbl_IEA_EFs[Fuel],"Total",tbl_IEA_EFs[Year],_xlfn.MAXIFS(tbl_IEA_EFs[Year],tbl_IEA_EFs[Country],IF($G22="","Germany",$G22),tbl_IEA_EFs[Category],"Direct Electricity")),SUMIFS(tbl_1.01._Emission_Factors[kg CO2e/unit],tbl_1.01._Emission_Factors[Scope],"1.01. Stationary Combustion",tbl_1.01._Emission_Factors[Fuel],IF($F22="Natural Gas (kWh)","Natural Gas",IF($F22="Diesel (l)","Diesel",IF($F22="Petrol (l)","Petrol","Liquefied Petroleum Gas (LPG)"))),tbl_1.01._Emission_Factors[Unit],IF($F22="Natural Gas (kWh)","kWh","l"))))</f>
      </c>
      <c r="I22" s="216"/>
      <c r="J22" s="45">
        <f>IF(N($I22)&gt;0,$I22*1000,IF($F22="",0,N($C22)*N($D22)*N($E22)*N($H22)))</f>
        <v>0</v>
      </c>
      <c r="K22" s="218"/>
    </row>
    <row r="26">
      <c r="B26" s="7" t="s">
        <v>2780</v>
      </c>
      <c r="C26" s="7"/>
      <c r="D26" s="7"/>
      <c r="E26" s="7"/>
      <c r="F26" s="7"/>
      <c r="G26" s="7"/>
      <c r="H26" s="7"/>
      <c r="I26" s="7"/>
      <c r="J26" s="7"/>
      <c r="K26" s="7"/>
    </row>
    <row r="28" ht="70" customHeight="1">
      <c r="B28" s="179" t="s">
        <v>2781</v>
      </c>
      <c r="C28" s="180"/>
      <c r="D28" s="180"/>
      <c r="E28" s="180"/>
      <c r="F28" s="180"/>
      <c r="G28" s="180"/>
      <c r="H28" s="180"/>
      <c r="I28" s="180"/>
      <c r="J28" s="180"/>
      <c r="K28" s="181"/>
    </row>
    <row r="30">
      <c r="B30" s="11" t="s">
        <v>2782</v>
      </c>
      <c r="C30" s="45">
        <f>SUM(J35:J44)</f>
        <v>0</v>
      </c>
    </row>
    <row r="32" ht="55" customHeight="1">
      <c r="B32" s="148" t="s">
        <v>2783</v>
      </c>
      <c r="C32" s="148" t="s">
        <v>2763</v>
      </c>
      <c r="D32" s="148" t="s">
        <v>2784</v>
      </c>
      <c r="E32" s="148" t="s">
        <v>2785</v>
      </c>
      <c r="F32" s="148" t="s">
        <v>2786</v>
      </c>
      <c r="G32" s="148" t="s">
        <v>2787</v>
      </c>
      <c r="H32" s="148" t="s">
        <v>2768</v>
      </c>
      <c r="I32" s="148" t="s">
        <v>2769</v>
      </c>
      <c r="J32" s="148" t="s">
        <v>2788</v>
      </c>
      <c r="K32" s="148" t="s">
        <v>2696</v>
      </c>
    </row>
    <row r="34" ht="30" customHeight="1">
      <c r="B34" s="19" t="s">
        <v>2771</v>
      </c>
      <c r="C34" s="20" t="s">
        <v>2772</v>
      </c>
      <c r="D34" s="20" t="s">
        <v>2789</v>
      </c>
      <c r="E34" s="20" t="s">
        <v>2790</v>
      </c>
      <c r="F34" s="20" t="s">
        <v>2791</v>
      </c>
      <c r="G34" s="20" t="s">
        <v>2792</v>
      </c>
      <c r="H34" s="20" t="inlineStr">
        <is>
          <t xml:space="preserve">EF (kg CO2e/t)</t>
        </is>
      </c>
      <c r="I34" s="20" t="s">
        <v>2778</v>
      </c>
      <c r="J34" s="20" t="s">
        <v>2793</v>
      </c>
      <c r="K34" s="21" t="s">
        <v>2674</v>
      </c>
    </row>
    <row r="35" ht="20" customHeight="1">
      <c r="B35" s="216"/>
      <c r="C35" s="216"/>
      <c r="D35" s="216"/>
      <c r="E35" s="219"/>
      <c r="F35" s="66">
        <f>N($C35)*N($D35)/1000</f>
        <v>0</v>
      </c>
      <c r="G35" s="66">
        <f>IF($E35="","",IFERROR(INDEX(tbl_Waste_EF[Waste Disposal Method],MATCH($E35,tbl_Waste_EF[Activity],0)),""))</f>
      </c>
      <c r="H35" s="66">
        <f>IF($E35="","",IFERROR(INDEX(tbl_Waste_EF[kg CO2e],MATCH($E35,tbl_Waste_EF[Activity],0)),0))</f>
      </c>
      <c r="I35" s="216"/>
      <c r="J35" s="45">
        <f>IF(N($I35)&gt;0,$I35*1000,IF($E35="",0,$F35*N($H35)))</f>
        <v>0</v>
      </c>
      <c r="K35" s="218"/>
    </row>
    <row r="36" ht="20" customHeight="1">
      <c r="B36" s="216"/>
      <c r="C36" s="216"/>
      <c r="D36" s="216"/>
      <c r="E36" s="219"/>
      <c r="F36" s="66">
        <f>N($C36)*N($D36)/1000</f>
        <v>0</v>
      </c>
      <c r="G36" s="66">
        <f>IF($E36="","",IFERROR(INDEX(tbl_Waste_EF[Waste Disposal Method],MATCH($E36,tbl_Waste_EF[Activity],0)),""))</f>
      </c>
      <c r="H36" s="66">
        <f>IF($E36="","",IFERROR(INDEX(tbl_Waste_EF[kg CO2e],MATCH($E36,tbl_Waste_EF[Activity],0)),0))</f>
      </c>
      <c r="I36" s="216"/>
      <c r="J36" s="45">
        <f>IF(N($I36)&gt;0,$I36*1000,IF($E36="",0,$F36*N($H36)))</f>
        <v>0</v>
      </c>
      <c r="K36" s="218"/>
    </row>
    <row r="37" ht="20" customHeight="1">
      <c r="B37" s="216"/>
      <c r="C37" s="216"/>
      <c r="D37" s="216"/>
      <c r="E37" s="219"/>
      <c r="F37" s="66">
        <f>N($C37)*N($D37)/1000</f>
        <v>0</v>
      </c>
      <c r="G37" s="66">
        <f>IF($E37="","",IFERROR(INDEX(tbl_Waste_EF[Waste Disposal Method],MATCH($E37,tbl_Waste_EF[Activity],0)),""))</f>
      </c>
      <c r="H37" s="66">
        <f>IF($E37="","",IFERROR(INDEX(tbl_Waste_EF[kg CO2e],MATCH($E37,tbl_Waste_EF[Activity],0)),0))</f>
      </c>
      <c r="I37" s="216"/>
      <c r="J37" s="45">
        <f>IF(N($I37)&gt;0,$I37*1000,IF($E37="",0,$F37*N($H37)))</f>
        <v>0</v>
      </c>
      <c r="K37" s="218"/>
    </row>
    <row r="38" ht="20" customHeight="1">
      <c r="B38" s="216"/>
      <c r="C38" s="216"/>
      <c r="D38" s="216"/>
      <c r="E38" s="219"/>
      <c r="F38" s="66">
        <f>N($C38)*N($D38)/1000</f>
        <v>0</v>
      </c>
      <c r="G38" s="66">
        <f>IF($E38="","",IFERROR(INDEX(tbl_Waste_EF[Waste Disposal Method],MATCH($E38,tbl_Waste_EF[Activity],0)),""))</f>
      </c>
      <c r="H38" s="66">
        <f>IF($E38="","",IFERROR(INDEX(tbl_Waste_EF[kg CO2e],MATCH($E38,tbl_Waste_EF[Activity],0)),0))</f>
      </c>
      <c r="I38" s="216"/>
      <c r="J38" s="45">
        <f>IF(N($I38)&gt;0,$I38*1000,IF($E38="",0,$F38*N($H38)))</f>
        <v>0</v>
      </c>
      <c r="K38" s="218"/>
    </row>
    <row r="39" ht="20" customHeight="1">
      <c r="B39" s="216"/>
      <c r="C39" s="216"/>
      <c r="D39" s="216"/>
      <c r="E39" s="219"/>
      <c r="F39" s="66">
        <f>N($C39)*N($D39)/1000</f>
        <v>0</v>
      </c>
      <c r="G39" s="66">
        <f>IF($E39="","",IFERROR(INDEX(tbl_Waste_EF[Waste Disposal Method],MATCH($E39,tbl_Waste_EF[Activity],0)),""))</f>
      </c>
      <c r="H39" s="66">
        <f>IF($E39="","",IFERROR(INDEX(tbl_Waste_EF[kg CO2e],MATCH($E39,tbl_Waste_EF[Activity],0)),0))</f>
      </c>
      <c r="I39" s="216"/>
      <c r="J39" s="45">
        <f>IF(N($I39)&gt;0,$I39*1000,IF($E39="",0,$F39*N($H39)))</f>
        <v>0</v>
      </c>
      <c r="K39" s="218"/>
    </row>
    <row r="40" ht="20" customHeight="1">
      <c r="B40" s="216"/>
      <c r="C40" s="216"/>
      <c r="D40" s="216"/>
      <c r="E40" s="219"/>
      <c r="F40" s="66">
        <f>N($C40)*N($D40)/1000</f>
        <v>0</v>
      </c>
      <c r="G40" s="66">
        <f>IF($E40="","",IFERROR(INDEX(tbl_Waste_EF[Waste Disposal Method],MATCH($E40,tbl_Waste_EF[Activity],0)),""))</f>
      </c>
      <c r="H40" s="66">
        <f>IF($E40="","",IFERROR(INDEX(tbl_Waste_EF[kg CO2e],MATCH($E40,tbl_Waste_EF[Activity],0)),0))</f>
      </c>
      <c r="I40" s="216"/>
      <c r="J40" s="45">
        <f>IF(N($I40)&gt;0,$I40*1000,IF($E40="",0,$F40*N($H40)))</f>
        <v>0</v>
      </c>
      <c r="K40" s="218"/>
    </row>
    <row r="41" ht="20" customHeight="1">
      <c r="B41" s="216"/>
      <c r="C41" s="216"/>
      <c r="D41" s="216"/>
      <c r="E41" s="219"/>
      <c r="F41" s="66">
        <f>N($C41)*N($D41)/1000</f>
        <v>0</v>
      </c>
      <c r="G41" s="66">
        <f>IF($E41="","",IFERROR(INDEX(tbl_Waste_EF[Waste Disposal Method],MATCH($E41,tbl_Waste_EF[Activity],0)),""))</f>
      </c>
      <c r="H41" s="66">
        <f>IF($E41="","",IFERROR(INDEX(tbl_Waste_EF[kg CO2e],MATCH($E41,tbl_Waste_EF[Activity],0)),0))</f>
      </c>
      <c r="I41" s="216"/>
      <c r="J41" s="45">
        <f>IF(N($I41)&gt;0,$I41*1000,IF($E41="",0,$F41*N($H41)))</f>
        <v>0</v>
      </c>
      <c r="K41" s="218"/>
    </row>
    <row r="42" ht="20" customHeight="1">
      <c r="B42" s="216"/>
      <c r="C42" s="216"/>
      <c r="D42" s="216"/>
      <c r="E42" s="219"/>
      <c r="F42" s="66">
        <f>N($C42)*N($D42)/1000</f>
        <v>0</v>
      </c>
      <c r="G42" s="66">
        <f>IF($E42="","",IFERROR(INDEX(tbl_Waste_EF[Waste Disposal Method],MATCH($E42,tbl_Waste_EF[Activity],0)),""))</f>
      </c>
      <c r="H42" s="66">
        <f>IF($E42="","",IFERROR(INDEX(tbl_Waste_EF[kg CO2e],MATCH($E42,tbl_Waste_EF[Activity],0)),0))</f>
      </c>
      <c r="I42" s="216"/>
      <c r="J42" s="45">
        <f>IF(N($I42)&gt;0,$I42*1000,IF($E42="",0,$F42*N($H42)))</f>
        <v>0</v>
      </c>
      <c r="K42" s="218"/>
    </row>
    <row r="43" ht="20" customHeight="1">
      <c r="B43" s="216"/>
      <c r="C43" s="216"/>
      <c r="D43" s="216"/>
      <c r="E43" s="219"/>
      <c r="F43" s="66">
        <f>N($C43)*N($D43)/1000</f>
        <v>0</v>
      </c>
      <c r="G43" s="66">
        <f>IF($E43="","",IFERROR(INDEX(tbl_Waste_EF[Waste Disposal Method],MATCH($E43,tbl_Waste_EF[Activity],0)),""))</f>
      </c>
      <c r="H43" s="66">
        <f>IF($E43="","",IFERROR(INDEX(tbl_Waste_EF[kg CO2e],MATCH($E43,tbl_Waste_EF[Activity],0)),0))</f>
      </c>
      <c r="I43" s="216"/>
      <c r="J43" s="45">
        <f>IF(N($I43)&gt;0,$I43*1000,IF($E43="",0,$F43*N($H43)))</f>
        <v>0</v>
      </c>
      <c r="K43" s="218"/>
    </row>
    <row r="44" ht="20" customHeight="1">
      <c r="B44" s="216"/>
      <c r="C44" s="216"/>
      <c r="D44" s="216"/>
      <c r="E44" s="219"/>
      <c r="F44" s="66">
        <f>N($C44)*N($D44)/1000</f>
        <v>0</v>
      </c>
      <c r="G44" s="66">
        <f>IF($E44="","",IFERROR(INDEX(tbl_Waste_EF[Waste Disposal Method],MATCH($E44,tbl_Waste_EF[Activity],0)),""))</f>
      </c>
      <c r="H44" s="66">
        <f>IF($E44="","",IFERROR(INDEX(tbl_Waste_EF[kg CO2e],MATCH($E44,tbl_Waste_EF[Activity],0)),0))</f>
      </c>
      <c r="I44" s="216"/>
      <c r="J44" s="45">
        <f>IF(N($I44)&gt;0,$I44*1000,IF($E44="",0,$F44*N($H44)))</f>
        <v>0</v>
      </c>
      <c r="K44" s="218"/>
    </row>
  </sheetData>
  <sheetProtection algorithmName="SHA-512" hashValue="j+EwH3dV9mF+pTLuYIkHJyuwIcMm0eUYAOtS71UlsWH3NviThEVL4e/fN5vsoddUdq9IR5H4y6KbNm4h+7HeUQ==" saltValue="BVMbh7RzXG9EbjnQHo/JmQ==" spinCount="100000" sheet="1" objects="1" scenarios="1" formatColumns="0" formatRows="0"/>
  <mergeCells count="2">
    <mergeCell ref="B6:K6"/>
    <mergeCell ref="B28:K28"/>
  </mergeCells>
  <dataValidations count="7">
    <dataValidation type="list" allowBlank="1" showInputMessage="1" showErrorMessage="1" sqref="F13:F22">
      <formula1>"Electricity (kWh),Natural Gas (kWh),Diesel (l),Petrol (l),LPG (l)"</formula1>
    </dataValidation>
    <dataValidation type="list" allowBlank="1" showInputMessage="1" showErrorMessage="1" sqref="G13:G22">
      <formula1>lst_Countries</formula1>
    </dataValidation>
    <dataValidation type="decimal" operator="greaterThanOrEqual" allowBlank="1" showErrorMessage="1" errorTitle="Invalid value" error="Please enter a number &gt;= 0." sqref="C13:E22">
      <formula1>0</formula1>
    </dataValidation>
    <dataValidation type="decimal" operator="greaterThanOrEqual" allowBlank="1" showErrorMessage="1" errorTitle="Invalid value" error="Please enter a number &gt;= 0." sqref="I13:I22">
      <formula1>0</formula1>
    </dataValidation>
    <dataValidation type="list" allowBlank="1" showInputMessage="1" showErrorMessage="1" sqref="E35:E44">
      <formula1>lst_WasteTypes</formula1>
    </dataValidation>
    <dataValidation type="decimal" operator="greaterThanOrEqual" allowBlank="1" showErrorMessage="1" errorTitle="Invalid value" error="Please enter a number &gt;= 0." sqref="C35:D44">
      <formula1>0</formula1>
    </dataValidation>
    <dataValidation type="decimal" operator="greaterThanOrEqual" allowBlank="1" showErrorMessage="1" errorTitle="Invalid value" error="Please enter a number &gt;= 0." sqref="I35:I44">
      <formula1>0</formula1>
    </dataValidation>
  </dataValidations>
  <pageMargins left="0.7" right="0.7" top="0.75" bottom="0.75" header="0.3" footer="0.3"/>
</worksheet>
</file>

<file path=xl/worksheets/sheet91.xml><?xml version="1.0" encoding="utf-8"?>
<worksheet xmlns="http://schemas.openxmlformats.org/spreadsheetml/2006/main" xmlns:r="http://schemas.openxmlformats.org/officeDocument/2006/relationships">
  <sheetPr>
    <tabColor rgb="FFE7EEEE"/>
  </sheetPr>
  <dimension ref="A1:AE35"/>
  <sheetViews>
    <sheetView showGridLines="0" zoomScale="80" zoomScaleNormal="80" workbookViewId="0"/>
  </sheetViews>
  <sheetFormatPr defaultRowHeight="14.5"/>
  <cols>
    <col min="1" max="1" width="2.6" style="4" customWidth="1"/>
    <col min="2" max="2" width="6" style="4" customWidth="1"/>
    <col min="3" max="3" width="34" style="4" customWidth="1"/>
    <col min="4" max="4" width="42" style="4" customWidth="1"/>
    <col min="5" max="5" width="18" style="4" customWidth="1"/>
    <col min="6" max="9" width="16" style="4" customWidth="1"/>
    <col min="10" max="10" width="22" style="4" customWidth="1"/>
    <col min="11" max="11" width="46" style="4" customWidth="1"/>
    <col min="12" max="12" width="30" style="4" customWidth="1"/>
    <col min="13" max="13" width="26" style="4" customWidth="1"/>
    <col min="14" max="16" width="4" style="4" customWidth="1"/>
    <col min="17" max="31" width="12" style="4" customWidth="1" hidden="1"/>
  </cols>
  <sheetData>
    <row r="1">
      <c r="B1" s="147" t="str">
        <f>const_Company_Name &amp; " Corporate Carbon Footprint Calculation"</f>
        <v>[Ihr Unternehmen] Corporate Carbon Footprint Calculation</v>
      </c>
    </row>
    <row r="2">
      <c r="B2" s="147" t="str">
        <f>"01/01/" &amp; const_Reporting_Year &amp; " - 31/12/" &amp; const_Reporting_Year</f>
        <v>01/01/2025 - 31/12/2025</v>
      </c>
    </row>
    <row r="4">
      <c r="B4" s="7" t="s">
        <v>2813</v>
      </c>
      <c r="C4" s="7"/>
      <c r="D4" s="7"/>
      <c r="E4" s="7"/>
      <c r="F4" s="7"/>
      <c r="G4" s="7"/>
      <c r="H4" s="7"/>
      <c r="I4" s="7"/>
      <c r="J4" s="7"/>
      <c r="K4" s="7"/>
      <c r="L4" s="7"/>
      <c r="M4" s="7"/>
    </row>
    <row r="6" ht="70" customHeight="1">
      <c r="B6" s="179" t="s">
        <v>2814</v>
      </c>
      <c r="C6" s="180"/>
      <c r="D6" s="180"/>
      <c r="E6" s="180"/>
      <c r="F6" s="180"/>
      <c r="G6" s="180"/>
      <c r="H6" s="180"/>
      <c r="I6" s="180"/>
      <c r="J6" s="180"/>
      <c r="K6" s="180"/>
      <c r="L6" s="180"/>
      <c r="M6" s="181"/>
    </row>
    <row r="8" ht="22" customHeight="1">
      <c r="C8" s="11" t="s">
        <v>2815</v>
      </c>
      <c r="D8" s="219"/>
    </row>
    <row r="10" ht="62" customHeight="1">
      <c r="B10" s="148" t="inlineStr">
        <is>
          <t xml:space="preserve"/>
        </is>
      </c>
      <c r="C10" s="148" t="s">
        <v>2816</v>
      </c>
      <c r="D10" s="148" t="s">
        <v>2817</v>
      </c>
      <c r="E10" s="148" t="s">
        <v>2818</v>
      </c>
      <c r="F10" s="148" t="s">
        <v>2819</v>
      </c>
      <c r="G10" s="148" t="s">
        <v>2820</v>
      </c>
      <c r="H10" s="148" t="s">
        <v>2821</v>
      </c>
      <c r="I10" s="148" t="s">
        <v>2822</v>
      </c>
      <c r="J10" s="148" t="s">
        <v>2823</v>
      </c>
      <c r="K10" s="148" t="s">
        <v>2824</v>
      </c>
      <c r="L10" s="148" t="s">
        <v>2825</v>
      </c>
      <c r="M10" s="148" t="s">
        <v>2826</v>
      </c>
    </row>
    <row r="12" ht="30" customHeight="1">
      <c r="B12" s="19" t="inlineStr">
        <is>
          <t xml:space="preserve">#</t>
        </is>
      </c>
      <c r="C12" s="20" t="s">
        <v>2645</v>
      </c>
      <c r="D12" s="20" t="s">
        <v>2827</v>
      </c>
      <c r="E12" s="20" t="s">
        <v>2828</v>
      </c>
      <c r="F12" s="20" t="inlineStr">
        <is>
          <t xml:space="preserve">Relevant?</t>
        </is>
      </c>
      <c r="G12" s="20" t="s">
        <v>2829</v>
      </c>
      <c r="H12" s="20" t="s">
        <v>2830</v>
      </c>
      <c r="I12" s="20" t="s">
        <v>2831</v>
      </c>
      <c r="J12" s="20" t="s">
        <v>2832</v>
      </c>
      <c r="K12" s="20" t="s">
        <v>2833</v>
      </c>
      <c r="L12" s="20" t="s">
        <v>2834</v>
      </c>
      <c r="M12" s="21" t="s">
        <v>2835</v>
      </c>
      <c r="R12" s="9" t="inlineStr">
        <is>
          <t xml:space="preserve">Agricultural Commodities</t>
        </is>
      </c>
      <c r="S12" s="9" t="inlineStr">
        <is>
          <t xml:space="preserve">Capital Goods</t>
        </is>
      </c>
      <c r="T12" s="9" t="inlineStr">
        <is>
          <t xml:space="preserve">Cement</t>
        </is>
      </c>
      <c r="U12" s="9" t="inlineStr">
        <is>
          <t xml:space="preserve">Chemicals</t>
        </is>
      </c>
      <c r="V12" s="9" t="inlineStr">
        <is>
          <t xml:space="preserve">Construction</t>
        </is>
      </c>
      <c r="W12" s="9" t="inlineStr">
        <is>
          <t xml:space="preserve">Food, Beverage &amp; Tobacco</t>
        </is>
      </c>
      <c r="X12" s="9" t="inlineStr">
        <is>
          <t xml:space="preserve">Metals &amp; Mining</t>
        </is>
      </c>
      <c r="Y12" s="9" t="inlineStr">
        <is>
          <t xml:space="preserve">Paper &amp; Forestry</t>
        </is>
      </c>
      <c r="Z12" s="9" t="inlineStr">
        <is>
          <t xml:space="preserve">Real Estate</t>
        </is>
      </c>
      <c r="AA12" s="9" t="inlineStr">
        <is>
          <t xml:space="preserve">Steel</t>
        </is>
      </c>
      <c r="AB12" s="9" t="inlineStr">
        <is>
          <t xml:space="preserve">Transport OEMs</t>
        </is>
      </c>
      <c r="AC12" s="9" t="inlineStr">
        <is>
          <t xml:space="preserve">Transport Services</t>
        </is>
      </c>
      <c r="AD12" s="9" t="inlineStr">
        <is>
          <t xml:space="preserve">Other / Services (no CDP sector)</t>
        </is>
      </c>
    </row>
    <row r="13" ht="32" customHeight="1">
      <c r="B13" s="14">
        <v>1</v>
      </c>
      <c r="C13" s="9" t="s">
        <v>2836</v>
      </c>
      <c r="D13" s="208" t="s">
        <v>2837</v>
      </c>
      <c r="E13" s="14">
        <f>IF($D$8="","",IFERROR(INDEX($R13:$AD13,MATCH($D$8,$R$12:$AD$12,0)),""))</f>
      </c>
      <c r="F13" s="219"/>
      <c r="G13" s="219"/>
      <c r="H13" s="219"/>
      <c r="I13" s="219"/>
      <c r="J13" s="14">
        <f>IF($F13="","",IF($F13="No","Not relevant",IF($F13="Unclear","Clarify",IF(OR($G13="High",AND($G13="Medium",$I13="High")),"Material - calculate","Estimate / monitor"))))</f>
      </c>
      <c r="K13" s="218"/>
      <c r="L13" s="218"/>
      <c r="M13" s="14" t="str">
        <f>IF('Results Summary'!$C$20&gt;0,"Yes - "&amp;ROUND('Results Summary'!$C$20/1000,1)&amp;" t CO2e","Not yet entered")</f>
        <v>Not yet entered</v>
      </c>
      <c r="R13" s="9" t="inlineStr">
        <is>
          <t xml:space="preserve">relevant</t>
        </is>
      </c>
      <c r="S13" s="9" t="inlineStr">
        <is>
          <t xml:space="preserve">relevant</t>
        </is>
      </c>
      <c r="T13" s="9" t="inlineStr">
        <is>
          <t xml:space="preserve">relevant</t>
        </is>
      </c>
      <c r="U13" s="9" t="inlineStr">
        <is>
          <t xml:space="preserve">relevant</t>
        </is>
      </c>
      <c r="V13" s="9" t="inlineStr">
        <is>
          <t xml:space="preserve">activity-specific</t>
        </is>
      </c>
      <c r="W13" s="9" t="inlineStr">
        <is>
          <t xml:space="preserve">relevant</t>
        </is>
      </c>
      <c r="X13" s="9" t="inlineStr">
        <is>
          <t xml:space="preserve">activity-specific</t>
        </is>
      </c>
      <c r="Y13" s="9" t="inlineStr">
        <is>
          <t xml:space="preserve">relevant</t>
        </is>
      </c>
      <c r="Z13" s="9" t="inlineStr">
        <is>
          <t xml:space="preserve">activity-specific</t>
        </is>
      </c>
      <c r="AA13" s="9" t="inlineStr">
        <is>
          <t xml:space="preserve">relevant</t>
        </is>
      </c>
      <c r="AB13" s="9" t="inlineStr">
        <is>
          <t xml:space="preserve">relevant</t>
        </is>
      </c>
      <c r="AC13" s="9" t="inlineStr">
        <is>
          <t xml:space="preserve">relevant</t>
        </is>
      </c>
      <c r="AD13" s="9" t="inlineStr">
        <is>
          <t xml:space="preserve">-</t>
        </is>
      </c>
    </row>
    <row r="14" ht="32" customHeight="1">
      <c r="B14" s="14">
        <v>2</v>
      </c>
      <c r="C14" s="9" t="s">
        <v>2838</v>
      </c>
      <c r="D14" s="208" t="s">
        <v>2839</v>
      </c>
      <c r="E14" s="14">
        <f>IF($D$8="","",IFERROR(INDEX($R14:$AD14,MATCH($D$8,$R$12:$AD$12,0)),""))</f>
      </c>
      <c r="F14" s="219"/>
      <c r="G14" s="219"/>
      <c r="H14" s="219"/>
      <c r="I14" s="219"/>
      <c r="J14" s="14">
        <f>IF($F14="","",IF($F14="No","Not relevant",IF($F14="Unclear","Clarify",IF(OR($G14="High",AND($G14="Medium",$I14="High")),"Material - calculate","Estimate / monitor"))))</f>
      </c>
      <c r="K14" s="218"/>
      <c r="L14" s="218"/>
      <c r="M14" s="14" t="str">
        <f>IF('Results Summary'!$C$21&gt;0,"Yes - "&amp;ROUND('Results Summary'!$C$21/1000,1)&amp;" t CO2e","Not yet entered")</f>
        <v>Not yet entered</v>
      </c>
      <c r="R14" s="9" t="inlineStr">
        <is>
          <t xml:space="preserve">-</t>
        </is>
      </c>
      <c r="S14" s="9" t="inlineStr">
        <is>
          <t xml:space="preserve">-</t>
        </is>
      </c>
      <c r="T14" s="9" t="inlineStr">
        <is>
          <t xml:space="preserve">-</t>
        </is>
      </c>
      <c r="U14" s="9" t="inlineStr">
        <is>
          <t xml:space="preserve">relevant</t>
        </is>
      </c>
      <c r="V14" s="9" t="inlineStr">
        <is>
          <t xml:space="preserve">relevant</t>
        </is>
      </c>
      <c r="W14" s="9" t="inlineStr">
        <is>
          <t xml:space="preserve">-</t>
        </is>
      </c>
      <c r="X14" s="9" t="inlineStr">
        <is>
          <t xml:space="preserve">-</t>
        </is>
      </c>
      <c r="Y14" s="9" t="inlineStr">
        <is>
          <t xml:space="preserve">-</t>
        </is>
      </c>
      <c r="Z14" s="9" t="inlineStr">
        <is>
          <t xml:space="preserve">relevant</t>
        </is>
      </c>
      <c r="AA14" s="9" t="inlineStr">
        <is>
          <t xml:space="preserve">-</t>
        </is>
      </c>
      <c r="AB14" s="9" t="inlineStr">
        <is>
          <t xml:space="preserve">-</t>
        </is>
      </c>
      <c r="AC14" s="9" t="inlineStr">
        <is>
          <t xml:space="preserve">-</t>
        </is>
      </c>
      <c r="AD14" s="9" t="inlineStr">
        <is>
          <t xml:space="preserve">-</t>
        </is>
      </c>
    </row>
    <row r="15" ht="32" customHeight="1">
      <c r="B15" s="14">
        <v>3</v>
      </c>
      <c r="C15" s="9" t="s">
        <v>2840</v>
      </c>
      <c r="D15" s="208" t="s">
        <v>2841</v>
      </c>
      <c r="E15" s="14">
        <f>IF($D$8="","",IFERROR(INDEX($R15:$AD15,MATCH($D$8,$R$12:$AD$12,0)),""))</f>
      </c>
      <c r="F15" s="219"/>
      <c r="G15" s="219"/>
      <c r="H15" s="219"/>
      <c r="I15" s="219"/>
      <c r="J15" s="14">
        <f>IF($F15="","",IF($F15="No","Not relevant",IF($F15="Unclear","Clarify",IF(OR($G15="High",AND($G15="Medium",$I15="High")),"Material - calculate","Estimate / monitor"))))</f>
      </c>
      <c r="K15" s="218"/>
      <c r="L15" s="218"/>
      <c r="M15" s="14" t="str">
        <f>IF('Results Summary'!$C$22&gt;0,"Yes - "&amp;ROUND('Results Summary'!$C$22/1000,1)&amp;" t CO2e","Not yet entered")</f>
        <v>Not yet entered</v>
      </c>
      <c r="R15" s="9" t="inlineStr">
        <is>
          <t xml:space="preserve">-</t>
        </is>
      </c>
      <c r="S15" s="9" t="inlineStr">
        <is>
          <t xml:space="preserve">-</t>
        </is>
      </c>
      <c r="T15" s="9" t="inlineStr">
        <is>
          <t xml:space="preserve">relevant</t>
        </is>
      </c>
      <c r="U15" s="9" t="inlineStr">
        <is>
          <t xml:space="preserve">relevant</t>
        </is>
      </c>
      <c r="V15" s="9" t="inlineStr">
        <is>
          <t xml:space="preserve">activity-specific</t>
        </is>
      </c>
      <c r="W15" s="9" t="inlineStr">
        <is>
          <t xml:space="preserve">-</t>
        </is>
      </c>
      <c r="X15" s="9" t="inlineStr">
        <is>
          <t xml:space="preserve">-</t>
        </is>
      </c>
      <c r="Y15" s="9" t="inlineStr">
        <is>
          <t xml:space="preserve">-</t>
        </is>
      </c>
      <c r="Z15" s="9" t="inlineStr">
        <is>
          <t xml:space="preserve">relevant</t>
        </is>
      </c>
      <c r="AA15" s="9" t="inlineStr">
        <is>
          <t xml:space="preserve">-</t>
        </is>
      </c>
      <c r="AB15" s="9" t="inlineStr">
        <is>
          <t xml:space="preserve">-</t>
        </is>
      </c>
      <c r="AC15" s="9" t="inlineStr">
        <is>
          <t xml:space="preserve">relevant</t>
        </is>
      </c>
      <c r="AD15" s="9" t="inlineStr">
        <is>
          <t xml:space="preserve">-</t>
        </is>
      </c>
    </row>
    <row r="16" ht="32" customHeight="1">
      <c r="B16" s="14">
        <v>4</v>
      </c>
      <c r="C16" s="9" t="s">
        <v>2842</v>
      </c>
      <c r="D16" s="208" t="s">
        <v>2843</v>
      </c>
      <c r="E16" s="14">
        <f>IF($D$8="","",IFERROR(INDEX($R16:$AD16,MATCH($D$8,$R$12:$AD$12,0)),""))</f>
      </c>
      <c r="F16" s="219"/>
      <c r="G16" s="219"/>
      <c r="H16" s="219"/>
      <c r="I16" s="219"/>
      <c r="J16" s="14">
        <f>IF($F16="","",IF($F16="No","Not relevant",IF($F16="Unclear","Clarify",IF(OR($G16="High",AND($G16="Medium",$I16="High")),"Material - calculate","Estimate / monitor"))))</f>
      </c>
      <c r="K16" s="218"/>
      <c r="L16" s="218"/>
      <c r="M16" s="14" t="str">
        <f>IF('Results Summary'!$C$27&gt;0,"Yes - "&amp;ROUND('Results Summary'!$C$27/1000,1)&amp;" t CO2e","Not yet entered")</f>
        <v>Not yet entered</v>
      </c>
      <c r="R16" s="9" t="inlineStr">
        <is>
          <t xml:space="preserve">-</t>
        </is>
      </c>
      <c r="S16" s="9" t="inlineStr">
        <is>
          <t xml:space="preserve">-</t>
        </is>
      </c>
      <c r="T16" s="9" t="inlineStr">
        <is>
          <t xml:space="preserve">relevant</t>
        </is>
      </c>
      <c r="U16" s="9" t="inlineStr">
        <is>
          <t xml:space="preserve">relevant</t>
        </is>
      </c>
      <c r="V16" s="9" t="inlineStr">
        <is>
          <t xml:space="preserve">activity-specific</t>
        </is>
      </c>
      <c r="W16" s="9" t="inlineStr">
        <is>
          <t xml:space="preserve">relevant</t>
        </is>
      </c>
      <c r="X16" s="9" t="inlineStr">
        <is>
          <t xml:space="preserve">-</t>
        </is>
      </c>
      <c r="Y16" s="9" t="inlineStr">
        <is>
          <t xml:space="preserve">activity-specific</t>
        </is>
      </c>
      <c r="Z16" s="9" t="inlineStr">
        <is>
          <t xml:space="preserve">activity-specific</t>
        </is>
      </c>
      <c r="AA16" s="9" t="inlineStr">
        <is>
          <t xml:space="preserve">-</t>
        </is>
      </c>
      <c r="AB16" s="9" t="inlineStr">
        <is>
          <t xml:space="preserve">-</t>
        </is>
      </c>
      <c r="AC16" s="9" t="inlineStr">
        <is>
          <t xml:space="preserve">relevant</t>
        </is>
      </c>
      <c r="AD16" s="9" t="inlineStr">
        <is>
          <t xml:space="preserve">-</t>
        </is>
      </c>
    </row>
    <row r="17" ht="32" customHeight="1">
      <c r="B17" s="14">
        <v>5</v>
      </c>
      <c r="C17" s="9" t="s">
        <v>2844</v>
      </c>
      <c r="D17" s="208" t="s">
        <v>2845</v>
      </c>
      <c r="E17" s="14">
        <f>IF($D$8="","",IFERROR(INDEX($R17:$AD17,MATCH($D$8,$R$12:$AD$12,0)),""))</f>
      </c>
      <c r="F17" s="219"/>
      <c r="G17" s="219"/>
      <c r="H17" s="219"/>
      <c r="I17" s="219"/>
      <c r="J17" s="14">
        <f>IF($F17="","",IF($F17="No","Not relevant",IF($F17="Unclear","Clarify",IF(OR($G17="High",AND($G17="Medium",$I17="High")),"Material - calculate","Estimate / monitor"))))</f>
      </c>
      <c r="K17" s="218"/>
      <c r="L17" s="218"/>
      <c r="M17" s="14" t="str">
        <f>IF('Results Summary'!$C$28&gt;0,"Yes - "&amp;ROUND('Results Summary'!$C$28/1000,1)&amp;" t CO2e","Not yet entered")</f>
        <v>Not yet entered</v>
      </c>
      <c r="R17" s="9" t="inlineStr">
        <is>
          <t xml:space="preserve">-</t>
        </is>
      </c>
      <c r="S17" s="9" t="inlineStr">
        <is>
          <t xml:space="preserve">-</t>
        </is>
      </c>
      <c r="T17" s="9" t="inlineStr">
        <is>
          <t xml:space="preserve">-</t>
        </is>
      </c>
      <c r="U17" s="9" t="inlineStr">
        <is>
          <t xml:space="preserve">-</t>
        </is>
      </c>
      <c r="V17" s="9" t="inlineStr">
        <is>
          <t xml:space="preserve">-</t>
        </is>
      </c>
      <c r="W17" s="9" t="inlineStr">
        <is>
          <t xml:space="preserve">-</t>
        </is>
      </c>
      <c r="X17" s="9" t="inlineStr">
        <is>
          <t xml:space="preserve">-</t>
        </is>
      </c>
      <c r="Y17" s="9" t="inlineStr">
        <is>
          <t xml:space="preserve">-</t>
        </is>
      </c>
      <c r="Z17" s="9" t="inlineStr">
        <is>
          <t xml:space="preserve">-</t>
        </is>
      </c>
      <c r="AA17" s="9" t="inlineStr">
        <is>
          <t xml:space="preserve">-</t>
        </is>
      </c>
      <c r="AB17" s="9" t="inlineStr">
        <is>
          <t xml:space="preserve">-</t>
        </is>
      </c>
      <c r="AC17" s="9" t="inlineStr">
        <is>
          <t xml:space="preserve">-</t>
        </is>
      </c>
      <c r="AD17" s="9" t="inlineStr">
        <is>
          <t xml:space="preserve">-</t>
        </is>
      </c>
    </row>
    <row r="18" ht="32" customHeight="1">
      <c r="B18" s="14">
        <v>6</v>
      </c>
      <c r="C18" s="9" t="s">
        <v>2846</v>
      </c>
      <c r="D18" s="208" t="s">
        <v>2847</v>
      </c>
      <c r="E18" s="14">
        <f>IF($D$8="","",IFERROR(INDEX($R18:$AD18,MATCH($D$8,$R$12:$AD$12,0)),""))</f>
      </c>
      <c r="F18" s="219"/>
      <c r="G18" s="219"/>
      <c r="H18" s="219"/>
      <c r="I18" s="219"/>
      <c r="J18" s="14">
        <f>IF($F18="","",IF($F18="No","Not relevant",IF($F18="Unclear","Clarify",IF(OR($G18="High",AND($G18="Medium",$I18="High")),"Material - calculate","Estimate / monitor"))))</f>
      </c>
      <c r="K18" s="218"/>
      <c r="L18" s="218"/>
      <c r="M18" s="14" t="str">
        <f>IF('Results Summary'!$C$31&gt;0,"Yes - "&amp;ROUND('Results Summary'!$C$31/1000,1)&amp;" t CO2e","Not yet entered")</f>
        <v>Not yet entered</v>
      </c>
      <c r="R18" s="9" t="inlineStr">
        <is>
          <t xml:space="preserve">-</t>
        </is>
      </c>
      <c r="S18" s="9" t="inlineStr">
        <is>
          <t xml:space="preserve">-</t>
        </is>
      </c>
      <c r="T18" s="9" t="inlineStr">
        <is>
          <t xml:space="preserve">-</t>
        </is>
      </c>
      <c r="U18" s="9" t="inlineStr">
        <is>
          <t xml:space="preserve">-</t>
        </is>
      </c>
      <c r="V18" s="9" t="inlineStr">
        <is>
          <t xml:space="preserve">-</t>
        </is>
      </c>
      <c r="W18" s="9" t="inlineStr">
        <is>
          <t xml:space="preserve">-</t>
        </is>
      </c>
      <c r="X18" s="9" t="inlineStr">
        <is>
          <t xml:space="preserve">-</t>
        </is>
      </c>
      <c r="Y18" s="9" t="inlineStr">
        <is>
          <t xml:space="preserve">-</t>
        </is>
      </c>
      <c r="Z18" s="9" t="inlineStr">
        <is>
          <t xml:space="preserve">-</t>
        </is>
      </c>
      <c r="AA18" s="9" t="inlineStr">
        <is>
          <t xml:space="preserve">-</t>
        </is>
      </c>
      <c r="AB18" s="9" t="inlineStr">
        <is>
          <t xml:space="preserve">-</t>
        </is>
      </c>
      <c r="AC18" s="9" t="inlineStr">
        <is>
          <t xml:space="preserve">-</t>
        </is>
      </c>
      <c r="AD18" s="9" t="inlineStr">
        <is>
          <t xml:space="preserve">-</t>
        </is>
      </c>
    </row>
    <row r="19" ht="32" customHeight="1">
      <c r="B19" s="14">
        <v>7</v>
      </c>
      <c r="C19" s="9" t="s">
        <v>2848</v>
      </c>
      <c r="D19" s="208" t="s">
        <v>2849</v>
      </c>
      <c r="E19" s="14">
        <f>IF($D$8="","",IFERROR(INDEX($R19:$AD19,MATCH($D$8,$R$12:$AD$12,0)),""))</f>
      </c>
      <c r="F19" s="219"/>
      <c r="G19" s="219"/>
      <c r="H19" s="219"/>
      <c r="I19" s="219"/>
      <c r="J19" s="14">
        <f>IF($F19="","",IF($F19="No","Not relevant",IF($F19="Unclear","Clarify",IF(OR($G19="High",AND($G19="Medium",$I19="High")),"Material - calculate","Estimate / monitor"))))</f>
      </c>
      <c r="K19" s="218"/>
      <c r="L19" s="218"/>
      <c r="M19" s="14" t="str">
        <f>IF('Results Summary'!$C$32&gt;0,"Yes - "&amp;ROUND('Results Summary'!$C$32/1000,1)&amp;" t CO2e","Not yet entered")</f>
        <v>Not yet entered</v>
      </c>
      <c r="R19" s="9" t="inlineStr">
        <is>
          <t xml:space="preserve">-</t>
        </is>
      </c>
      <c r="S19" s="9" t="inlineStr">
        <is>
          <t xml:space="preserve">-</t>
        </is>
      </c>
      <c r="T19" s="9" t="inlineStr">
        <is>
          <t xml:space="preserve">-</t>
        </is>
      </c>
      <c r="U19" s="9" t="inlineStr">
        <is>
          <t xml:space="preserve">-</t>
        </is>
      </c>
      <c r="V19" s="9" t="inlineStr">
        <is>
          <t xml:space="preserve">-</t>
        </is>
      </c>
      <c r="W19" s="9" t="inlineStr">
        <is>
          <t xml:space="preserve">-</t>
        </is>
      </c>
      <c r="X19" s="9" t="inlineStr">
        <is>
          <t xml:space="preserve">-</t>
        </is>
      </c>
      <c r="Y19" s="9" t="inlineStr">
        <is>
          <t xml:space="preserve">-</t>
        </is>
      </c>
      <c r="Z19" s="9" t="inlineStr">
        <is>
          <t xml:space="preserve">-</t>
        </is>
      </c>
      <c r="AA19" s="9" t="inlineStr">
        <is>
          <t xml:space="preserve">-</t>
        </is>
      </c>
      <c r="AB19" s="9" t="inlineStr">
        <is>
          <t xml:space="preserve">-</t>
        </is>
      </c>
      <c r="AC19" s="9" t="inlineStr">
        <is>
          <t xml:space="preserve">-</t>
        </is>
      </c>
      <c r="AD19" s="9" t="inlineStr">
        <is>
          <t xml:space="preserve">-</t>
        </is>
      </c>
    </row>
    <row r="20" ht="32" customHeight="1">
      <c r="B20" s="14">
        <v>8</v>
      </c>
      <c r="C20" s="9" t="s">
        <v>2850</v>
      </c>
      <c r="D20" s="208" t="s">
        <v>2851</v>
      </c>
      <c r="E20" s="14">
        <f>IF($D$8="","",IFERROR(INDEX($R20:$AD20,MATCH($D$8,$R$12:$AD$12,0)),""))</f>
      </c>
      <c r="F20" s="219"/>
      <c r="G20" s="219"/>
      <c r="H20" s="219"/>
      <c r="I20" s="219"/>
      <c r="J20" s="14">
        <f>IF($F20="","",IF($F20="No","Not relevant",IF($F20="Unclear","Clarify",IF(OR($G20="High",AND($G20="Medium",$I20="High")),"Material - calculate","Estimate / monitor"))))</f>
      </c>
      <c r="K20" s="218"/>
      <c r="L20" s="218"/>
      <c r="M20" s="14" t="str">
        <f>IF('Results Summary'!$C$35&gt;0,"Yes - "&amp;ROUND('Results Summary'!$C$35/1000,1)&amp;" t CO2e","Not yet entered")</f>
        <v>Not yet entered</v>
      </c>
      <c r="R20" s="9" t="inlineStr">
        <is>
          <t xml:space="preserve">-</t>
        </is>
      </c>
      <c r="S20" s="9" t="inlineStr">
        <is>
          <t xml:space="preserve">-</t>
        </is>
      </c>
      <c r="T20" s="9" t="inlineStr">
        <is>
          <t xml:space="preserve">-</t>
        </is>
      </c>
      <c r="U20" s="9" t="inlineStr">
        <is>
          <t xml:space="preserve">-</t>
        </is>
      </c>
      <c r="V20" s="9" t="inlineStr">
        <is>
          <t xml:space="preserve">-</t>
        </is>
      </c>
      <c r="W20" s="9" t="inlineStr">
        <is>
          <t xml:space="preserve">-</t>
        </is>
      </c>
      <c r="X20" s="9" t="inlineStr">
        <is>
          <t xml:space="preserve">-</t>
        </is>
      </c>
      <c r="Y20" s="9" t="inlineStr">
        <is>
          <t xml:space="preserve">-</t>
        </is>
      </c>
      <c r="Z20" s="9" t="inlineStr">
        <is>
          <t xml:space="preserve">-</t>
        </is>
      </c>
      <c r="AA20" s="9" t="inlineStr">
        <is>
          <t xml:space="preserve">-</t>
        </is>
      </c>
      <c r="AB20" s="9" t="inlineStr">
        <is>
          <t xml:space="preserve">-</t>
        </is>
      </c>
      <c r="AC20" s="9" t="inlineStr">
        <is>
          <t xml:space="preserve">-</t>
        </is>
      </c>
      <c r="AD20" s="9" t="inlineStr">
        <is>
          <t xml:space="preserve">-</t>
        </is>
      </c>
    </row>
    <row r="21" ht="32" customHeight="1">
      <c r="B21" s="14">
        <v>9</v>
      </c>
      <c r="C21" s="9" t="s">
        <v>2809</v>
      </c>
      <c r="D21" s="208" t="s">
        <v>2852</v>
      </c>
      <c r="E21" s="14">
        <f>IF($D$8="","",IFERROR(INDEX($R21:$AD21,MATCH($D$8,$R$12:$AD$12,0)),""))</f>
      </c>
      <c r="F21" s="219"/>
      <c r="G21" s="219"/>
      <c r="H21" s="219"/>
      <c r="I21" s="219"/>
      <c r="J21" s="14">
        <f>IF($F21="","",IF($F21="No","Not relevant",IF($F21="Unclear","Clarify",IF(OR($G21="High",AND($G21="Medium",$I21="High")),"Material - calculate","Estimate / monitor"))))</f>
      </c>
      <c r="K21" s="218"/>
      <c r="L21" s="218"/>
      <c r="M21" s="14" t="str">
        <f>IF('Results Summary'!$C$36&gt;0,"Yes - "&amp;ROUND('Results Summary'!$C$36/1000,1)&amp;" t CO2e","Not yet entered")</f>
        <v>Not yet entered</v>
      </c>
      <c r="R21" s="9" t="inlineStr">
        <is>
          <t xml:space="preserve">-</t>
        </is>
      </c>
      <c r="S21" s="9" t="inlineStr">
        <is>
          <t xml:space="preserve">-</t>
        </is>
      </c>
      <c r="T21" s="9" t="inlineStr">
        <is>
          <t xml:space="preserve">relevant</t>
        </is>
      </c>
      <c r="U21" s="9" t="inlineStr">
        <is>
          <t xml:space="preserve">relevant</t>
        </is>
      </c>
      <c r="V21" s="9" t="inlineStr">
        <is>
          <t xml:space="preserve">-</t>
        </is>
      </c>
      <c r="W21" s="9" t="inlineStr">
        <is>
          <t xml:space="preserve">relevant</t>
        </is>
      </c>
      <c r="X21" s="9" t="inlineStr">
        <is>
          <t xml:space="preserve">-</t>
        </is>
      </c>
      <c r="Y21" s="9" t="inlineStr">
        <is>
          <t xml:space="preserve">relevant</t>
        </is>
      </c>
      <c r="Z21" s="9" t="inlineStr">
        <is>
          <t xml:space="preserve">-</t>
        </is>
      </c>
      <c r="AA21" s="9" t="inlineStr">
        <is>
          <t xml:space="preserve">-</t>
        </is>
      </c>
      <c r="AB21" s="9" t="inlineStr">
        <is>
          <t xml:space="preserve">-</t>
        </is>
      </c>
      <c r="AC21" s="9" t="inlineStr">
        <is>
          <t xml:space="preserve">-</t>
        </is>
      </c>
      <c r="AD21" s="9" t="inlineStr">
        <is>
          <t xml:space="preserve">-</t>
        </is>
      </c>
    </row>
    <row r="22" ht="32" customHeight="1">
      <c r="B22" s="14">
        <v>10</v>
      </c>
      <c r="C22" s="9" t="s">
        <v>2810</v>
      </c>
      <c r="D22" s="208" t="s">
        <v>2853</v>
      </c>
      <c r="E22" s="14">
        <f>IF($D$8="","",IFERROR(INDEX($R22:$AD22,MATCH($D$8,$R$12:$AD$12,0)),""))</f>
      </c>
      <c r="F22" s="219"/>
      <c r="G22" s="219"/>
      <c r="H22" s="219"/>
      <c r="I22" s="219"/>
      <c r="J22" s="14">
        <f>IF($F22="","",IF($F22="No","Not relevant",IF($F22="Unclear","Clarify",IF(OR($G22="High",AND($G22="Medium",$I22="High")),"Material - calculate","Estimate / monitor"))))</f>
      </c>
      <c r="K22" s="218"/>
      <c r="L22" s="218"/>
      <c r="M22" s="14" t="str">
        <f>IF('Results Summary'!$C$37&gt;0,"Yes - "&amp;ROUND('Results Summary'!$C$37/1000,1)&amp;" t CO2e","Not yet entered")</f>
        <v>Not yet entered</v>
      </c>
      <c r="R22" s="9" t="inlineStr">
        <is>
          <t xml:space="preserve">relevant</t>
        </is>
      </c>
      <c r="S22" s="9" t="inlineStr">
        <is>
          <t xml:space="preserve">-</t>
        </is>
      </c>
      <c r="T22" s="9" t="inlineStr">
        <is>
          <t xml:space="preserve">-</t>
        </is>
      </c>
      <c r="U22" s="9" t="inlineStr">
        <is>
          <t xml:space="preserve">-</t>
        </is>
      </c>
      <c r="V22" s="9" t="inlineStr">
        <is>
          <t xml:space="preserve">-</t>
        </is>
      </c>
      <c r="W22" s="9" t="inlineStr">
        <is>
          <t xml:space="preserve">-</t>
        </is>
      </c>
      <c r="X22" s="9" t="inlineStr">
        <is>
          <t xml:space="preserve">activity-specific</t>
        </is>
      </c>
      <c r="Y22" s="9" t="inlineStr">
        <is>
          <t xml:space="preserve">activity-specific</t>
        </is>
      </c>
      <c r="Z22" s="9" t="inlineStr">
        <is>
          <t xml:space="preserve">-</t>
        </is>
      </c>
      <c r="AA22" s="9" t="inlineStr">
        <is>
          <t xml:space="preserve">relevant</t>
        </is>
      </c>
      <c r="AB22" s="9" t="inlineStr">
        <is>
          <t xml:space="preserve">-</t>
        </is>
      </c>
      <c r="AC22" s="9" t="inlineStr">
        <is>
          <t xml:space="preserve">-</t>
        </is>
      </c>
      <c r="AD22" s="9" t="inlineStr">
        <is>
          <t xml:space="preserve">-</t>
        </is>
      </c>
    </row>
    <row r="23" ht="32" customHeight="1">
      <c r="B23" s="14">
        <v>11</v>
      </c>
      <c r="C23" s="9" t="s">
        <v>2854</v>
      </c>
      <c r="D23" s="208" t="s">
        <v>2855</v>
      </c>
      <c r="E23" s="14">
        <f>IF($D$8="","",IFERROR(INDEX($R23:$AD23,MATCH($D$8,$R$12:$AD$12,0)),""))</f>
      </c>
      <c r="F23" s="219"/>
      <c r="G23" s="219"/>
      <c r="H23" s="219"/>
      <c r="I23" s="219"/>
      <c r="J23" s="14">
        <f>IF($F23="","",IF($F23="No","Not relevant",IF($F23="Unclear","Clarify",IF(OR($G23="High",AND($G23="Medium",$I23="High")),"Material - calculate","Estimate / monitor"))))</f>
      </c>
      <c r="K23" s="218"/>
      <c r="L23" s="218"/>
      <c r="M23" s="14" t="str">
        <f>IF('Results Summary'!$C$38&gt;0,"Yes - "&amp;ROUND('Results Summary'!$C$38/1000,1)&amp;" t CO2e","Not yet entered")</f>
        <v>Not yet entered</v>
      </c>
      <c r="R23" s="9" t="inlineStr">
        <is>
          <t xml:space="preserve">relevant</t>
        </is>
      </c>
      <c r="S23" s="9" t="inlineStr">
        <is>
          <t xml:space="preserve">relevant</t>
        </is>
      </c>
      <c r="T23" s="9" t="inlineStr">
        <is>
          <t xml:space="preserve">-</t>
        </is>
      </c>
      <c r="U23" s="9" t="inlineStr">
        <is>
          <t xml:space="preserve">relevant</t>
        </is>
      </c>
      <c r="V23" s="9" t="inlineStr">
        <is>
          <t xml:space="preserve">activity-specific</t>
        </is>
      </c>
      <c r="W23" s="9" t="inlineStr">
        <is>
          <t xml:space="preserve">-</t>
        </is>
      </c>
      <c r="X23" s="9" t="inlineStr">
        <is>
          <t xml:space="preserve">-</t>
        </is>
      </c>
      <c r="Y23" s="9" t="inlineStr">
        <is>
          <t xml:space="preserve">-</t>
        </is>
      </c>
      <c r="Z23" s="9" t="inlineStr">
        <is>
          <t xml:space="preserve">activity-specific</t>
        </is>
      </c>
      <c r="AA23" s="9" t="inlineStr">
        <is>
          <t xml:space="preserve">relevant</t>
        </is>
      </c>
      <c r="AB23" s="9" t="inlineStr">
        <is>
          <t xml:space="preserve">relevant</t>
        </is>
      </c>
      <c r="AC23" s="9" t="inlineStr">
        <is>
          <t xml:space="preserve">-</t>
        </is>
      </c>
      <c r="AD23" s="9" t="inlineStr">
        <is>
          <t xml:space="preserve">-</t>
        </is>
      </c>
    </row>
    <row r="24" ht="32" customHeight="1">
      <c r="B24" s="14">
        <v>12</v>
      </c>
      <c r="C24" s="9" t="s">
        <v>2856</v>
      </c>
      <c r="D24" s="208" t="s">
        <v>2857</v>
      </c>
      <c r="E24" s="14">
        <f>IF($D$8="","",IFERROR(INDEX($R24:$AD24,MATCH($D$8,$R$12:$AD$12,0)),""))</f>
      </c>
      <c r="F24" s="219"/>
      <c r="G24" s="219"/>
      <c r="H24" s="219"/>
      <c r="I24" s="219"/>
      <c r="J24" s="14">
        <f>IF($F24="","",IF($F24="No","Not relevant",IF($F24="Unclear","Clarify",IF(OR($G24="High",AND($G24="Medium",$I24="High")),"Material - calculate","Estimate / monitor"))))</f>
      </c>
      <c r="K24" s="218"/>
      <c r="L24" s="218"/>
      <c r="M24" s="14" t="str">
        <f>IF('Results Summary'!$C$39&gt;0,"Yes - "&amp;ROUND('Results Summary'!$C$39/1000,1)&amp;" t CO2e","Not yet entered")</f>
        <v>Not yet entered</v>
      </c>
      <c r="R24" s="9" t="inlineStr">
        <is>
          <t xml:space="preserve">-</t>
        </is>
      </c>
      <c r="S24" s="9" t="inlineStr">
        <is>
          <t xml:space="preserve">-</t>
        </is>
      </c>
      <c r="T24" s="9" t="inlineStr">
        <is>
          <t xml:space="preserve">-</t>
        </is>
      </c>
      <c r="U24" s="9" t="inlineStr">
        <is>
          <t xml:space="preserve">relevant</t>
        </is>
      </c>
      <c r="V24" s="9" t="inlineStr">
        <is>
          <t xml:space="preserve">activity-specific</t>
        </is>
      </c>
      <c r="W24" s="9" t="inlineStr">
        <is>
          <t xml:space="preserve">-</t>
        </is>
      </c>
      <c r="X24" s="9" t="inlineStr">
        <is>
          <t xml:space="preserve">-</t>
        </is>
      </c>
      <c r="Y24" s="9" t="inlineStr">
        <is>
          <t xml:space="preserve">activity-specific</t>
        </is>
      </c>
      <c r="Z24" s="9" t="inlineStr">
        <is>
          <t xml:space="preserve">activity-specific</t>
        </is>
      </c>
      <c r="AA24" s="9" t="inlineStr">
        <is>
          <t xml:space="preserve">relevant</t>
        </is>
      </c>
      <c r="AB24" s="9" t="inlineStr">
        <is>
          <t xml:space="preserve">-</t>
        </is>
      </c>
      <c r="AC24" s="9" t="inlineStr">
        <is>
          <t xml:space="preserve">-</t>
        </is>
      </c>
      <c r="AD24" s="9" t="inlineStr">
        <is>
          <t xml:space="preserve">-</t>
        </is>
      </c>
    </row>
    <row r="25" ht="32" customHeight="1">
      <c r="B25" s="14">
        <v>13</v>
      </c>
      <c r="C25" s="9" t="s">
        <v>2811</v>
      </c>
      <c r="D25" s="208" t="s">
        <v>2858</v>
      </c>
      <c r="E25" s="14">
        <f>IF($D$8="","",IFERROR(INDEX($R25:$AD25,MATCH($D$8,$R$12:$AD$12,0)),""))</f>
      </c>
      <c r="F25" s="219"/>
      <c r="G25" s="219"/>
      <c r="H25" s="219"/>
      <c r="I25" s="219"/>
      <c r="J25" s="14">
        <f>IF($F25="","",IF($F25="No","Not relevant",IF($F25="Unclear","Clarify",IF(OR($G25="High",AND($G25="Medium",$I25="High")),"Material - calculate","Estimate / monitor"))))</f>
      </c>
      <c r="K25" s="218"/>
      <c r="L25" s="218"/>
      <c r="M25" s="14" t="str">
        <f>IF('Results Summary'!$C$40&gt;0,"Yes - "&amp;ROUND('Results Summary'!$C$40/1000,1)&amp;" t CO2e","Not yet entered")</f>
        <v>Not yet entered</v>
      </c>
      <c r="R25" s="9" t="inlineStr">
        <is>
          <t xml:space="preserve">-</t>
        </is>
      </c>
      <c r="S25" s="9" t="inlineStr">
        <is>
          <t xml:space="preserve">-</t>
        </is>
      </c>
      <c r="T25" s="9" t="inlineStr">
        <is>
          <t xml:space="preserve">-</t>
        </is>
      </c>
      <c r="U25" s="9" t="inlineStr">
        <is>
          <t xml:space="preserve">-</t>
        </is>
      </c>
      <c r="V25" s="9" t="inlineStr">
        <is>
          <t xml:space="preserve">-</t>
        </is>
      </c>
      <c r="W25" s="9" t="inlineStr">
        <is>
          <t xml:space="preserve">-</t>
        </is>
      </c>
      <c r="X25" s="9" t="inlineStr">
        <is>
          <t xml:space="preserve">-</t>
        </is>
      </c>
      <c r="Y25" s="9" t="inlineStr">
        <is>
          <t xml:space="preserve">-</t>
        </is>
      </c>
      <c r="Z25" s="9" t="inlineStr">
        <is>
          <t xml:space="preserve">activity-specific</t>
        </is>
      </c>
      <c r="AA25" s="9" t="inlineStr">
        <is>
          <t xml:space="preserve">-</t>
        </is>
      </c>
      <c r="AB25" s="9" t="inlineStr">
        <is>
          <t xml:space="preserve">-</t>
        </is>
      </c>
      <c r="AC25" s="9" t="inlineStr">
        <is>
          <t xml:space="preserve">-</t>
        </is>
      </c>
      <c r="AD25" s="9" t="inlineStr">
        <is>
          <t xml:space="preserve">-</t>
        </is>
      </c>
    </row>
    <row r="26" ht="32" customHeight="1">
      <c r="B26" s="14">
        <v>14</v>
      </c>
      <c r="C26" s="9" t="inlineStr">
        <is>
          <t xml:space="preserve">Franchises</t>
        </is>
      </c>
      <c r="D26" s="208" t="s">
        <v>2859</v>
      </c>
      <c r="E26" s="14">
        <f>IF($D$8="","",IFERROR(INDEX($R26:$AD26,MATCH($D$8,$R$12:$AD$12,0)),""))</f>
      </c>
      <c r="F26" s="219"/>
      <c r="G26" s="219"/>
      <c r="H26" s="219"/>
      <c r="I26" s="219"/>
      <c r="J26" s="14">
        <f>IF($F26="","",IF($F26="No","Not relevant",IF($F26="Unclear","Clarify",IF(OR($G26="High",AND($G26="Medium",$I26="High")),"Material - calculate","Estimate / monitor"))))</f>
      </c>
      <c r="K26" s="218"/>
      <c r="L26" s="218"/>
      <c r="M26" s="14" t="str">
        <f>IF('Results Summary'!$C$41&gt;0,"Yes - "&amp;ROUND('Results Summary'!$C$41/1000,1)&amp;" t CO2e","Not yet entered")</f>
        <v>Not yet entered</v>
      </c>
      <c r="R26" s="9" t="inlineStr">
        <is>
          <t xml:space="preserve">-</t>
        </is>
      </c>
      <c r="S26" s="9" t="inlineStr">
        <is>
          <t xml:space="preserve">-</t>
        </is>
      </c>
      <c r="T26" s="9" t="inlineStr">
        <is>
          <t xml:space="preserve">-</t>
        </is>
      </c>
      <c r="U26" s="9" t="inlineStr">
        <is>
          <t xml:space="preserve">-</t>
        </is>
      </c>
      <c r="V26" s="9" t="inlineStr">
        <is>
          <t xml:space="preserve">-</t>
        </is>
      </c>
      <c r="W26" s="9" t="inlineStr">
        <is>
          <t xml:space="preserve">-</t>
        </is>
      </c>
      <c r="X26" s="9" t="inlineStr">
        <is>
          <t xml:space="preserve">-</t>
        </is>
      </c>
      <c r="Y26" s="9" t="inlineStr">
        <is>
          <t xml:space="preserve">-</t>
        </is>
      </c>
      <c r="Z26" s="9" t="inlineStr">
        <is>
          <t xml:space="preserve">-</t>
        </is>
      </c>
      <c r="AA26" s="9" t="inlineStr">
        <is>
          <t xml:space="preserve">-</t>
        </is>
      </c>
      <c r="AB26" s="9" t="inlineStr">
        <is>
          <t xml:space="preserve">-</t>
        </is>
      </c>
      <c r="AC26" s="9" t="inlineStr">
        <is>
          <t xml:space="preserve">-</t>
        </is>
      </c>
      <c r="AD26" s="9" t="inlineStr">
        <is>
          <t xml:space="preserve">-</t>
        </is>
      </c>
    </row>
    <row r="27" ht="32" customHeight="1">
      <c r="B27" s="14">
        <v>15</v>
      </c>
      <c r="C27" s="9" t="s">
        <v>2812</v>
      </c>
      <c r="D27" s="208" t="s">
        <v>2860</v>
      </c>
      <c r="E27" s="14">
        <f>IF($D$8="","",IFERROR(INDEX($R27:$AD27,MATCH($D$8,$R$12:$AD$12,0)),""))</f>
      </c>
      <c r="F27" s="219"/>
      <c r="G27" s="219"/>
      <c r="H27" s="219"/>
      <c r="I27" s="219"/>
      <c r="J27" s="14">
        <f>IF($F27="","",IF($F27="No","Not relevant",IF($F27="Unclear","Clarify",IF(OR($G27="High",AND($G27="Medium",$I27="High")),"Material - calculate","Estimate / monitor"))))</f>
      </c>
      <c r="K27" s="218"/>
      <c r="L27" s="218"/>
      <c r="M27" s="14" t="str">
        <f>IF('Results Summary'!$C$42&gt;0,"Yes - "&amp;ROUND('Results Summary'!$C$42/1000,1)&amp;" t CO2e","Not yet entered")</f>
        <v>Not yet entered</v>
      </c>
      <c r="R27" s="9" t="inlineStr">
        <is>
          <t xml:space="preserve">-</t>
        </is>
      </c>
      <c r="S27" s="9" t="inlineStr">
        <is>
          <t xml:space="preserve">-</t>
        </is>
      </c>
      <c r="T27" s="9" t="inlineStr">
        <is>
          <t xml:space="preserve">-</t>
        </is>
      </c>
      <c r="U27" s="9" t="inlineStr">
        <is>
          <t xml:space="preserve">-</t>
        </is>
      </c>
      <c r="V27" s="9" t="inlineStr">
        <is>
          <t xml:space="preserve">-</t>
        </is>
      </c>
      <c r="W27" s="9" t="inlineStr">
        <is>
          <t xml:space="preserve">-</t>
        </is>
      </c>
      <c r="X27" s="9" t="inlineStr">
        <is>
          <t xml:space="preserve">-</t>
        </is>
      </c>
      <c r="Y27" s="9" t="inlineStr">
        <is>
          <t xml:space="preserve">-</t>
        </is>
      </c>
      <c r="Z27" s="9" t="inlineStr">
        <is>
          <t xml:space="preserve">activity-specific</t>
        </is>
      </c>
      <c r="AA27" s="9" t="inlineStr">
        <is>
          <t xml:space="preserve">-</t>
        </is>
      </c>
      <c r="AB27" s="9" t="inlineStr">
        <is>
          <t xml:space="preserve">-</t>
        </is>
      </c>
      <c r="AC27" s="9" t="inlineStr">
        <is>
          <t xml:space="preserve">-</t>
        </is>
      </c>
      <c r="AD27" s="9" t="inlineStr">
        <is>
          <t xml:space="preserve">-</t>
        </is>
      </c>
    </row>
    <row r="29">
      <c r="C29" s="7" t="s">
        <v>2861</v>
      </c>
    </row>
    <row r="30">
      <c r="C30" s="9" t="inlineStr">
        <is>
          <t xml:space="preserve">Material - calculate</t>
        </is>
      </c>
      <c r="D30" s="14">
        <f>COUNTIF($J$13:$J$27,"Material - calculate")</f>
        <v>0</v>
      </c>
    </row>
    <row r="31">
      <c r="C31" s="9" t="inlineStr">
        <is>
          <t xml:space="preserve">Estimate / monitor</t>
        </is>
      </c>
      <c r="D31" s="14">
        <f>COUNTIF($J$13:$J$27,"Estimate / monitor")</f>
        <v>0</v>
      </c>
    </row>
    <row r="32">
      <c r="C32" s="9" t="inlineStr">
        <is>
          <t xml:space="preserve">Clarify</t>
        </is>
      </c>
      <c r="D32" s="14">
        <f>COUNTIF($J$13:$J$27,"Clarify")</f>
        <v>0</v>
      </c>
    </row>
    <row r="33">
      <c r="C33" s="9" t="inlineStr">
        <is>
          <t xml:space="preserve">Not relevant</t>
        </is>
      </c>
      <c r="D33" s="14">
        <f>COUNTIF($J$13:$J$27,"Not relevant")</f>
        <v>0</v>
      </c>
    </row>
    <row r="35">
      <c r="C35" s="11" t="s">
        <v>2862</v>
      </c>
    </row>
  </sheetData>
  <sheetProtection algorithmName="SHA-512" hashValue="Yxh5s5Rlnm5Oc6BJWtfTL+IAtc3rfCtepX1qoRugdd20YS3U/s8QHQ8l7vnsp9OMDxlZ3+HSKViU5Qq/yJ9kEA==" saltValue="8MIkwrBcdmDRvVHKteGxcA==" spinCount="100000" sheet="1" objects="1" scenarios="1" formatColumns="0" formatRows="0"/>
  <mergeCells count="3">
    <mergeCell ref="B1:D1"/>
    <mergeCell ref="B2:D2"/>
    <mergeCell ref="B6:M6"/>
  </mergeCells>
  <conditionalFormatting sqref="H13:H27">
    <cfRule type="cellIs" dxfId="1341" priority="1" operator="equal">
      <formula>"Green"</formula>
    </cfRule>
    <cfRule type="cellIs" dxfId="1342" priority="2" operator="equal">
      <formula>"Yellow"</formula>
    </cfRule>
    <cfRule type="cellIs" dxfId="1343" priority="3" operator="equal">
      <formula>"Red"</formula>
    </cfRule>
  </conditionalFormatting>
  <conditionalFormatting sqref="J13:J27">
    <cfRule type="cellIs" dxfId="1344" priority="4" operator="equal">
      <formula>"Material - calculate"</formula>
    </cfRule>
    <cfRule type="cellIs" dxfId="1342" priority="5" operator="equal">
      <formula>"Estimate / monitor"</formula>
    </cfRule>
    <cfRule type="cellIs" dxfId="1342" priority="6" operator="equal">
      <formula>"Clarify"</formula>
    </cfRule>
    <cfRule type="cellIs" dxfId="1345" priority="7" operator="equal">
      <formula>"Not relevant"</formula>
    </cfRule>
  </conditionalFormatting>
  <conditionalFormatting sqref="E13:E27">
    <cfRule type="cellIs" dxfId="1344" priority="8" operator="equal">
      <formula>"relevant"</formula>
    </cfRule>
    <cfRule type="cellIs" dxfId="1342" priority="9" operator="equal">
      <formula>"activity-specific"</formula>
    </cfRule>
  </conditionalFormatting>
  <dataValidations count="5">
    <dataValidation type="list" allowBlank="1" showInputMessage="1" showErrorMessage="1" sqref="D8">
      <formula1>$R$12:$AE$12</formula1>
    </dataValidation>
    <dataValidation type="list" allowBlank="1" showInputMessage="1" showErrorMessage="1" sqref="F13:F27">
      <formula1>"Yes,No,Unclear"</formula1>
    </dataValidation>
    <dataValidation type="list" allowBlank="1" showInputMessage="1" showErrorMessage="1" sqref="G13:G27">
      <formula1>"High,Medium,Low"</formula1>
    </dataValidation>
    <dataValidation type="list" allowBlank="1" showInputMessage="1" showErrorMessage="1" sqref="H13:H27">
      <formula1>"Green,Yellow,Red"</formula1>
    </dataValidation>
    <dataValidation type="list" allowBlank="1" showInputMessage="1" showErrorMessage="1" sqref="I13:I27">
      <formula1>"High,Medium,Low"</formula1>
    </dataValidation>
  </dataValidations>
  <pageMargins left="0.7" right="0.7" top="0.75" bottom="0.75" header="0.3" footer="0.3"/>
</worksheet>
</file>

<file path=xl/worksheets/sheet92.xml><?xml version="1.0" encoding="utf-8"?>
<worksheet xmlns="http://schemas.openxmlformats.org/spreadsheetml/2006/main" xmlns:r="http://schemas.openxmlformats.org/officeDocument/2006/relationships">
  <sheetPr>
    <tabColor rgb="FFC84100"/>
  </sheetPr>
  <dimension ref="A1:E30"/>
  <sheetViews>
    <sheetView showGridLines="0" zoomScale="80" zoomScaleNormal="80" workbookViewId="0"/>
  </sheetViews>
  <sheetFormatPr defaultRowHeight="14.5"/>
  <cols>
    <col min="1" max="1" width="2.6" style="4" customWidth="1"/>
    <col min="2" max="2" width="6" style="4" customWidth="1"/>
    <col min="3" max="3" width="22" style="4" customWidth="1"/>
    <col min="4" max="4" width="70" style="4" customWidth="1"/>
    <col min="5" max="5" width="70" style="4" customWidth="1"/>
  </cols>
  <sheetData>
    <row r="1">
      <c r="B1" s="147" t="str">
        <f>const_Company_Name &amp; " Corporate Carbon Footprint Calculation"</f>
        <v>[Ihr Unternehmen] Corporate Carbon Footprint Calculation</v>
      </c>
    </row>
    <row r="2">
      <c r="B2" s="147" t="str">
        <f>"01/01/" &amp; const_Reporting_Year &amp; " - 31/12/" &amp; const_Reporting_Year</f>
        <v>01/01/2025 - 31/12/2025</v>
      </c>
    </row>
    <row r="4">
      <c r="B4" s="7" t="inlineStr">
        <is>
          <t xml:space="preserve">Change Log v0.34 (28.10.2026) - Workshop-/FGC-Version</t>
        </is>
      </c>
      <c r="C4" s="7"/>
      <c r="D4" s="7"/>
      <c r="E4" s="7"/>
    </row>
    <row r="6" ht="30" customHeight="1">
      <c r="B6" s="19" t="inlineStr">
        <is>
          <t xml:space="preserve">Nr.</t>
        </is>
      </c>
      <c r="C6" s="20" t="inlineStr">
        <is>
          <t xml:space="preserve">Bereich</t>
        </is>
      </c>
      <c r="D6" s="20" t="inlineStr">
        <is>
          <t xml:space="preserve">Änderung</t>
        </is>
      </c>
      <c r="E6" s="21" t="inlineStr">
        <is>
          <t xml:space="preserve">Grund</t>
        </is>
      </c>
    </row>
    <row r="7" ht="34" customHeight="1">
      <c r="B7" s="14">
        <v>1</v>
      </c>
      <c r="C7" s="9" t="inlineStr">
        <is>
          <t xml:space="preserve">Ergebnisse</t>
        </is>
      </c>
      <c r="D7" s="208" t="inlineStr">
        <is>
          <t xml:space="preserve">Dashboard rechnet per Formel statt über Pivot-Tabellen; Diagramme greifen auf die neuen Bereiche zu.</t>
        </is>
      </c>
      <c r="E7" s="208" t="inlineStr">
        <is>
          <t xml:space="preserve">Pivot war nicht aktualisiert (Abweichung zur Results Summary) und zählte die Zeile "Total Emissions" in der Gas-Auswertung doppelt.</t>
        </is>
      </c>
    </row>
    <row r="8" ht="34" customHeight="1">
      <c r="B8" s="14">
        <v>2</v>
      </c>
      <c r="C8" s="9" t="inlineStr">
        <is>
          <t xml:space="preserve">Ergebnisse</t>
        </is>
      </c>
      <c r="D8" s="208" t="inlineStr">
        <is>
          <t xml:space="preserve">Results Summary neu gegliedert: 1.03, 3.11, 3.12, Gesamtsumme market-based und Memo-Zeile 2.01 market-based.</t>
        </is>
      </c>
      <c r="E8" s="208" t="inlineStr">
        <is>
          <t xml:space="preserve">Erweiterungen dieser Version.</t>
        </is>
      </c>
    </row>
    <row r="9" ht="34" customHeight="1">
      <c r="B9" s="14">
        <v>3</v>
      </c>
      <c r="C9" s="9" t="inlineStr">
        <is>
          <t xml:space="preserve">Ergebnisse</t>
        </is>
      </c>
      <c r="D9" s="208" t="inlineStr">
        <is>
          <t xml:space="preserve">Fugitive Emissions: Spalten CO2/N2O verwiesen auf Textspalten (Emission Factor Source, Cooling Liquid) - auf 0 gesetzt, Wert unter "Unspecified".</t>
        </is>
      </c>
      <c r="E9" s="208" t="inlineStr">
        <is>
          <t xml:space="preserve">Formelfehler.</t>
        </is>
      </c>
    </row>
    <row r="10" ht="34" customHeight="1">
      <c r="B10" s="14">
        <v>4</v>
      </c>
      <c r="C10" s="9" t="inlineStr">
        <is>
          <t xml:space="preserve">Scope 1</t>
        </is>
      </c>
      <c r="D10" s="208" t="inlineStr">
        <is>
          <t xml:space="preserve">Neuer Abschnitt 1.03 Prozessemissionen (Eingabe in t CO2e).</t>
        </is>
      </c>
      <c r="E10" s="208" t="inlineStr">
        <is>
          <t xml:space="preserve">Prozessemissionen (z. B. Zement, Kalk, Keramik, Glas) waren nicht abbildbar.</t>
        </is>
      </c>
    </row>
    <row r="11" ht="34" customHeight="1">
      <c r="B11" s="14">
        <v>5</v>
      </c>
      <c r="C11" s="9" t="inlineStr">
        <is>
          <t xml:space="preserve">Scope 1</t>
        </is>
      </c>
      <c r="D11" s="208" t="inlineStr">
        <is>
          <t xml:space="preserve">Brennstoff "Kerosene" durch "Diesel" ersetzt (auch für Heizöl EL nutzbar).</t>
        </is>
      </c>
      <c r="E11" s="208" t="inlineStr">
        <is>
          <t xml:space="preserve">Kerosene war auf DEFRA "Aviation Spirit" (Flugbenzin) gemappt; Heizöl fehlte. Diesel (DEFRA) liegt nahe am UBA-Faktor für Heizöl EL.</t>
        </is>
      </c>
    </row>
    <row r="12" ht="34" customHeight="1">
      <c r="B12" s="14">
        <v>6</v>
      </c>
      <c r="C12" s="9" t="inlineStr">
        <is>
          <t xml:space="preserve">Scope 1/2</t>
        </is>
      </c>
      <c r="D12" s="208" t="inlineStr">
        <is>
          <t xml:space="preserve">Spalten "Source / Assumption" neben allen Eingabetabellen.</t>
        </is>
      </c>
      <c r="E12" s="208" t="inlineStr">
        <is>
          <t xml:space="preserve">Nachvollziehbarkeit je Position (Workshop: Doku-Best-Practice).</t>
        </is>
      </c>
    </row>
    <row r="13" ht="34" customHeight="1">
      <c r="B13" s="14">
        <v>7</v>
      </c>
      <c r="C13" s="9" t="inlineStr">
        <is>
          <t xml:space="preserve">Scope 2</t>
        </is>
      </c>
      <c r="D13" s="208" t="inlineStr">
        <is>
          <t xml:space="preserve">Market-based: Herkunftsnachweise ja/nein und optional lieferantenspezifischer Faktor; Fallback Netzmix.</t>
        </is>
      </c>
      <c r="E13" s="208" t="inlineStr">
        <is>
          <t xml:space="preserve">GHG Protocol verlangt Dual Reporting; bisher nur location-based.</t>
        </is>
      </c>
    </row>
    <row r="14" ht="34" customHeight="1">
      <c r="B14" s="14">
        <v>8</v>
      </c>
      <c r="C14" s="9" t="inlineStr">
        <is>
          <t xml:space="preserve">Scope 3</t>
        </is>
      </c>
      <c r="D14" s="208" t="inlineStr">
        <is>
          <t xml:space="preserve">Neues Blatt "Scope 3.11 &amp; 3.12" (vereinfachte Downstream-Berechnung, optional eigenes Ergebnis).</t>
        </is>
      </c>
      <c r="E14" s="208" t="inlineStr">
        <is>
          <t xml:space="preserve">Erweiterung Downstream gemäß Workshop-Abstimmung.</t>
        </is>
      </c>
    </row>
    <row r="15" ht="34" customHeight="1">
      <c r="B15" s="14">
        <v>9</v>
      </c>
      <c r="C15" s="9" t="inlineStr">
        <is>
          <t xml:space="preserve">Scope 3</t>
        </is>
      </c>
      <c r="D15" s="208" t="inlineStr">
        <is>
          <t xml:space="preserve">Neues Blatt "Scope 3 Screening" mit Ampel, Ergebnislogik und CDP-Sektorabgleich (Technical Note v3.0).</t>
        </is>
      </c>
      <c r="E15" s="208" t="inlineStr">
        <is>
          <t xml:space="preserve">Übung 2 im Workshop; Wesentlichkeitsdokumentation.</t>
        </is>
      </c>
    </row>
    <row r="16" ht="34" customHeight="1">
      <c r="B16" s="14">
        <v>10</v>
      </c>
      <c r="C16" s="9" t="inlineStr">
        <is>
          <t xml:space="preserve">Scope 3</t>
        </is>
      </c>
      <c r="D16" s="208" t="inlineStr">
        <is>
          <t xml:space="preserve">Neues Blatt "Scope 3 Other (external)" für 3.09, 3.10, 3.13-3.15: Eingabe extern berechneter Gesamtwerte in t CO2e mit Methode, Quelle und Doku-Check; fließt in Results Summary und Dashboard.</t>
        </is>
      </c>
      <c r="E16" s="208" t="inlineStr">
        <is>
          <t xml:space="preserve">Alle 15 Kategorien abbildbar, ohne Scheingenauigkeit im Tool (v0.33, Feedback K. Möller).</t>
        </is>
      </c>
    </row>
    <row r="17" ht="34" customHeight="1">
      <c r="B17" s="14">
        <v>11</v>
      </c>
      <c r="C17" s="9" t="inlineStr">
        <is>
          <t xml:space="preserve">Upload-Pfad</t>
        </is>
      </c>
      <c r="D17" s="208" t="inlineStr">
        <is>
          <t xml:space="preserve">Blätter "Upload Sheet", "Upload Sheet (EF)", "Results Summary Upload" und Trenner entfernt. Das Tool rechnet vollständig ohne sie.</t>
        </is>
      </c>
      <c r="E17" s="208" t="inlineStr">
        <is>
          <t xml:space="preserve">Export-Route für eine externe Plattform (Lenovo/ClimateChoice-Linie); für die FGC-Version nicht benötigt, unvollständig (ohne 1.03, 3.09-3.15, market-based) und mit Altbestand "Kerosene" (v0.34).</t>
        </is>
      </c>
    </row>
    <row r="18" ht="34" customHeight="1">
      <c r="B18" s="14">
        <v>12</v>
      </c>
      <c r="C18" s="9" t="inlineStr">
        <is>
          <t xml:space="preserve">Ergebnisse</t>
        </is>
      </c>
      <c r="D18" s="208" t="inlineStr">
        <is>
          <t xml:space="preserve">Dashboard "Consumption by Unit" rechnet direkt aus den Eingabetabellen; 3.03-Zeilen entfernt, Erdgas in m3 jetzt erfasst.</t>
        </is>
      </c>
      <c r="E18" s="208" t="inlineStr">
        <is>
          <t xml:space="preserve">Bisher aus dem Upload Sheet gespeist; 3.03 zählte dieselben Verbräuche doppelt in der Gesamtsumme, Gas in "cubic meters" fehlte in der Spalte m3 (v0.34).</t>
        </is>
      </c>
    </row>
    <row r="19" ht="34" customHeight="1">
      <c r="B19" s="14">
        <v>13</v>
      </c>
      <c r="C19" s="9" t="inlineStr">
        <is>
          <t xml:space="preserve">Texte</t>
        </is>
      </c>
      <c r="D19" s="208" t="inlineStr">
        <is>
          <t xml:space="preserve">Tippfehler korrigiert (Emissinos, Methand, Usage, Einheit Kältemittel kg, Überschrift Water, Petrol-Bezeichnung).</t>
        </is>
      </c>
      <c r="E19" s="208" t="inlineStr">
        <is>
          <t xml:space="preserve">Qualität.</t>
        </is>
      </c>
    </row>
    <row r="20" ht="34" customHeight="1">
      <c r="B20" s="14">
        <v>14</v>
      </c>
      <c r="C20" s="9" t="inlineStr">
        <is>
          <t xml:space="preserve">Datei</t>
        </is>
      </c>
      <c r="D20" s="208" t="inlineStr">
        <is>
          <t xml:space="preserve">SharePoint-Pfad mit Kundenbezug aus den Metadaten entfernt, Pivot-Caches und Papierkorb-Reste gelöscht.</t>
        </is>
      </c>
      <c r="E20" s="208" t="inlineStr">
        <is>
          <t xml:space="preserve">Weitergabe an Dritte.</t>
        </is>
      </c>
    </row>
    <row r="21" ht="34" customHeight="1">
      <c r="B21" s="14">
        <v>15</v>
      </c>
      <c r="C21" s="9" t="inlineStr">
        <is>
          <t xml:space="preserve">Beispieldaten</t>
        </is>
      </c>
      <c r="D21" s="208" t="inlineStr">
        <is>
          <t xml:space="preserve">Testdaten der Vorgängerversion entfernt; Workshop-Datei mit fiktivem Beispiel "Filstal Präzisionstechnik GmbH".</t>
        </is>
      </c>
      <c r="E21" s="208" t="inlineStr">
        <is>
          <t xml:space="preserve">Workshop IHK Göppingen.</t>
        </is>
      </c>
    </row>
    <row r="23">
      <c r="B23" s="7" t="inlineStr">
        <is>
          <t xml:space="preserve">Bekannte Grenzen / offen</t>
        </is>
      </c>
      <c r="C23" s="7"/>
      <c r="D23" s="7"/>
      <c r="E23" s="7"/>
    </row>
    <row r="24" ht="30" customHeight="1">
      <c r="B24" s="14" t="inlineStr">
        <is>
          <t xml:space="preserve">-</t>
        </is>
      </c>
      <c r="C24" s="208" t="inlineStr">
        <is>
          <t xml:space="preserve">Upload-Pfad für externe Plattformen ist in dieser Version nicht enthalten - bei Bedarf aus der Lenovo-Linie übernehmen und gegen das Importformat der Plattform aufbauen.</t>
        </is>
      </c>
      <c r="D24" s="208"/>
      <c r="E24" s="208"/>
    </row>
    <row r="25" ht="30" customHeight="1">
      <c r="B25" s="14" t="inlineStr">
        <is>
          <t xml:space="preserve">-</t>
        </is>
      </c>
      <c r="C25" s="208" t="inlineStr">
        <is>
          <t xml:space="preserve">IEA-Stromfaktoren unterliegen der IEA-Lizenz: Weitergabe der Datei an Dritte vorab prüfen bzw. für externe Versionen durch UBA-Faktoren ersetzen.</t>
        </is>
      </c>
      <c r="D25" s="208"/>
      <c r="E25" s="208"/>
    </row>
    <row r="26" ht="30" customHeight="1">
      <c r="B26" s="14" t="inlineStr">
        <is>
          <t xml:space="preserve">-</t>
        </is>
      </c>
      <c r="C26" s="208" t="inlineStr">
        <is>
          <t xml:space="preserve">Abfallfaktoren (tbl_Waste_EF) gegen DEFRA 2025 prüfen: 4,69 kg CO2e/t ist für Recycling, Verbrennung und Bauabfälle identisch hinterlegt.</t>
        </is>
      </c>
      <c r="D26" s="208"/>
      <c r="E26" s="208"/>
    </row>
    <row r="27" ht="30" customHeight="1">
      <c r="B27" s="14" t="inlineStr">
        <is>
          <t xml:space="preserve">-</t>
        </is>
      </c>
      <c r="C27" s="208" t="inlineStr">
        <is>
          <t xml:space="preserve">GWP-Werte gemischt: Kältemittel/Gase mit AR5 (CH4 = 28), Stromfaktoren mit AR6 - für die Bilanz vereinheitlichen.</t>
        </is>
      </c>
      <c r="D27" s="208"/>
      <c r="E27" s="208"/>
    </row>
    <row r="28" ht="30" customHeight="1">
      <c r="B28" s="14" t="inlineStr">
        <is>
          <t xml:space="preserve">-</t>
        </is>
      </c>
      <c r="C28" s="208" t="inlineStr">
        <is>
          <t xml:space="preserve">Market-based-Fallback ist der Netzmix (location-based); empfohlen ist ein Residualmix (z. B. AIB) - Faktor ergänzen, sobald verfügbar.</t>
        </is>
      </c>
      <c r="D28" s="208"/>
      <c r="E28" s="208"/>
    </row>
    <row r="29" ht="30" customHeight="1">
      <c r="B29" s="14" t="inlineStr">
        <is>
          <t xml:space="preserve">-</t>
        </is>
      </c>
      <c r="C29" s="208" t="inlineStr">
        <is>
          <t xml:space="preserve">Spend-basierte Kategorien (3.01, 3.02, 3.04, 3.08, 3.06 spend) rechnen nur in Excel, nicht in LibreOffice/Google Sheets.</t>
        </is>
      </c>
      <c r="D29" s="208"/>
      <c r="E29" s="208"/>
    </row>
    <row r="30" ht="30" customHeight="1">
      <c r="B30" s="14" t="inlineStr">
        <is>
          <t xml:space="preserve">-</t>
        </is>
      </c>
      <c r="C30" s="208" t="inlineStr">
        <is>
          <t xml:space="preserve">3.09, 3.10, 3.13-3.15: Das Tool übernimmt nur extern berechnete Werte und prüft lediglich, ob Methode und Quelle dokumentiert sind - nicht die Plausibilität.</t>
        </is>
      </c>
      <c r="D30" s="208"/>
      <c r="E30" s="208"/>
    </row>
  </sheetData>
  <mergeCells count="7">
    <mergeCell ref="C24:E24"/>
    <mergeCell ref="C25:E25"/>
    <mergeCell ref="C26:E26"/>
    <mergeCell ref="C27:E27"/>
    <mergeCell ref="C28:E28"/>
    <mergeCell ref="C29:E29"/>
    <mergeCell ref="C30:E30"/>
  </mergeCells>
  <pageMargins left="0.7" right="0.7" top="0.75" bottom="0.75" header="0.3" footer="0.3"/>
</worksheet>
</file>

<file path=xl/worksheets/sheet93.xml><?xml version="1.0" encoding="utf-8"?>
<worksheet xmlns="http://schemas.openxmlformats.org/spreadsheetml/2006/main" xmlns:r="http://schemas.openxmlformats.org/officeDocument/2006/relationships">
  <sheetPr>
    <tabColor rgb="FFE7EEEE"/>
  </sheetPr>
  <dimension ref="A1:I17"/>
  <sheetViews>
    <sheetView showGridLines="0" zoomScale="80" zoomScaleNormal="80" workbookViewId="0"/>
  </sheetViews>
  <sheetFormatPr defaultRowHeight="14.5"/>
  <cols>
    <col min="1" max="1" width="2.6" style="4" customWidth="1"/>
    <col min="2" max="2" width="8" style="4" customWidth="1"/>
    <col min="3" max="3" width="40" style="4" customWidth="1"/>
    <col min="4" max="4" width="18" style="4" customWidth="1"/>
    <col min="5" max="5" width="26" style="4" customWidth="1"/>
    <col min="6" max="6" width="56" style="4" customWidth="1"/>
    <col min="7" max="7" width="24" style="4" customWidth="1"/>
    <col min="8" max="8" width="20" style="4" customWidth="1"/>
    <col min="9" max="9" width="24" style="4" customWidth="1"/>
  </cols>
  <sheetData>
    <row r="1">
      <c r="B1" s="147" t="str">
        <f>const_Company_Name &amp; " Corporate Carbon Footprint Calculation"</f>
        <v>[Ihr Unternehmen] Corporate Carbon Footprint Calculation</v>
      </c>
    </row>
    <row r="2">
      <c r="B2" s="147" t="str">
        <f>"01/01/" &amp; const_Reporting_Year &amp; " - 31/12/" &amp; const_Reporting_Year</f>
        <v>01/01/2025 - 31/12/2025</v>
      </c>
    </row>
    <row r="4">
      <c r="B4" s="7" t="s">
        <v>2794</v>
      </c>
      <c r="C4" s="7"/>
      <c r="D4" s="7"/>
      <c r="E4" s="7"/>
      <c r="F4" s="7"/>
      <c r="G4" s="7"/>
      <c r="H4" s="7"/>
      <c r="I4" s="7"/>
    </row>
    <row r="6" ht="85" customHeight="1">
      <c r="B6" s="179" t="s">
        <v>2795</v>
      </c>
      <c r="C6" s="180"/>
      <c r="D6" s="180"/>
      <c r="E6" s="180"/>
      <c r="F6" s="180"/>
      <c r="G6" s="180"/>
      <c r="H6" s="180"/>
      <c r="I6" s="181"/>
    </row>
    <row r="8">
      <c r="C8" s="11" t="s">
        <v>2796</v>
      </c>
      <c r="D8" s="45">
        <f>SUM(H13:H17)</f>
        <v>0</v>
      </c>
    </row>
    <row r="10" ht="55" customHeight="1">
      <c r="B10" s="148" t="s">
        <v>2797</v>
      </c>
      <c r="C10" s="148" t="s">
        <v>2798</v>
      </c>
      <c r="D10" s="148" t="s">
        <v>2799</v>
      </c>
      <c r="E10" s="148" t="s">
        <v>2800</v>
      </c>
      <c r="F10" s="148" t="s">
        <v>2801</v>
      </c>
      <c r="G10" s="148" t="s">
        <v>2802</v>
      </c>
      <c r="H10" s="148" t="s">
        <v>2803</v>
      </c>
      <c r="I10" s="148" t="s">
        <v>2804</v>
      </c>
    </row>
    <row r="12" ht="30" customHeight="1">
      <c r="B12" s="19" t="inlineStr">
        <is>
          <t xml:space="preserve">#</t>
        </is>
      </c>
      <c r="C12" s="20" t="s">
        <v>2645</v>
      </c>
      <c r="D12" s="20" t="s">
        <v>2646</v>
      </c>
      <c r="E12" s="20" t="s">
        <v>2805</v>
      </c>
      <c r="F12" s="20" t="s">
        <v>2806</v>
      </c>
      <c r="G12" s="20" t="s">
        <v>2807</v>
      </c>
      <c r="H12" s="20" t="s">
        <v>2608</v>
      </c>
      <c r="I12" s="21" t="s">
        <v>2808</v>
      </c>
    </row>
    <row r="13" ht="34" customHeight="1">
      <c r="B13" s="14" t="inlineStr">
        <is>
          <t xml:space="preserve">3.09</t>
        </is>
      </c>
      <c r="C13" s="9" t="s">
        <v>2809</v>
      </c>
      <c r="D13" s="216"/>
      <c r="E13" s="219"/>
      <c r="F13" s="218"/>
      <c r="G13" s="218"/>
      <c r="H13" s="45">
        <f>N($D13)*1000</f>
        <v>0</v>
      </c>
      <c r="I13" s="14">
        <f>IF(N($D13)=0,"",IF(OR($E13="",$F13=""),"Documentation missing","OK"))</f>
      </c>
    </row>
    <row r="14" ht="34" customHeight="1">
      <c r="B14" s="14" t="inlineStr">
        <is>
          <t xml:space="preserve">3.10</t>
        </is>
      </c>
      <c r="C14" s="9" t="s">
        <v>2810</v>
      </c>
      <c r="D14" s="216"/>
      <c r="E14" s="219"/>
      <c r="F14" s="218"/>
      <c r="G14" s="218"/>
      <c r="H14" s="45">
        <f>N($D14)*1000</f>
        <v>0</v>
      </c>
      <c r="I14" s="14">
        <f>IF(N($D14)=0,"",IF(OR($E14="",$F14=""),"Documentation missing","OK"))</f>
      </c>
    </row>
    <row r="15" ht="34" customHeight="1">
      <c r="B15" s="14" t="inlineStr">
        <is>
          <t xml:space="preserve">3.13</t>
        </is>
      </c>
      <c r="C15" s="9" t="s">
        <v>2811</v>
      </c>
      <c r="D15" s="216"/>
      <c r="E15" s="219"/>
      <c r="F15" s="218"/>
      <c r="G15" s="218"/>
      <c r="H15" s="45">
        <f>N($D15)*1000</f>
        <v>0</v>
      </c>
      <c r="I15" s="14">
        <f>IF(N($D15)=0,"",IF(OR($E15="",$F15=""),"Documentation missing","OK"))</f>
      </c>
    </row>
    <row r="16" ht="34" customHeight="1">
      <c r="B16" s="14" t="inlineStr">
        <is>
          <t xml:space="preserve">3.14</t>
        </is>
      </c>
      <c r="C16" s="9" t="inlineStr">
        <is>
          <t xml:space="preserve">Franchises</t>
        </is>
      </c>
      <c r="D16" s="216"/>
      <c r="E16" s="219"/>
      <c r="F16" s="218"/>
      <c r="G16" s="218"/>
      <c r="H16" s="45">
        <f>N($D16)*1000</f>
        <v>0</v>
      </c>
      <c r="I16" s="14">
        <f>IF(N($D16)=0,"",IF(OR($E16="",$F16=""),"Documentation missing","OK"))</f>
      </c>
    </row>
    <row r="17" ht="34" customHeight="1">
      <c r="B17" s="14" t="inlineStr">
        <is>
          <t xml:space="preserve">3.15</t>
        </is>
      </c>
      <c r="C17" s="9" t="s">
        <v>2812</v>
      </c>
      <c r="D17" s="216"/>
      <c r="E17" s="219"/>
      <c r="F17" s="218"/>
      <c r="G17" s="218"/>
      <c r="H17" s="45">
        <f>N($D17)*1000</f>
        <v>0</v>
      </c>
      <c r="I17" s="14">
        <f>IF(N($D17)=0,"",IF(OR($E17="",$F17=""),"Documentation missing","OK"))</f>
      </c>
    </row>
  </sheetData>
  <sheetProtection algorithmName="SHA-512" hashValue="FQTeqrkFKLSmgFHZqfnmsgir+PAjRyyFXn1w3rbgTkqau0CJ1bsvVoGb0OUyfzwh1VCqZCeWHDnayr6yh9LN+Q==" saltValue="3OUvOiGEVX3Wle6a4eLyNQ==" spinCount="100000" sheet="1" objects="1" scenarios="1" formatColumns="0" formatRows="0"/>
  <mergeCells count="1">
    <mergeCell ref="B6:I6"/>
  </mergeCells>
  <conditionalFormatting sqref="I13:I17">
    <cfRule type="cellIs" dxfId="1344" priority="1" operator="equal">
      <formula>"Documentation missing"</formula>
    </cfRule>
    <cfRule type="cellIs" dxfId="1341" priority="2" operator="equal">
      <formula>"OK"</formula>
    </cfRule>
  </conditionalFormatting>
  <dataValidations count="2">
    <dataValidation type="decimal" operator="greaterThanOrEqual" allowBlank="1" showErrorMessage="1" errorTitle="Invalid value" error="Please enter a number &gt;= 0." sqref="D13:D17">
      <formula1>0</formula1>
    </dataValidation>
    <dataValidation type="list" allowBlank="1" showInputMessage="1" showErrorMessage="1" sqref="E13:E17">
      <formula1>"Supplier-specific,Hybrid,Average-data,Spend-based,Other (see source)"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58014977005D5409482DCB3C88B29F9" ma:contentTypeVersion="3" ma:contentTypeDescription="Create a new document." ma:contentTypeScope="" ma:versionID="47d713568a8628317cdc2a4a3d2d45ef">
  <xsd:schema xmlns:xsd="http://www.w3.org/2001/XMLSchema" xmlns:xs="http://www.w3.org/2001/XMLSchema" xmlns:p="http://schemas.microsoft.com/office/2006/metadata/properties" xmlns:ns2="b6481e59-356f-4759-8e6e-d70f3109d9c0" targetNamespace="http://schemas.microsoft.com/office/2006/metadata/properties" ma:root="true" ma:fieldsID="f41e4efadec65afd3f064d833c1f0ac7" ns2:_="">
    <xsd:import namespace="b6481e59-356f-4759-8e6e-d70f3109d9c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481e59-356f-4759-8e6e-d70f3109d9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FDBE66-C849-4351-9FBD-A72D5171B61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A20AF3F-48F2-42B1-BFC8-970D2632161F}"/>
</file>

<file path=customXml/itemProps3.xml><?xml version="1.0" encoding="utf-8"?>
<ds:datastoreItem xmlns:ds="http://schemas.openxmlformats.org/officeDocument/2006/customXml" ds:itemID="{441FD986-462B-4690-8DC6-62E1B8C561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ModifiedBy>Five Glaciers Consulting</cp:lastModifiedBy>
  <cp:revision/>
  <dcterms:created xsi:type="dcterms:W3CDTF">2026-02-05T15:29:54Z</dcterms:created>
  <dcterms:modified xsi:type="dcterms:W3CDTF">2026-08-25T13:15:15Z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0x010100358014977005D5409482DCB3C88B29F9</vt:lpwstr>
  </property>
</Properties>
</file>