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 demploi" sheetId="1" r:id="rId5"/>
    <sheet state="visible" name="Hypothèses" sheetId="2" r:id="rId6"/>
    <sheet state="visible" name="Temps" sheetId="3" r:id="rId7"/>
    <sheet state="visible" name="Coûts directs" sheetId="4" r:id="rId8"/>
    <sheet state="visible" name="Conformité" sheetId="5" r:id="rId9"/>
    <sheet state="visible" name="Synthèse" sheetId="6" r:id="rId10"/>
    <sheet state="visible" name="Sources" sheetId="7" r:id="rId11"/>
  </sheets>
  <definedNames/>
  <calcPr/>
</workbook>
</file>

<file path=xl/sharedStrings.xml><?xml version="1.0" encoding="utf-8"?>
<sst xmlns="http://schemas.openxmlformats.org/spreadsheetml/2006/main" count="314" uniqueCount="260">
  <si>
    <t>Ce que coûte piloter ses challenges commerciaux en interne</t>
  </si>
  <si>
    <t>Le temps passé</t>
  </si>
  <si>
    <t>Hypothèses de calcul</t>
  </si>
  <si>
    <t>Grille de calcul du coût complet. Version 1.0, 15 septembre 2026.</t>
  </si>
  <si>
    <t>Les valeurs en bleu sur fond jaune sont modifiables. Chacune porte sa source.</t>
  </si>
  <si>
    <t>Une ligne par tâche réelle. Si une tâche n'existe pas chez vous, laissez zéro.</t>
  </si>
  <si>
    <t>Les coûts directs</t>
  </si>
  <si>
    <t>À quoi sert ce fichier</t>
  </si>
  <si>
    <t>Règle unique : chaque heure n'est comptée qu'une fois. Si deux lignes décrivent la même chose chez vous, mettez zéro sur l'une des deux.</t>
  </si>
  <si>
    <t>À chiffrer ce que vous coûte, chaque année, le pilotage interne de vos challenges, primes et</t>
  </si>
  <si>
    <t>Ce qui se paie sans passer par des heures.</t>
  </si>
  <si>
    <t>Paramètre</t>
  </si>
  <si>
    <t>Valeurs par défaut : trente commerciaux, quatre challenges par an, cinq intervenants (un chef des ventes, un contrôleur de gestion, trois managers régionaux).</t>
  </si>
  <si>
    <t>dotations commerciales. Le coût n'apparaît sur aucune facture : il est réparti entre du temps</t>
  </si>
  <si>
    <t>Le risque d'erreur sur le fichier de calcul</t>
  </si>
  <si>
    <t>manager, des corrections, des achats et des cotisations.</t>
  </si>
  <si>
    <t>Comment l'utiliser</t>
  </si>
  <si>
    <t>Tâche</t>
  </si>
  <si>
    <t>Vous ne remplissez que les cellules sur fond jaune, écrites en bleu. Tout le reste se calcule.</t>
  </si>
  <si>
    <t>Les valeurs par défaut sont des hypothèses, pas des vérités. Remplacez-les par les vôtres dès</t>
  </si>
  <si>
    <t>Élément</t>
  </si>
  <si>
    <t>que vous les connaissez : le fichier ne vaut que par la qualité de ce que vous y mettez.</t>
  </si>
  <si>
    <t>Valeur</t>
  </si>
  <si>
    <t>Personnes concernées</t>
  </si>
  <si>
    <t>Unité</t>
  </si>
  <si>
    <t>Heures par occurrence</t>
  </si>
  <si>
    <t>Source et champ</t>
  </si>
  <si>
    <t>Les quatre feuilles</t>
  </si>
  <si>
    <t>Occurrences par an</t>
  </si>
  <si>
    <t>Résultat</t>
  </si>
  <si>
    <t>Commentaire</t>
  </si>
  <si>
    <t>Heures par an</t>
  </si>
  <si>
    <t>Hypothèses — les valeurs de référence, sourcées, que tous les calculs utilisent.</t>
  </si>
  <si>
    <t>Salaire brut mensuel moyen d'un cadre</t>
  </si>
  <si>
    <t>Coût annuel</t>
  </si>
  <si>
    <t>Temps — la seule feuille où se compte du temps. Une ligne par tâche, jamais deux fois la même.</t>
  </si>
  <si>
    <t>Coûts directs — erreurs, dotations, outillage. Ce qui se paie sans passer par des heures.</t>
  </si>
  <si>
    <t>Nombre de cellules de formule dans votre fichier</t>
  </si>
  <si>
    <t>Conformité — cotisations et contributions sur les récompenses. Trois régimes, trois calculs.</t>
  </si>
  <si>
    <t>Conception et paramétrage d'un challenge</t>
  </si>
  <si>
    <t>Un mot sur ce que ce calcul ne dit pas</t>
  </si>
  <si>
    <t>Il ne mesure pas ce que le dispositif rapporte. Un coût de pilotage élevé sur un challenge qui</t>
  </si>
  <si>
    <t>performe n'est pas un problème. Il ne mesure pas non plus le coût d'opportunité : ce que vos</t>
  </si>
  <si>
    <t>managers feraient de ces heures s'ils ne les passaient pas là.</t>
  </si>
  <si>
    <t>€ / mois</t>
  </si>
  <si>
    <t>Et il ne conclut pas à votre place. Rester en interne reste le bon choix dans plusieurs cas :</t>
  </si>
  <si>
    <t>Insee Première n° 2079, Les salaires dans le secteur privé en 2024, publié le 23/10/2025. EQTP, cadres, secteur privé.</t>
  </si>
  <si>
    <t>petite force de vente, dispositif simple et stable, ou équipe qui maîtrise déjà l'outillage.</t>
  </si>
  <si>
    <t>Code couleur</t>
  </si>
  <si>
    <t>Fond jaune, texte bleu : à vous de remplir.   Texte noir : calcul.   Texte vert : valeur reprise d'une autre feuille.</t>
  </si>
  <si>
    <t>cellules</t>
  </si>
  <si>
    <t>Maslo — maslo.app</t>
  </si>
  <si>
    <t>Part des coûts non salariaux, France</t>
  </si>
  <si>
    <t>Grille issue de l'article « Combien coûte vraiment le pilotage en interne d'un challenge commercial ? »</t>
  </si>
  <si>
    <t>https://www.maslo.app/blog/cout-pilotage-interne-challenge-commercial</t>
  </si>
  <si>
    <t>Produit par Intelligence Éditoriale pour Maslo. Sources détaillées en dernière feuille.</t>
  </si>
  <si>
    <t>%</t>
  </si>
  <si>
    <t>Eurostat, données 2025, publié le 31/03/2026. Ensemble de l'économie, entreprises de 10 salariés et plus. Part la plus élevée de l'UE.</t>
  </si>
  <si>
    <t>Jours travaillés par an (forfait jours)</t>
  </si>
  <si>
    <t>Comptez-les, ne les estimez pas. Un challenge sur 30 vendeurs avec 6 indicateurs et 3 paliers dépasse 200 sans effort.</t>
  </si>
  <si>
    <t>jours</t>
  </si>
  <si>
    <t>Convention de forfait annuel en jours, cas général. À remplacer par votre propre base.</t>
  </si>
  <si>
    <t>Heures travaillées par jour</t>
  </si>
  <si>
    <t>Probabilité qu'il contienne au moins une erreur</t>
  </si>
  <si>
    <t>heures</t>
  </si>
  <si>
    <t>Hypothèse de travail. À ajuster.</t>
  </si>
  <si>
    <t>Plafond mensuel de la Sécurité sociale 2026</t>
  </si>
  <si>
    <t>€</t>
  </si>
  <si>
    <t>urssaf.fr, plafond annuel de la Sécurité sociale, publié le 20/10/2025, applicable au 01/01/2026.</t>
  </si>
  <si>
    <t>SMIC mensuel brut au 01/06/2026</t>
  </si>
  <si>
    <t>urssaf.fr, le Smic et le minimum garanti augmentent au 1er juin 2026. Base 35 heures.</t>
  </si>
  <si>
    <t>Taux d'erreur par cellule de formule</t>
  </si>
  <si>
    <t>Panko, Spreadsheet Errors: What We Know, 2008. Fourchette observée de 0,4 % (Butler 2000, cellules de formule seules) à 2,5 % (Lukasik 1998). Valeur retenue : Hicks 1995.</t>
  </si>
  <si>
    <t>Valeurs dérivées</t>
  </si>
  <si>
    <t>Valeur calculée</t>
  </si>
  <si>
    <t>Formule</t>
  </si>
  <si>
    <t>Multiplicateur du brut vers le coût employeur</t>
  </si>
  <si>
    <t>Règles, barème, périmètre, communication de lancement.</t>
  </si>
  <si>
    <t>Extraction et consolidation des données</t>
  </si>
  <si>
    <t>1 − (1 − taux par cellule) puissance nombre de cellules.</t>
  </si>
  <si>
    <t>Coût de correction d'une erreur détectée</t>
  </si>
  <si>
    <t>×</t>
  </si>
  <si>
    <t>1 / (1 − part des coûts non salariaux)</t>
  </si>
  <si>
    <t>Coût employeur mensuel d'un cadre</t>
  </si>
  <si>
    <t>Temps de retraitement, régularisation de paie, reprise de la communication. À ajuster.</t>
  </si>
  <si>
    <t>Sorties CRM, ERP, fichiers terrain, mise au même format.</t>
  </si>
  <si>
    <t>Espérance de coût annuel</t>
  </si>
  <si>
    <t>Fiabilisation et recoupement</t>
  </si>
  <si>
    <t>Doublons, écarts entre sources, lignes manquantes, arbitrages.</t>
  </si>
  <si>
    <t>Salaire brut × multiplicateur</t>
  </si>
  <si>
    <t>Calcul et vérification des primes</t>
  </si>
  <si>
    <t>Coût employeur annuel d'un cadre</t>
  </si>
  <si>
    <t>Probabilité multipliée par le coût. Ce n'est pas une facture, c'est une espérance.</t>
  </si>
  <si>
    <t>Frais annexes de pilotage</t>
  </si>
  <si>
    <t>Poste</t>
  </si>
  <si>
    <t>Montant annuel</t>
  </si>
  <si>
    <t>€ / an</t>
  </si>
  <si>
    <t>Application du barème, contrôle, validation hiérarchique.</t>
  </si>
  <si>
    <t>Coût mensuel × 12</t>
  </si>
  <si>
    <t>Frais de gestion des dotations</t>
  </si>
  <si>
    <t>Diffusion des résultats et animation</t>
  </si>
  <si>
    <t>Heures travaillées par an</t>
  </si>
  <si>
    <t>Commandes, livraison, remplacements, pertes, litiges.</t>
  </si>
  <si>
    <t>Abonnements et outils dédiés</t>
  </si>
  <si>
    <t>Tableur partagé, module CRM, application tierce déjà payée.</t>
  </si>
  <si>
    <t>Frais de communication du dispositif</t>
  </si>
  <si>
    <t>Classements, relances, points d'équipe consacrés au dispositif.</t>
  </si>
  <si>
    <t>Visuels, supports, impressions, animations de lancement.</t>
  </si>
  <si>
    <t>Réponses aux contestations</t>
  </si>
  <si>
    <t>Jours × heures par jour</t>
  </si>
  <si>
    <t>Total des coûts directs de pilotage</t>
  </si>
  <si>
    <t>Coût horaire chargé d'un cadre</t>
  </si>
  <si>
    <t>Un vendeur conteste son calcul, on reprend le dossier.</t>
  </si>
  <si>
    <t>Support aux utilisateurs</t>
  </si>
  <si>
    <t>€ / heure</t>
  </si>
  <si>
    <t>Coût annuel / heures annuelles</t>
  </si>
  <si>
    <t>Franchise annuelle, avantages versés par un tiers</t>
  </si>
  <si>
    <t>Questions sur les règles, l'accès, le décompte.</t>
  </si>
  <si>
    <t>Gestion des dotations</t>
  </si>
  <si>
    <t>Frais annexes, plus l'espérance de coût d'erreur.</t>
  </si>
  <si>
    <t>Pour mémoire, hors coût de pilotage</t>
  </si>
  <si>
    <t>La valeur des récompenses est le budget de l'opération, pas son coût de pilotage. Vous la paierez</t>
  </si>
  <si>
    <t>€ / an / salarié</t>
  </si>
  <si>
    <t>à l'identique avec ou sans plateforme. L'inclure dans le total gonflerait le chiffre et fausserait</t>
  </si>
  <si>
    <t>15 % du SMIC mensuel, art. L. 242-1-4 CSS</t>
  </si>
  <si>
    <t>toute comparaison avec un prix d'abonnement.</t>
  </si>
  <si>
    <t>Plafond de la contribution libératoire</t>
  </si>
  <si>
    <t>Commande, réception, distribution, litiges de livraison.</t>
  </si>
  <si>
    <t>Valeur des récompenses distribuées</t>
  </si>
  <si>
    <t>Clôture et archivage</t>
  </si>
  <si>
    <t>Cartes cadeaux, voyages, matériel, points convertibles.</t>
  </si>
  <si>
    <t>1,5 SMIC mensuel, art. L. 242-1-4 CSS</t>
  </si>
  <si>
    <t>Seuil annuel cadeaux et bons d'achat</t>
  </si>
  <si>
    <t>Bilan, conservation des pièces, justificatifs.</t>
  </si>
  <si>
    <t>Total du temps</t>
  </si>
  <si>
    <t>5 % du plafond mensuel de la Sécurité sociale</t>
  </si>
  <si>
    <t>Limites à connaître</t>
  </si>
  <si>
    <t>La part de 32,3 % est une moyenne d'économie. Au-dessus du plafond de la Sécurité sociale, la structure de</t>
  </si>
  <si>
    <t>cotisations d'un cadre n'est pas celle d'un salarié médian. L'ordre de grandeur tient, pas la troisième décimale.</t>
  </si>
  <si>
    <t>Les montants en euros de la franchise et du plafond L. 242-1-4 sont des calculs à partir du SMIC officiel.</t>
  </si>
  <si>
    <t>L'Urssaf ne publie pas de tableau annuel de ces valeurs.</t>
  </si>
  <si>
    <t>Le seuil de 200,25 € se déduit du plafond mensuel officiel. Il n'a pas été retrouvé tel quel sur une page Urssaf datée 2026.</t>
  </si>
  <si>
    <t>Pourquoi une liste de tâches plutôt qu'une liste de postes</t>
  </si>
  <si>
    <t>Les postes se chevauchent : le temps d'export, celui de fiabilisation et celui de calcul sont souvent</t>
  </si>
  <si>
    <t>les mêmes heures, vues sous trois angles. Une liste de tâches rend le double comptage visible.</t>
  </si>
  <si>
    <t>Si deux lignes vous semblent décrire la même chose dans votre organisation, mettez zéro sur l'une.</t>
  </si>
  <si>
    <t>Le coût social des récompenses</t>
  </si>
  <si>
    <t>Trois régimes distincts selon qui paie et sous quelle forme. Renseignez celui qui vous concerne.</t>
  </si>
  <si>
    <t>Cette feuille donne un ordre de grandeur. Elle ne remplace pas l'avis de votre expert-comptable.</t>
  </si>
  <si>
    <t>Cas A. Vous récompensez vos propres commerciaux, en argent</t>
  </si>
  <si>
    <t>Article L. 242-1 du code de la sécurité sociale. C'est du salaire : cotisations dès le premier euro,</t>
  </si>
  <si>
    <t>aucun seuil, aucune tolérance.</t>
  </si>
  <si>
    <t>Montant annuel des primes versées en argent</t>
  </si>
  <si>
    <t>Toutes primes de challenge confondues, tous bénéficiaires.</t>
  </si>
  <si>
    <t>Taux de charges patronales retenu</t>
  </si>
  <si>
    <t>À remplacer par votre taux réel, disponible sur votre journal de paie.</t>
  </si>
  <si>
    <t>Surcoût patronal</t>
  </si>
  <si>
    <t>Ce que les primes coûtent au-delà de leur montant facial.</t>
  </si>
  <si>
    <t>Cas B. Vous récompensez en cadeaux ou bons d'achat</t>
  </si>
  <si>
    <t>Tolérance administrative Urssaf. Sous le seuil annuel, exonération sans justification. Au-delà, l'exonération</t>
  </si>
  <si>
    <t>n'est possible que si le bon est rattaché à un événement de la liste Urssaf. Un challenge n'y figure pas.</t>
  </si>
  <si>
    <t>Nombre de bénéficiaires</t>
  </si>
  <si>
    <t>personnes</t>
  </si>
  <si>
    <t>Vendeurs recevant au moins un bon dans l'année.</t>
  </si>
  <si>
    <t>Montant moyen par bénéficiaire et par an</t>
  </si>
  <si>
    <t>Toutes cartes et bons cumulés sur l'année civile.</t>
  </si>
  <si>
    <t>Seuil annuel d'exonération 2026</t>
  </si>
  <si>
    <t>5 % du plafond mensuel de la Sécurité sociale.</t>
  </si>
  <si>
    <t>Montant réintégré dans l'assiette</t>
  </si>
  <si>
    <t>Attention : au-delà du seuil, le bon est réintégré POUR SON MONTANT GLOBAL, pas sur l'excédent.</t>
  </si>
  <si>
    <t>Taux de charges retenu</t>
  </si>
  <si>
    <t>Même taux que le cas A.</t>
  </si>
  <si>
    <t>Coût social des bons d'achat</t>
  </si>
  <si>
    <t>Montant réintégré multiplié par le taux.</t>
  </si>
  <si>
    <t>Cas C. Une marque récompense les vendeurs d'un distributeur</t>
  </si>
  <si>
    <t>Article L. 242-1-4 du code de la sécurité sociale. Franchise, puis contribution libératoire de 20 %,</t>
  </si>
  <si>
    <t>puis droit commun au-delà du plafond. La contribution est due par le tiers, pas par l'employeur.</t>
  </si>
  <si>
    <t>Nombre de vendeurs dotés</t>
  </si>
  <si>
    <t>Vendeurs du réseau, salariés d'une autre entreprise.</t>
  </si>
  <si>
    <t>Dotation annuelle par vendeur</t>
  </si>
  <si>
    <t>Sommes et avantages versés dans l'année.</t>
  </si>
  <si>
    <t>Franchise annuelle</t>
  </si>
  <si>
    <t>15 % du SMIC mensuel. En deçà, rien n'est dû.</t>
  </si>
  <si>
    <t>1,5 SMIC mensuel. Au-delà, droit commun.</t>
  </si>
  <si>
    <t>Assiette de la contribution, par vendeur</t>
  </si>
  <si>
    <t>Part comprise entre la franchise et le plafond.</t>
  </si>
  <si>
    <t>Contribution libératoire due, par vendeur</t>
  </si>
  <si>
    <t>20 %, taux fixé par la loi.</t>
  </si>
  <si>
    <t>Contribution libératoire totale</t>
  </si>
  <si>
    <t>Pour l'ensemble des vendeurs dotés.</t>
  </si>
  <si>
    <t>Part au-delà du plafond, par vendeur</t>
  </si>
  <si>
    <t>Soumise aux cotisations de droit commun.</t>
  </si>
  <si>
    <t>Coût de la part hors plafond</t>
  </si>
  <si>
    <t>Estimation à 42 %. Rupture de régime : à faire vérifier.</t>
  </si>
  <si>
    <t>Coût social total, cas C</t>
  </si>
  <si>
    <t>Total du coût de conformité</t>
  </si>
  <si>
    <t>Somme des trois cas. Laissez à zéro ceux qui ne vous concernent pas.</t>
  </si>
  <si>
    <t>Le levier que personne ne documente</t>
  </si>
  <si>
    <t>Lorsque le tiers ne verse que des avantages en nature ou exclusivement des titres-cadeaux, aucune cotisation</t>
  </si>
  <si>
    <t>ni contribution salariale n'est due. La nature de la dotation décide du coût social autant que son montant.</t>
  </si>
  <si>
    <t>C'est un arbitrage de conception de challenge, et il se chiffre.</t>
  </si>
  <si>
    <t>Votre coût complet annuel</t>
  </si>
  <si>
    <t>Tout se calcule à partir des feuilles précédentes. Rien à saisir ici, sauf l'effectif.</t>
  </si>
  <si>
    <t>1. Ce que coûte le pilotage</t>
  </si>
  <si>
    <t>Le chiffre qui se compare à un prix d'abonnement, parce qu'un outil peut l'absorber.</t>
  </si>
  <si>
    <t>Composante</t>
  </si>
  <si>
    <t>D'où vient le chiffre</t>
  </si>
  <si>
    <t>Temps passé</t>
  </si>
  <si>
    <t>Feuille Temps, tâches valorisées au coût horaire chargé.</t>
  </si>
  <si>
    <t>Coûts directs de pilotage</t>
  </si>
  <si>
    <t>Sources</t>
  </si>
  <si>
    <t>Toute valeur de référence de ce fichier porte sa source. Les valeurs de saisie viennent de vous.</t>
  </si>
  <si>
    <t>Donnée</t>
  </si>
  <si>
    <t>Source, date et champ</t>
  </si>
  <si>
    <t>Feuille Coûts directs, frais annexes et espérance de coût d'erreur.</t>
  </si>
  <si>
    <t>Salaire brut moyen des cadres</t>
  </si>
  <si>
    <t>COÛT DE PILOTAGE</t>
  </si>
  <si>
    <t>Insee Première n° 2079, Les salaires dans le secteur privé en 2024, publié le 23 octobre 2025. https://www.insee.fr/fr/statistiques/8657156</t>
  </si>
  <si>
    <t>Eurostat, EU hourly labour costs ranged from €12 to €57 in 2025, publié le 31 mars 2026. https://ec.europa.eu/eurostat/web/products-eurostat-news/w/ddn-20260331-2</t>
  </si>
  <si>
    <t>Coût horaire du travail par activité</t>
  </si>
  <si>
    <t>Insee, coût horaire du travail selon l'activité, extraction du 12 juin 2026. https://www.insee.fr/fr/statistiques/2381340</t>
  </si>
  <si>
    <t>Taux d'erreur des tableurs</t>
  </si>
  <si>
    <t>R. Panko, Spreadsheet Errors: What We Know. What We Think We Can Do, 2008. https://arxiv.org/pdf/0802.3457</t>
  </si>
  <si>
    <t>Plafond de la Sécurité sociale 2026</t>
  </si>
  <si>
    <t>urssaf.fr, plafond annuel de la Sécurité sociale, publié le 20 octobre 2025.</t>
  </si>
  <si>
    <t>SMIC au 1er juin 2026</t>
  </si>
  <si>
    <t>urssaf.fr, le Smic et le minimum garanti augmentent au 1er juin 2026.</t>
  </si>
  <si>
    <t>Récompenses versées par l'employeur</t>
  </si>
  <si>
    <t>Article L. 242-1 du code de la sécurité sociale, version consolidée au 22 février 2025, Légifrance.</t>
  </si>
  <si>
    <t>Avantages versés par un tiers</t>
  </si>
  <si>
    <t>Article L. 242-1-4 du code de la sécurité sociale, Légifrance. Complété par urssaf.fr, avantages alloués à un salarié tiers à votre entreprise, mise à jour du 8 octobre 2024.</t>
  </si>
  <si>
    <t>2. Ce que coûtent les récompenses elles-mêmes</t>
  </si>
  <si>
    <t>Cadeaux et bons d'achat</t>
  </si>
  <si>
    <t>Tolérance administrative Urssaf, instructions ministérielles de 1985 et 1988. Urssaf, guide pratique CSE 2026.</t>
  </si>
  <si>
    <t>Dû quel que soit l'outil. Rarement compté, souvent découvert en contrôle.</t>
  </si>
  <si>
    <t>Ce qui n'a pas de source primaire</t>
  </si>
  <si>
    <t>Le seuil 2026 des bons d'achat (200,25 €) se déduit du plafond mensuel officiel multiplié par 5 %. Il n'a pas</t>
  </si>
  <si>
    <t>Coût social des récompenses</t>
  </si>
  <si>
    <t>été retrouvé tel quel sur une page Urssaf explicitement datée 2026. À vérifier avant toute décision engageante.</t>
  </si>
  <si>
    <t>Les montants en euros de la franchise et du plafond de l'article L. 242-1-4 sont des calculs à partir du SMIC.</t>
  </si>
  <si>
    <t>L'Urssaf ne publie pas de tableau annuel donnant ces valeurs.</t>
  </si>
  <si>
    <t>Le taux de charges patronales de 42 % est une valeur par défaut, à remplacer par votre taux réel.</t>
  </si>
  <si>
    <t>Feuille Conformité, somme des trois régimes.</t>
  </si>
  <si>
    <t>Feuille Coûts directs, pour mémoire. Budget de l'opération.</t>
  </si>
  <si>
    <t>3. Le total, et ce qu'il faut en faire</t>
  </si>
  <si>
    <t>Indicateur</t>
  </si>
  <si>
    <t>Lecture</t>
  </si>
  <si>
    <t>Nombre de commerciaux concernés</t>
  </si>
  <si>
    <t>À saisir, en bleu.</t>
  </si>
  <si>
    <t>Coût de pilotage par commercial et par an</t>
  </si>
  <si>
    <t>Le seul chiffre comparable à un abonnement par utilisateur.</t>
  </si>
  <si>
    <t>Enveloppe totale du dispositif</t>
  </si>
  <si>
    <t>Pilotage, coût social et récompenses réunis. Ce que la ligne budgétaire devrait porter.</t>
  </si>
  <si>
    <t>Part du pilotage dans l'enveloppe</t>
  </si>
  <si>
    <t>Au-delà d'un quart, le pilotage coûte plus cher que ce qu'il distribue.</t>
  </si>
  <si>
    <t>Ce que ce total n'est pas</t>
  </si>
  <si>
    <t>Ce n'est pas une somme à économiser. Une partie de ces heures existerait sous une autre forme.</t>
  </si>
  <si>
    <t>Ce n'est pas un argument de vente. C'est un ordre de grandeur, construit sur vos propres chiffres.</t>
  </si>
  <si>
    <t>Il ne dit rien de ce que le dispositif rapporte. Un pilotage cher sur un challenge qui performe n'est pas un problème.</t>
  </si>
  <si>
    <t>Et si le résultat vous paraît faible, c'est une réponse aussi : votre dispositif est sous contrôle.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</si>
</sst>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#\ ##0&quot; €&quot;;\(#\ ##0&quot; €)&quot;;\-"/>
    <numFmt numFmtId="165" formatCode="#\ ##0;\(#\ ##0\);\-"/>
    <numFmt numFmtId="166" formatCode="0.0"/>
    <numFmt numFmtId="167" formatCode="0.0%"/>
    <numFmt numFmtId="168" formatCode="#\ ##0.00&quot; €&quot;;\(#\ ##0.00&quot; €)&quot;;\-"/>
    <numFmt numFmtId="169" formatCode="#\ ##0.0"/>
    <numFmt numFmtId="170" formatCode="0.00\×"/>
  </numFmts>
  <fonts count="12">
    <font>
      <sz val="11.0"/>
      <color theme="1"/>
      <name val="Calibri"/>
      <scheme val="minor"/>
    </font>
    <font>
      <b/>
      <sz val="14.0"/>
      <color theme="1"/>
      <name val="Arial"/>
    </font>
    <font>
      <i/>
      <sz val="9.0"/>
      <color rgb="FF595959"/>
      <name val="Arial"/>
    </font>
    <font>
      <b/>
      <sz val="11.0"/>
      <color theme="1"/>
      <name val="Arial"/>
    </font>
    <font>
      <sz val="10.0"/>
      <color theme="1"/>
      <name val="Arial"/>
    </font>
    <font>
      <b/>
      <sz val="10.0"/>
      <color rgb="FFFFFFFF"/>
      <name val="Arial"/>
    </font>
    <font>
      <sz val="10.0"/>
      <color rgb="FF0000FF"/>
      <name val="Arial"/>
    </font>
    <font>
      <b/>
      <sz val="11.0"/>
      <color rgb="FF1F3864"/>
      <name val="Arial"/>
    </font>
    <font>
      <sz val="11.0"/>
      <color theme="1"/>
      <name val="Calibri"/>
    </font>
    <font>
      <sz val="10.0"/>
      <color rgb="FF008000"/>
      <name val="Arial"/>
    </font>
    <font>
      <b/>
      <sz val="10.0"/>
      <color theme="1"/>
      <name val="Arial"/>
    </font>
    <font>
      <b/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FF2CC"/>
        <bgColor rgb="FFFFF2CC"/>
      </patternFill>
    </fill>
    <fill>
      <patternFill patternType="solid">
        <fgColor rgb="FFD9E2F3"/>
        <bgColor rgb="FFD9E2F3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1" fillId="2" fontId="5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shrinkToFit="0" vertical="bottom" wrapText="0"/>
    </xf>
    <xf borderId="1" fillId="3" fontId="6" numFmtId="164" xfId="0" applyAlignment="1" applyBorder="1" applyFill="1" applyFont="1" applyNumberFormat="1">
      <alignment shrinkToFit="0" vertical="bottom" wrapText="0"/>
    </xf>
    <xf borderId="1" fillId="3" fontId="6" numFmtId="165" xfId="0" applyAlignment="1" applyBorder="1" applyFill="1" applyFont="1" applyNumberFormat="1">
      <alignment horizontal="center" shrinkToFit="0" vertical="bottom" wrapText="0"/>
    </xf>
    <xf borderId="1" fillId="0" fontId="2" numFmtId="0" xfId="0" applyAlignment="1" applyBorder="1" applyFont="1">
      <alignment shrinkToFit="0" vertical="top" wrapText="1"/>
    </xf>
    <xf borderId="0" fillId="0" fontId="7" numFmtId="0" xfId="0" applyAlignment="1" applyFont="1">
      <alignment shrinkToFit="0" vertical="bottom" wrapText="0"/>
    </xf>
    <xf borderId="1" fillId="3" fontId="6" numFmtId="166" xfId="0" applyAlignment="1" applyBorder="1" applyFill="1" applyFont="1" applyNumberFormat="1">
      <alignment horizontal="center" shrinkToFit="0" vertical="bottom" wrapText="0"/>
    </xf>
    <xf borderId="1" fillId="3" fontId="6" numFmtId="167" xfId="0" applyAlignment="1" applyBorder="1" applyFill="1" applyFont="1" applyNumberFormat="1">
      <alignment shrinkToFit="0" vertical="bottom" wrapText="0"/>
    </xf>
    <xf borderId="1" fillId="0" fontId="8" numFmtId="0" xfId="0" applyAlignment="1" applyBorder="1" applyFont="1">
      <alignment shrinkToFit="0" vertical="bottom" wrapText="0"/>
    </xf>
    <xf borderId="1" fillId="3" fontId="6" numFmtId="165" xfId="0" applyAlignment="1" applyBorder="1" applyFill="1" applyFont="1" applyNumberForma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3" fontId="6" numFmtId="168" xfId="0" applyAlignment="1" applyBorder="1" applyFill="1" applyFont="1" applyNumberFormat="1">
      <alignment shrinkToFit="0" vertical="bottom" wrapText="0"/>
    </xf>
    <xf borderId="1" fillId="0" fontId="4" numFmtId="169" xfId="0" applyAlignment="1" applyBorder="1" applyFont="1" applyNumberFormat="1">
      <alignment horizontal="center" shrinkToFit="0" vertical="bottom" wrapText="0"/>
    </xf>
    <xf borderId="1" fillId="0" fontId="9" numFmtId="164" xfId="0" applyAlignment="1" applyBorder="1" applyFont="1" applyNumberFormat="1">
      <alignment shrinkToFit="0" vertical="bottom" wrapText="0"/>
    </xf>
    <xf borderId="1" fillId="4" fontId="4" numFmtId="167" xfId="0" applyAlignment="1" applyBorder="1" applyFill="1" applyFont="1" applyNumberFormat="1">
      <alignment horizontal="center" shrinkToFit="0" vertical="bottom" wrapText="0"/>
    </xf>
    <xf borderId="1" fillId="4" fontId="4" numFmtId="170" xfId="0" applyAlignment="1" applyBorder="1" applyFill="1" applyFont="1" applyNumberFormat="1">
      <alignment shrinkToFit="0" vertical="bottom" wrapText="0"/>
    </xf>
    <xf borderId="1" fillId="3" fontId="6" numFmtId="164" xfId="0" applyAlignment="1" applyBorder="1" applyFill="1" applyFont="1" applyNumberFormat="1">
      <alignment horizontal="center" shrinkToFit="0" vertical="bottom" wrapText="0"/>
    </xf>
    <xf borderId="1" fillId="4" fontId="4" numFmtId="164" xfId="0" applyAlignment="1" applyBorder="1" applyFill="1" applyFont="1" applyNumberFormat="1">
      <alignment shrinkToFit="0" vertical="bottom" wrapText="0"/>
    </xf>
    <xf borderId="1" fillId="4" fontId="4" numFmtId="164" xfId="0" applyAlignment="1" applyBorder="1" applyFill="1" applyFont="1" applyNumberFormat="1">
      <alignment horizontal="center" shrinkToFit="0" vertical="bottom" wrapText="0"/>
    </xf>
    <xf borderId="1" fillId="4" fontId="4" numFmtId="165" xfId="0" applyAlignment="1" applyBorder="1" applyFill="1" applyFont="1" applyNumberForma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1" fillId="4" fontId="4" numFmtId="168" xfId="0" applyAlignment="1" applyBorder="1" applyFill="1" applyFont="1" applyNumberFormat="1">
      <alignment shrinkToFit="0" vertical="bottom" wrapText="0"/>
    </xf>
    <xf borderId="1" fillId="4" fontId="10" numFmtId="164" xfId="0" applyAlignment="1" applyBorder="1" applyFill="1" applyFont="1" applyNumberFormat="1">
      <alignment shrinkToFit="0" vertical="bottom" wrapText="0"/>
    </xf>
    <xf borderId="1" fillId="4" fontId="10" numFmtId="169" xfId="0" applyAlignment="1" applyBorder="1" applyFill="1" applyFont="1" applyNumberFormat="1">
      <alignment horizontal="center" shrinkToFit="0" vertical="bottom" wrapText="0"/>
    </xf>
    <xf borderId="1" fillId="3" fontId="6" numFmtId="167" xfId="0" applyAlignment="1" applyBorder="1" applyFill="1" applyFont="1" applyNumberFormat="1">
      <alignment horizontal="center" shrinkToFit="0" vertical="bottom" wrapText="0"/>
    </xf>
    <xf borderId="1" fillId="4" fontId="4" numFmtId="168" xfId="0" applyAlignment="1" applyBorder="1" applyFill="1" applyFont="1" applyNumberFormat="1">
      <alignment horizontal="center" shrinkToFit="0" vertical="bottom" wrapText="0"/>
    </xf>
    <xf borderId="1" fillId="4" fontId="3" numFmtId="164" xfId="0" applyAlignment="1" applyBorder="1" applyFill="1" applyFont="1" applyNumberFormat="1">
      <alignment shrinkToFit="0" vertical="bottom" wrapText="0"/>
    </xf>
    <xf borderId="1" fillId="0" fontId="11" numFmtId="0" xfId="0" applyAlignment="1" applyBorder="1" applyFont="1">
      <alignment shrinkToFit="0" vertical="bottom" wrapText="0"/>
    </xf>
    <xf borderId="1" fillId="4" fontId="11" numFmtId="164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05.0"/>
    <col customWidth="1" min="3" max="26" width="8.71"/>
  </cols>
  <sheetData>
    <row r="2">
      <c r="B2" s="1" t="s">
        <v>0</v>
      </c>
    </row>
    <row r="3">
      <c r="B3" s="2" t="s">
        <v>3</v>
      </c>
    </row>
    <row r="5">
      <c r="B5" s="3" t="s">
        <v>7</v>
      </c>
    </row>
    <row r="6">
      <c r="B6" s="4" t="s">
        <v>9</v>
      </c>
    </row>
    <row r="7">
      <c r="B7" s="4" t="s">
        <v>13</v>
      </c>
    </row>
    <row r="8">
      <c r="B8" s="4" t="s">
        <v>15</v>
      </c>
    </row>
    <row r="10">
      <c r="B10" s="3" t="s">
        <v>16</v>
      </c>
    </row>
    <row r="11">
      <c r="B11" s="4" t="s">
        <v>18</v>
      </c>
    </row>
    <row r="12">
      <c r="B12" s="4" t="s">
        <v>19</v>
      </c>
    </row>
    <row r="13">
      <c r="B13" s="4" t="s">
        <v>21</v>
      </c>
    </row>
    <row r="15">
      <c r="B15" s="3" t="s">
        <v>27</v>
      </c>
    </row>
    <row r="16">
      <c r="B16" s="4" t="s">
        <v>32</v>
      </c>
    </row>
    <row r="17">
      <c r="B17" s="4" t="s">
        <v>35</v>
      </c>
    </row>
    <row r="18">
      <c r="B18" s="4" t="s">
        <v>36</v>
      </c>
    </row>
    <row r="19">
      <c r="B19" s="4" t="s">
        <v>38</v>
      </c>
    </row>
    <row r="21" ht="15.75" customHeight="1">
      <c r="B21" s="3" t="s">
        <v>40</v>
      </c>
    </row>
    <row r="22" ht="15.75" customHeight="1">
      <c r="B22" s="4" t="s">
        <v>41</v>
      </c>
    </row>
    <row r="23" ht="15.75" customHeight="1">
      <c r="B23" s="4" t="s">
        <v>42</v>
      </c>
    </row>
    <row r="24" ht="15.75" customHeight="1">
      <c r="B24" s="4" t="s">
        <v>43</v>
      </c>
    </row>
    <row r="25" ht="15.75" customHeight="1">
      <c r="B25" s="4" t="s">
        <v>45</v>
      </c>
    </row>
    <row r="26" ht="15.75" customHeight="1">
      <c r="B26" s="4" t="s">
        <v>47</v>
      </c>
    </row>
    <row r="27" ht="15.75" customHeight="1"/>
    <row r="28" ht="15.75" customHeight="1">
      <c r="B28" s="3" t="s">
        <v>48</v>
      </c>
    </row>
    <row r="29" ht="15.75" customHeight="1">
      <c r="B29" s="4" t="s">
        <v>49</v>
      </c>
    </row>
    <row r="30" ht="15.75" customHeight="1"/>
    <row r="31" ht="15.75" customHeight="1">
      <c r="B31" s="10" t="s">
        <v>51</v>
      </c>
    </row>
    <row r="32" ht="15.75" customHeight="1">
      <c r="B32" s="2" t="s">
        <v>53</v>
      </c>
    </row>
    <row r="33" ht="15.75" customHeight="1">
      <c r="B33" s="2" t="s">
        <v>54</v>
      </c>
    </row>
    <row r="34" ht="15.75" customHeight="1"/>
    <row r="35" ht="15.75" customHeight="1">
      <c r="B35" s="2" t="s">
        <v>55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52.0"/>
    <col customWidth="1" min="3" max="3" width="16.0"/>
    <col customWidth="1" min="4" max="4" width="14.0"/>
    <col customWidth="1" min="5" max="5" width="70.0"/>
    <col customWidth="1" min="6" max="26" width="8.71"/>
  </cols>
  <sheetData>
    <row r="2">
      <c r="B2" s="1" t="s">
        <v>2</v>
      </c>
    </row>
    <row r="3">
      <c r="B3" s="2" t="s">
        <v>4</v>
      </c>
    </row>
    <row r="5" ht="27.75" customHeight="1">
      <c r="B5" s="5" t="s">
        <v>11</v>
      </c>
      <c r="C5" s="5" t="s">
        <v>22</v>
      </c>
      <c r="D5" s="5" t="s">
        <v>24</v>
      </c>
      <c r="E5" s="5" t="s">
        <v>26</v>
      </c>
    </row>
    <row r="6" ht="30.0" customHeight="1">
      <c r="B6" s="6" t="s">
        <v>33</v>
      </c>
      <c r="C6" s="7">
        <v>6224.0</v>
      </c>
      <c r="D6" s="6" t="s">
        <v>44</v>
      </c>
      <c r="E6" s="9" t="s">
        <v>46</v>
      </c>
    </row>
    <row r="7" ht="30.0" customHeight="1">
      <c r="B7" s="6" t="s">
        <v>52</v>
      </c>
      <c r="C7" s="12">
        <v>0.323</v>
      </c>
      <c r="D7" s="6" t="s">
        <v>56</v>
      </c>
      <c r="E7" s="9" t="s">
        <v>57</v>
      </c>
    </row>
    <row r="8" ht="30.0" customHeight="1">
      <c r="B8" s="6" t="s">
        <v>58</v>
      </c>
      <c r="C8" s="14">
        <v>218.0</v>
      </c>
      <c r="D8" s="6" t="s">
        <v>60</v>
      </c>
      <c r="E8" s="9" t="s">
        <v>61</v>
      </c>
    </row>
    <row r="9" ht="30.0" customHeight="1">
      <c r="B9" s="6" t="s">
        <v>62</v>
      </c>
      <c r="C9" s="14">
        <v>7.0</v>
      </c>
      <c r="D9" s="6" t="s">
        <v>64</v>
      </c>
      <c r="E9" s="9" t="s">
        <v>65</v>
      </c>
    </row>
    <row r="10" ht="30.0" customHeight="1">
      <c r="B10" s="6" t="s">
        <v>66</v>
      </c>
      <c r="C10" s="7">
        <v>4005.0</v>
      </c>
      <c r="D10" s="6" t="s">
        <v>67</v>
      </c>
      <c r="E10" s="9" t="s">
        <v>68</v>
      </c>
    </row>
    <row r="11" ht="30.0" customHeight="1">
      <c r="B11" s="6" t="s">
        <v>69</v>
      </c>
      <c r="C11" s="16">
        <v>1867.02</v>
      </c>
      <c r="D11" s="6" t="s">
        <v>67</v>
      </c>
      <c r="E11" s="9" t="s">
        <v>70</v>
      </c>
    </row>
    <row r="12" ht="30.0" customHeight="1">
      <c r="B12" s="6" t="s">
        <v>71</v>
      </c>
      <c r="C12" s="12">
        <v>0.012</v>
      </c>
      <c r="D12" s="6" t="s">
        <v>56</v>
      </c>
      <c r="E12" s="9" t="s">
        <v>72</v>
      </c>
    </row>
    <row r="14">
      <c r="B14" s="3" t="s">
        <v>73</v>
      </c>
    </row>
    <row r="15" ht="27.75" customHeight="1">
      <c r="B15" s="5" t="s">
        <v>74</v>
      </c>
      <c r="C15" s="5" t="s">
        <v>29</v>
      </c>
      <c r="D15" s="5" t="s">
        <v>24</v>
      </c>
      <c r="E15" s="5" t="s">
        <v>75</v>
      </c>
    </row>
    <row r="16">
      <c r="B16" s="6" t="s">
        <v>76</v>
      </c>
      <c r="C16" s="20">
        <f>1/(1-C7)</f>
        <v>1.477104874</v>
      </c>
      <c r="D16" s="6" t="s">
        <v>81</v>
      </c>
      <c r="E16" s="15" t="s">
        <v>82</v>
      </c>
    </row>
    <row r="17">
      <c r="B17" s="6" t="s">
        <v>83</v>
      </c>
      <c r="C17" s="22">
        <f>C6*C16</f>
        <v>9193.500739</v>
      </c>
      <c r="D17" s="6" t="s">
        <v>44</v>
      </c>
      <c r="E17" s="15" t="s">
        <v>89</v>
      </c>
    </row>
    <row r="18">
      <c r="B18" s="6" t="s">
        <v>91</v>
      </c>
      <c r="C18" s="22">
        <f>C17*12</f>
        <v>110322.0089</v>
      </c>
      <c r="D18" s="6" t="s">
        <v>96</v>
      </c>
      <c r="E18" s="15" t="s">
        <v>98</v>
      </c>
    </row>
    <row r="19">
      <c r="B19" s="6" t="s">
        <v>101</v>
      </c>
      <c r="C19" s="24">
        <f>C8*C9</f>
        <v>1526</v>
      </c>
      <c r="D19" s="6" t="s">
        <v>64</v>
      </c>
      <c r="E19" s="15" t="s">
        <v>109</v>
      </c>
    </row>
    <row r="20">
      <c r="B20" s="6" t="s">
        <v>111</v>
      </c>
      <c r="C20" s="26">
        <f>C18/C19</f>
        <v>72.29489441</v>
      </c>
      <c r="D20" s="6" t="s">
        <v>114</v>
      </c>
      <c r="E20" s="15" t="s">
        <v>115</v>
      </c>
    </row>
    <row r="21" ht="15.75" customHeight="1">
      <c r="B21" s="6" t="s">
        <v>116</v>
      </c>
      <c r="C21" s="26">
        <f>0.15*C11</f>
        <v>280.053</v>
      </c>
      <c r="D21" s="6" t="s">
        <v>122</v>
      </c>
      <c r="E21" s="15" t="s">
        <v>124</v>
      </c>
    </row>
    <row r="22" ht="15.75" customHeight="1">
      <c r="B22" s="6" t="s">
        <v>126</v>
      </c>
      <c r="C22" s="26">
        <f>1.5*C11</f>
        <v>2800.53</v>
      </c>
      <c r="D22" s="6" t="s">
        <v>122</v>
      </c>
      <c r="E22" s="15" t="s">
        <v>131</v>
      </c>
    </row>
    <row r="23" ht="15.75" customHeight="1">
      <c r="B23" s="6" t="s">
        <v>132</v>
      </c>
      <c r="C23" s="26">
        <f>0.05*C10</f>
        <v>200.25</v>
      </c>
      <c r="D23" s="6" t="s">
        <v>122</v>
      </c>
      <c r="E23" s="15" t="s">
        <v>135</v>
      </c>
    </row>
    <row r="24" ht="15.75" customHeight="1"/>
    <row r="25" ht="15.75" customHeight="1">
      <c r="B25" s="3" t="s">
        <v>136</v>
      </c>
    </row>
    <row r="26" ht="15.75" customHeight="1">
      <c r="B26" s="2" t="s">
        <v>137</v>
      </c>
    </row>
    <row r="27" ht="15.75" customHeight="1">
      <c r="B27" s="2" t="s">
        <v>138</v>
      </c>
    </row>
    <row r="28" ht="15.75" customHeight="1">
      <c r="B28" s="2" t="s">
        <v>139</v>
      </c>
    </row>
    <row r="29" ht="15.75" customHeight="1">
      <c r="B29" s="2" t="s">
        <v>140</v>
      </c>
    </row>
    <row r="30" ht="15.75" customHeight="1">
      <c r="B30" s="2" t="s">
        <v>141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46.0"/>
    <col customWidth="1" min="3" max="5" width="13.0"/>
    <col customWidth="1" min="6" max="6" width="16.0"/>
    <col customWidth="1" min="7" max="7" width="52.0"/>
    <col customWidth="1" min="8" max="26" width="8.71"/>
  </cols>
  <sheetData>
    <row r="2">
      <c r="B2" s="1" t="s">
        <v>1</v>
      </c>
    </row>
    <row r="3">
      <c r="B3" s="2" t="s">
        <v>5</v>
      </c>
    </row>
    <row r="4">
      <c r="B4" s="2" t="s">
        <v>8</v>
      </c>
    </row>
    <row r="5">
      <c r="B5" s="2" t="s">
        <v>12</v>
      </c>
    </row>
    <row r="6" ht="27.75" customHeight="1">
      <c r="B6" s="5" t="s">
        <v>17</v>
      </c>
      <c r="C6" s="5" t="s">
        <v>23</v>
      </c>
      <c r="D6" s="5" t="s">
        <v>25</v>
      </c>
      <c r="E6" s="5" t="s">
        <v>28</v>
      </c>
      <c r="F6" s="5" t="s">
        <v>31</v>
      </c>
      <c r="G6" s="5" t="s">
        <v>34</v>
      </c>
    </row>
    <row r="7">
      <c r="B7" s="6" t="s">
        <v>39</v>
      </c>
      <c r="C7" s="8">
        <v>2.0</v>
      </c>
      <c r="D7" s="11">
        <v>6.0</v>
      </c>
      <c r="E7" s="8">
        <v>4.0</v>
      </c>
      <c r="F7" s="17">
        <f t="shared" ref="F7:F15" si="1">C7*D7*E7</f>
        <v>48</v>
      </c>
      <c r="G7" s="18">
        <f>F7*'Hypothèses'!$C$20</f>
        <v>3470.154931</v>
      </c>
      <c r="H7" s="2" t="s">
        <v>77</v>
      </c>
    </row>
    <row r="8">
      <c r="B8" s="6" t="s">
        <v>78</v>
      </c>
      <c r="C8" s="8">
        <v>1.0</v>
      </c>
      <c r="D8" s="11">
        <v>2.0</v>
      </c>
      <c r="E8" s="8">
        <v>12.0</v>
      </c>
      <c r="F8" s="17">
        <f t="shared" si="1"/>
        <v>24</v>
      </c>
      <c r="G8" s="18">
        <f>F8*'Hypothèses'!$C$20</f>
        <v>1735.077466</v>
      </c>
      <c r="H8" s="2" t="s">
        <v>85</v>
      </c>
    </row>
    <row r="9">
      <c r="B9" s="6" t="s">
        <v>87</v>
      </c>
      <c r="C9" s="8">
        <v>1.0</v>
      </c>
      <c r="D9" s="11">
        <v>1.5</v>
      </c>
      <c r="E9" s="8">
        <v>12.0</v>
      </c>
      <c r="F9" s="17">
        <f t="shared" si="1"/>
        <v>18</v>
      </c>
      <c r="G9" s="18">
        <f>F9*'Hypothèses'!$C$20</f>
        <v>1301.308099</v>
      </c>
      <c r="H9" s="2" t="s">
        <v>88</v>
      </c>
    </row>
    <row r="10">
      <c r="B10" s="6" t="s">
        <v>90</v>
      </c>
      <c r="C10" s="8">
        <v>2.0</v>
      </c>
      <c r="D10" s="11">
        <v>3.0</v>
      </c>
      <c r="E10" s="8">
        <v>12.0</v>
      </c>
      <c r="F10" s="17">
        <f t="shared" si="1"/>
        <v>72</v>
      </c>
      <c r="G10" s="18">
        <f>F10*'Hypothèses'!$C$20</f>
        <v>5205.232397</v>
      </c>
      <c r="H10" s="2" t="s">
        <v>97</v>
      </c>
    </row>
    <row r="11">
      <c r="B11" s="6" t="s">
        <v>100</v>
      </c>
      <c r="C11" s="8">
        <v>3.0</v>
      </c>
      <c r="D11" s="11">
        <v>2.0</v>
      </c>
      <c r="E11" s="8">
        <v>12.0</v>
      </c>
      <c r="F11" s="17">
        <f t="shared" si="1"/>
        <v>72</v>
      </c>
      <c r="G11" s="18">
        <f>F11*'Hypothèses'!$C$20</f>
        <v>5205.232397</v>
      </c>
      <c r="H11" s="2" t="s">
        <v>106</v>
      </c>
    </row>
    <row r="12">
      <c r="B12" s="6" t="s">
        <v>108</v>
      </c>
      <c r="C12" s="8">
        <v>2.0</v>
      </c>
      <c r="D12" s="11">
        <v>1.0</v>
      </c>
      <c r="E12" s="8">
        <v>12.0</v>
      </c>
      <c r="F12" s="17">
        <f t="shared" si="1"/>
        <v>24</v>
      </c>
      <c r="G12" s="18">
        <f>F12*'Hypothèses'!$C$20</f>
        <v>1735.077466</v>
      </c>
      <c r="H12" s="2" t="s">
        <v>112</v>
      </c>
    </row>
    <row r="13">
      <c r="B13" s="6" t="s">
        <v>113</v>
      </c>
      <c r="C13" s="8">
        <v>1.0</v>
      </c>
      <c r="D13" s="11">
        <v>1.0</v>
      </c>
      <c r="E13" s="8">
        <v>12.0</v>
      </c>
      <c r="F13" s="17">
        <f t="shared" si="1"/>
        <v>12</v>
      </c>
      <c r="G13" s="18">
        <f>F13*'Hypothèses'!$C$20</f>
        <v>867.5387329</v>
      </c>
      <c r="H13" s="2" t="s">
        <v>117</v>
      </c>
    </row>
    <row r="14">
      <c r="B14" s="6" t="s">
        <v>118</v>
      </c>
      <c r="C14" s="8">
        <v>1.0</v>
      </c>
      <c r="D14" s="11">
        <v>2.0</v>
      </c>
      <c r="E14" s="8">
        <v>4.0</v>
      </c>
      <c r="F14" s="17">
        <f t="shared" si="1"/>
        <v>8</v>
      </c>
      <c r="G14" s="18">
        <f>F14*'Hypothèses'!$C$20</f>
        <v>578.3591552</v>
      </c>
      <c r="H14" s="2" t="s">
        <v>127</v>
      </c>
    </row>
    <row r="15">
      <c r="B15" s="6" t="s">
        <v>129</v>
      </c>
      <c r="C15" s="8">
        <v>2.0</v>
      </c>
      <c r="D15" s="11">
        <v>2.0</v>
      </c>
      <c r="E15" s="8">
        <v>4.0</v>
      </c>
      <c r="F15" s="17">
        <f t="shared" si="1"/>
        <v>16</v>
      </c>
      <c r="G15" s="18">
        <f>F15*'Hypothèses'!$C$20</f>
        <v>1156.71831</v>
      </c>
      <c r="H15" s="2" t="s">
        <v>133</v>
      </c>
    </row>
    <row r="16">
      <c r="B16" s="25" t="s">
        <v>134</v>
      </c>
      <c r="C16" s="13"/>
      <c r="D16" s="13"/>
      <c r="E16" s="13"/>
      <c r="F16" s="28">
        <f t="shared" ref="F16:G16" si="2">SUM(F7:F15)</f>
        <v>294</v>
      </c>
      <c r="G16" s="27">
        <f t="shared" si="2"/>
        <v>21254.69896</v>
      </c>
    </row>
    <row r="18">
      <c r="B18" s="3" t="s">
        <v>142</v>
      </c>
    </row>
    <row r="19">
      <c r="B19" s="2" t="s">
        <v>143</v>
      </c>
    </row>
    <row r="20">
      <c r="B20" s="2" t="s">
        <v>144</v>
      </c>
    </row>
    <row r="21" ht="15.75" customHeight="1">
      <c r="B21" s="2" t="s">
        <v>145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46.0"/>
    <col customWidth="1" min="3" max="4" width="16.0"/>
    <col customWidth="1" min="5" max="5" width="18.0"/>
    <col customWidth="1" min="6" max="6" width="58.0"/>
    <col customWidth="1" min="7" max="26" width="8.71"/>
  </cols>
  <sheetData>
    <row r="2">
      <c r="B2" s="1" t="s">
        <v>6</v>
      </c>
    </row>
    <row r="3">
      <c r="B3" s="2" t="s">
        <v>10</v>
      </c>
    </row>
    <row r="5">
      <c r="B5" s="3" t="s">
        <v>14</v>
      </c>
    </row>
    <row r="6" ht="27.75" customHeight="1">
      <c r="B6" s="5" t="s">
        <v>20</v>
      </c>
      <c r="C6" s="5" t="s">
        <v>22</v>
      </c>
      <c r="D6" s="5" t="s">
        <v>24</v>
      </c>
      <c r="E6" s="5" t="s">
        <v>29</v>
      </c>
      <c r="F6" s="5" t="s">
        <v>30</v>
      </c>
    </row>
    <row r="7">
      <c r="B7" s="6" t="s">
        <v>37</v>
      </c>
      <c r="C7" s="8">
        <v>200.0</v>
      </c>
      <c r="D7" s="6" t="s">
        <v>50</v>
      </c>
      <c r="E7" s="13"/>
      <c r="F7" s="15" t="s">
        <v>59</v>
      </c>
    </row>
    <row r="8">
      <c r="B8" s="6" t="s">
        <v>63</v>
      </c>
      <c r="C8" s="19">
        <f>1-(1-'Hypothèses'!$C$12)^C7</f>
        <v>0.9105894189</v>
      </c>
      <c r="D8" s="6" t="s">
        <v>56</v>
      </c>
      <c r="E8" s="13"/>
      <c r="F8" s="15" t="s">
        <v>79</v>
      </c>
    </row>
    <row r="9">
      <c r="B9" s="6" t="s">
        <v>80</v>
      </c>
      <c r="C9" s="21">
        <v>600.0</v>
      </c>
      <c r="D9" s="6" t="s">
        <v>67</v>
      </c>
      <c r="E9" s="13"/>
      <c r="F9" s="15" t="s">
        <v>84</v>
      </c>
    </row>
    <row r="10">
      <c r="B10" s="6" t="s">
        <v>86</v>
      </c>
      <c r="C10" s="23">
        <f>C8*C9</f>
        <v>546.3536513</v>
      </c>
      <c r="D10" s="6" t="s">
        <v>67</v>
      </c>
      <c r="E10" s="13"/>
      <c r="F10" s="15" t="s">
        <v>92</v>
      </c>
    </row>
    <row r="12">
      <c r="B12" s="3" t="s">
        <v>93</v>
      </c>
    </row>
    <row r="13" ht="27.75" customHeight="1">
      <c r="B13" s="5" t="s">
        <v>94</v>
      </c>
      <c r="C13" s="5" t="s">
        <v>95</v>
      </c>
      <c r="D13" s="5"/>
      <c r="E13" s="5"/>
      <c r="F13" s="5" t="s">
        <v>30</v>
      </c>
    </row>
    <row r="14">
      <c r="B14" s="6" t="s">
        <v>99</v>
      </c>
      <c r="C14" s="7">
        <v>1200.0</v>
      </c>
      <c r="D14" s="13"/>
      <c r="E14" s="13"/>
      <c r="F14" s="15" t="s">
        <v>102</v>
      </c>
    </row>
    <row r="15">
      <c r="B15" s="6" t="s">
        <v>103</v>
      </c>
      <c r="C15" s="7">
        <v>0.0</v>
      </c>
      <c r="D15" s="13"/>
      <c r="E15" s="13"/>
      <c r="F15" s="15" t="s">
        <v>104</v>
      </c>
    </row>
    <row r="16">
      <c r="B16" s="6" t="s">
        <v>105</v>
      </c>
      <c r="C16" s="7">
        <v>800.0</v>
      </c>
      <c r="D16" s="13"/>
      <c r="E16" s="13"/>
      <c r="F16" s="15" t="s">
        <v>107</v>
      </c>
    </row>
    <row r="17">
      <c r="B17" s="25" t="s">
        <v>110</v>
      </c>
      <c r="C17" s="27">
        <f>SUM(C14:C16)+C10</f>
        <v>2546.353651</v>
      </c>
      <c r="D17" s="13"/>
      <c r="E17" s="13"/>
      <c r="F17" s="15" t="s">
        <v>119</v>
      </c>
    </row>
    <row r="19">
      <c r="B19" s="3" t="s">
        <v>120</v>
      </c>
    </row>
    <row r="20">
      <c r="B20" s="2" t="s">
        <v>121</v>
      </c>
    </row>
    <row r="21" ht="15.75" customHeight="1">
      <c r="B21" s="2" t="s">
        <v>123</v>
      </c>
    </row>
    <row r="22" ht="15.75" customHeight="1">
      <c r="B22" s="2" t="s">
        <v>125</v>
      </c>
    </row>
    <row r="23" ht="15.75" customHeight="1"/>
    <row r="24" ht="15.75" customHeight="1">
      <c r="B24" s="6" t="s">
        <v>128</v>
      </c>
      <c r="C24" s="7">
        <v>24000.0</v>
      </c>
      <c r="D24" s="13"/>
      <c r="E24" s="13"/>
      <c r="F24" s="15" t="s">
        <v>130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50.0"/>
    <col customWidth="1" min="3" max="3" width="16.0"/>
    <col customWidth="1" min="4" max="4" width="14.0"/>
    <col customWidth="1" min="5" max="5" width="18.0"/>
    <col customWidth="1" min="6" max="6" width="60.0"/>
    <col customWidth="1" min="7" max="26" width="8.71"/>
  </cols>
  <sheetData>
    <row r="2">
      <c r="B2" s="1" t="s">
        <v>146</v>
      </c>
    </row>
    <row r="3">
      <c r="B3" s="2" t="s">
        <v>147</v>
      </c>
    </row>
    <row r="4">
      <c r="B4" s="2" t="s">
        <v>148</v>
      </c>
    </row>
    <row r="6">
      <c r="B6" s="3" t="s">
        <v>149</v>
      </c>
    </row>
    <row r="7">
      <c r="B7" s="4" t="s">
        <v>150</v>
      </c>
    </row>
    <row r="8">
      <c r="B8" s="4" t="s">
        <v>151</v>
      </c>
    </row>
    <row r="10" ht="27.75" customHeight="1">
      <c r="B10" s="5" t="s">
        <v>20</v>
      </c>
      <c r="C10" s="5" t="s">
        <v>22</v>
      </c>
      <c r="D10" s="5" t="s">
        <v>24</v>
      </c>
      <c r="E10" s="5" t="s">
        <v>29</v>
      </c>
      <c r="F10" s="5" t="s">
        <v>30</v>
      </c>
    </row>
    <row r="11">
      <c r="B11" s="6" t="s">
        <v>152</v>
      </c>
      <c r="C11" s="7">
        <v>30000.0</v>
      </c>
      <c r="D11" s="6" t="s">
        <v>96</v>
      </c>
      <c r="E11" s="13"/>
      <c r="F11" s="15" t="s">
        <v>153</v>
      </c>
    </row>
    <row r="12">
      <c r="B12" s="6" t="s">
        <v>154</v>
      </c>
      <c r="C12" s="12">
        <v>0.42</v>
      </c>
      <c r="D12" s="6" t="s">
        <v>56</v>
      </c>
      <c r="E12" s="13"/>
      <c r="F12" s="15" t="s">
        <v>155</v>
      </c>
    </row>
    <row r="13">
      <c r="B13" s="6" t="s">
        <v>156</v>
      </c>
      <c r="C13" s="22">
        <f>C11*C12</f>
        <v>12600</v>
      </c>
      <c r="D13" s="13"/>
      <c r="E13" s="13"/>
      <c r="F13" s="15" t="s">
        <v>157</v>
      </c>
    </row>
    <row r="15">
      <c r="B15" s="3" t="s">
        <v>158</v>
      </c>
    </row>
    <row r="16">
      <c r="B16" s="4" t="s">
        <v>159</v>
      </c>
    </row>
    <row r="17">
      <c r="B17" s="4" t="s">
        <v>160</v>
      </c>
    </row>
    <row r="19" ht="27.75" customHeight="1">
      <c r="B19" s="5" t="s">
        <v>20</v>
      </c>
      <c r="C19" s="5" t="s">
        <v>22</v>
      </c>
      <c r="D19" s="5" t="s">
        <v>24</v>
      </c>
      <c r="E19" s="5" t="s">
        <v>29</v>
      </c>
      <c r="F19" s="5" t="s">
        <v>30</v>
      </c>
    </row>
    <row r="20">
      <c r="B20" s="6" t="s">
        <v>161</v>
      </c>
      <c r="C20" s="8">
        <v>30.0</v>
      </c>
      <c r="D20" s="6" t="s">
        <v>162</v>
      </c>
      <c r="E20" s="13"/>
      <c r="F20" s="15" t="s">
        <v>163</v>
      </c>
    </row>
    <row r="21" ht="15.75" customHeight="1">
      <c r="B21" s="6" t="s">
        <v>164</v>
      </c>
      <c r="C21" s="21">
        <v>250.0</v>
      </c>
      <c r="D21" s="6" t="s">
        <v>67</v>
      </c>
      <c r="E21" s="13"/>
      <c r="F21" s="15" t="s">
        <v>165</v>
      </c>
    </row>
    <row r="22" ht="15.75" customHeight="1">
      <c r="B22" s="6" t="s">
        <v>166</v>
      </c>
      <c r="C22" s="23">
        <f>'Hypothèses'!$C$23</f>
        <v>200.25</v>
      </c>
      <c r="D22" s="6" t="s">
        <v>67</v>
      </c>
      <c r="E22" s="13"/>
      <c r="F22" s="15" t="s">
        <v>167</v>
      </c>
    </row>
    <row r="23" ht="15.75" customHeight="1">
      <c r="B23" s="6" t="s">
        <v>168</v>
      </c>
      <c r="C23" s="23">
        <f>IF(C21&gt;C22,C20*C21,0)</f>
        <v>7500</v>
      </c>
      <c r="D23" s="6" t="s">
        <v>67</v>
      </c>
      <c r="E23" s="13"/>
      <c r="F23" s="15" t="s">
        <v>169</v>
      </c>
    </row>
    <row r="24" ht="15.75" customHeight="1">
      <c r="B24" s="6" t="s">
        <v>170</v>
      </c>
      <c r="C24" s="29">
        <v>0.42</v>
      </c>
      <c r="D24" s="6" t="s">
        <v>56</v>
      </c>
      <c r="E24" s="13"/>
      <c r="F24" s="15" t="s">
        <v>171</v>
      </c>
    </row>
    <row r="25" ht="15.75" customHeight="1">
      <c r="B25" s="6" t="s">
        <v>172</v>
      </c>
      <c r="C25" s="23">
        <f>C23*C24</f>
        <v>3150</v>
      </c>
      <c r="D25" s="6" t="s">
        <v>67</v>
      </c>
      <c r="E25" s="13"/>
      <c r="F25" s="15" t="s">
        <v>173</v>
      </c>
    </row>
    <row r="26" ht="15.75" customHeight="1"/>
    <row r="27" ht="15.75" customHeight="1">
      <c r="B27" s="3" t="s">
        <v>174</v>
      </c>
    </row>
    <row r="28" ht="15.75" customHeight="1">
      <c r="B28" s="4" t="s">
        <v>175</v>
      </c>
    </row>
    <row r="29" ht="15.75" customHeight="1">
      <c r="B29" s="4" t="s">
        <v>176</v>
      </c>
    </row>
    <row r="30" ht="15.75" customHeight="1"/>
    <row r="31" ht="27.75" customHeight="1">
      <c r="B31" s="5" t="s">
        <v>20</v>
      </c>
      <c r="C31" s="5" t="s">
        <v>22</v>
      </c>
      <c r="D31" s="5" t="s">
        <v>24</v>
      </c>
      <c r="E31" s="5" t="s">
        <v>29</v>
      </c>
      <c r="F31" s="5" t="s">
        <v>30</v>
      </c>
    </row>
    <row r="32" ht="15.75" customHeight="1">
      <c r="B32" s="6" t="s">
        <v>177</v>
      </c>
      <c r="C32" s="8">
        <v>30.0</v>
      </c>
      <c r="D32" s="6" t="s">
        <v>162</v>
      </c>
      <c r="E32" s="13"/>
      <c r="F32" s="15" t="s">
        <v>178</v>
      </c>
    </row>
    <row r="33" ht="15.75" customHeight="1">
      <c r="B33" s="6" t="s">
        <v>179</v>
      </c>
      <c r="C33" s="21">
        <v>800.0</v>
      </c>
      <c r="D33" s="6" t="s">
        <v>67</v>
      </c>
      <c r="E33" s="13"/>
      <c r="F33" s="15" t="s">
        <v>180</v>
      </c>
    </row>
    <row r="34" ht="15.75" customHeight="1">
      <c r="B34" s="6" t="s">
        <v>181</v>
      </c>
      <c r="C34" s="30">
        <f>'Hypothèses'!$C$21</f>
        <v>280.053</v>
      </c>
      <c r="D34" s="6" t="s">
        <v>67</v>
      </c>
      <c r="E34" s="13"/>
      <c r="F34" s="15" t="s">
        <v>182</v>
      </c>
    </row>
    <row r="35" ht="15.75" customHeight="1">
      <c r="B35" s="6" t="s">
        <v>126</v>
      </c>
      <c r="C35" s="30">
        <f>'Hypothèses'!$C$22</f>
        <v>2800.53</v>
      </c>
      <c r="D35" s="6" t="s">
        <v>67</v>
      </c>
      <c r="E35" s="13"/>
      <c r="F35" s="15" t="s">
        <v>183</v>
      </c>
    </row>
    <row r="36" ht="15.75" customHeight="1">
      <c r="B36" s="6" t="s">
        <v>184</v>
      </c>
      <c r="C36" s="30">
        <f>MAX(0,MIN(C33,C35)-C34)</f>
        <v>519.947</v>
      </c>
      <c r="D36" s="6" t="s">
        <v>67</v>
      </c>
      <c r="E36" s="13"/>
      <c r="F36" s="15" t="s">
        <v>185</v>
      </c>
    </row>
    <row r="37" ht="15.75" customHeight="1">
      <c r="B37" s="6" t="s">
        <v>186</v>
      </c>
      <c r="C37" s="30">
        <f>C36*0.2</f>
        <v>103.9894</v>
      </c>
      <c r="D37" s="6" t="s">
        <v>67</v>
      </c>
      <c r="E37" s="13"/>
      <c r="F37" s="15" t="s">
        <v>187</v>
      </c>
    </row>
    <row r="38" ht="15.75" customHeight="1">
      <c r="B38" s="6" t="s">
        <v>188</v>
      </c>
      <c r="C38" s="30">
        <f>C37*C32</f>
        <v>3119.682</v>
      </c>
      <c r="D38" s="6" t="s">
        <v>67</v>
      </c>
      <c r="E38" s="13"/>
      <c r="F38" s="15" t="s">
        <v>189</v>
      </c>
    </row>
    <row r="39" ht="15.75" customHeight="1">
      <c r="B39" s="6" t="s">
        <v>190</v>
      </c>
      <c r="C39" s="30">
        <f>MAX(0,C33-C35)</f>
        <v>0</v>
      </c>
      <c r="D39" s="6" t="s">
        <v>67</v>
      </c>
      <c r="E39" s="13"/>
      <c r="F39" s="15" t="s">
        <v>191</v>
      </c>
    </row>
    <row r="40" ht="15.75" customHeight="1">
      <c r="B40" s="6" t="s">
        <v>192</v>
      </c>
      <c r="C40" s="30">
        <f>C39*C32*0.42</f>
        <v>0</v>
      </c>
      <c r="D40" s="6" t="s">
        <v>67</v>
      </c>
      <c r="E40" s="13"/>
      <c r="F40" s="15" t="s">
        <v>193</v>
      </c>
    </row>
    <row r="41" ht="15.75" customHeight="1">
      <c r="B41" s="6" t="s">
        <v>194</v>
      </c>
      <c r="C41" s="30">
        <f>C38+C40</f>
        <v>3119.682</v>
      </c>
      <c r="D41" s="6" t="s">
        <v>67</v>
      </c>
      <c r="E41" s="13"/>
      <c r="F41" s="15"/>
    </row>
    <row r="42" ht="15.75" customHeight="1"/>
    <row r="43" ht="15.75" customHeight="1"/>
    <row r="44" ht="15.75" customHeight="1">
      <c r="B44" s="3" t="s">
        <v>195</v>
      </c>
      <c r="C44" s="31">
        <f>C13+C25+C41</f>
        <v>18869.682</v>
      </c>
      <c r="F44" s="2" t="s">
        <v>196</v>
      </c>
    </row>
    <row r="45" ht="15.75" customHeight="1"/>
    <row r="46" ht="15.75" customHeight="1">
      <c r="B46" s="3" t="s">
        <v>197</v>
      </c>
    </row>
    <row r="47" ht="15.75" customHeight="1">
      <c r="B47" s="2" t="s">
        <v>198</v>
      </c>
    </row>
    <row r="48" ht="15.75" customHeight="1">
      <c r="B48" s="2" t="s">
        <v>199</v>
      </c>
    </row>
    <row r="49" ht="15.75" customHeight="1">
      <c r="B49" s="2" t="s">
        <v>200</v>
      </c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52.0"/>
    <col customWidth="1" min="3" max="3" width="20.0"/>
    <col customWidth="1" min="4" max="4" width="62.0"/>
    <col customWidth="1" min="5" max="26" width="8.71"/>
  </cols>
  <sheetData>
    <row r="2">
      <c r="B2" s="1" t="s">
        <v>201</v>
      </c>
    </row>
    <row r="3">
      <c r="B3" s="2" t="s">
        <v>202</v>
      </c>
    </row>
    <row r="5">
      <c r="B5" s="3" t="s">
        <v>203</v>
      </c>
    </row>
    <row r="6">
      <c r="B6" s="2" t="s">
        <v>204</v>
      </c>
    </row>
    <row r="7" ht="27.75" customHeight="1">
      <c r="B7" s="5" t="s">
        <v>205</v>
      </c>
      <c r="C7" s="5" t="s">
        <v>95</v>
      </c>
      <c r="D7" s="5" t="s">
        <v>206</v>
      </c>
    </row>
    <row r="8">
      <c r="B8" s="6" t="s">
        <v>207</v>
      </c>
      <c r="C8" s="18">
        <f>Temps!$G$16</f>
        <v>21254.69896</v>
      </c>
      <c r="D8" s="15" t="s">
        <v>208</v>
      </c>
    </row>
    <row r="9">
      <c r="B9" s="6" t="s">
        <v>209</v>
      </c>
      <c r="C9" s="18">
        <f>'Coûts directs'!$C$17</f>
        <v>2546.353651</v>
      </c>
      <c r="D9" s="15" t="s">
        <v>214</v>
      </c>
    </row>
    <row r="10" ht="21.75" customHeight="1">
      <c r="B10" s="32" t="s">
        <v>216</v>
      </c>
      <c r="C10" s="33">
        <f>SUM(C8:C9)</f>
        <v>23801.05261</v>
      </c>
      <c r="D10" s="13"/>
    </row>
    <row r="12">
      <c r="B12" s="3" t="s">
        <v>231</v>
      </c>
    </row>
    <row r="13">
      <c r="B13" s="2" t="s">
        <v>234</v>
      </c>
    </row>
    <row r="14" ht="27.75" customHeight="1">
      <c r="B14" s="5" t="s">
        <v>205</v>
      </c>
      <c r="C14" s="5" t="s">
        <v>95</v>
      </c>
      <c r="D14" s="5" t="s">
        <v>206</v>
      </c>
    </row>
    <row r="15">
      <c r="B15" s="6" t="s">
        <v>237</v>
      </c>
      <c r="C15" s="18">
        <f>'Conformité'!$C$44</f>
        <v>18869.682</v>
      </c>
      <c r="D15" s="15" t="s">
        <v>242</v>
      </c>
    </row>
    <row r="16">
      <c r="B16" s="6" t="s">
        <v>128</v>
      </c>
      <c r="C16" s="18">
        <f>'Coûts directs'!$C$24</f>
        <v>24000</v>
      </c>
      <c r="D16" s="15" t="s">
        <v>243</v>
      </c>
    </row>
    <row r="18">
      <c r="B18" s="3" t="s">
        <v>244</v>
      </c>
    </row>
    <row r="19" ht="27.75" customHeight="1">
      <c r="B19" s="5" t="s">
        <v>245</v>
      </c>
      <c r="C19" s="5" t="s">
        <v>22</v>
      </c>
      <c r="D19" s="5" t="s">
        <v>246</v>
      </c>
    </row>
    <row r="20">
      <c r="B20" s="6" t="s">
        <v>247</v>
      </c>
      <c r="C20" s="8">
        <v>30.0</v>
      </c>
      <c r="D20" s="15" t="s">
        <v>248</v>
      </c>
    </row>
    <row r="21" ht="15.75" customHeight="1">
      <c r="B21" s="6" t="s">
        <v>249</v>
      </c>
      <c r="C21" s="30">
        <f>IF(C20=0,0,C10/C20)</f>
        <v>793.3684202</v>
      </c>
      <c r="D21" s="15" t="s">
        <v>250</v>
      </c>
    </row>
    <row r="22" ht="15.75" customHeight="1">
      <c r="B22" s="6" t="s">
        <v>251</v>
      </c>
      <c r="C22" s="23">
        <f>C10+C15+C16</f>
        <v>66670.73461</v>
      </c>
      <c r="D22" s="15" t="s">
        <v>252</v>
      </c>
    </row>
    <row r="23" ht="15.75" customHeight="1">
      <c r="B23" s="6" t="s">
        <v>253</v>
      </c>
      <c r="C23" s="19">
        <f>IF(C22=0,0,C10/C22)</f>
        <v>0.3569940056</v>
      </c>
      <c r="D23" s="15" t="s">
        <v>254</v>
      </c>
    </row>
    <row r="24" ht="15.75" customHeight="1"/>
    <row r="25" ht="15.75" customHeight="1">
      <c r="B25" s="3" t="s">
        <v>255</v>
      </c>
    </row>
    <row r="26" ht="15.75" customHeight="1">
      <c r="B26" s="2" t="s">
        <v>256</v>
      </c>
    </row>
    <row r="27" ht="15.75" customHeight="1">
      <c r="B27" s="2" t="s">
        <v>257</v>
      </c>
    </row>
    <row r="28" ht="15.75" customHeight="1">
      <c r="B28" s="2" t="s">
        <v>258</v>
      </c>
    </row>
    <row r="29" ht="15.75" customHeight="1">
      <c r="B29" s="2" t="s">
        <v>259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60.0"/>
    <col customWidth="1" min="3" max="3" width="95.0"/>
    <col customWidth="1" min="4" max="26" width="8.71"/>
  </cols>
  <sheetData>
    <row r="2">
      <c r="B2" s="1" t="s">
        <v>210</v>
      </c>
    </row>
    <row r="3">
      <c r="B3" s="2" t="s">
        <v>211</v>
      </c>
    </row>
    <row r="5" ht="27.75" customHeight="1">
      <c r="B5" s="5" t="s">
        <v>212</v>
      </c>
      <c r="C5" s="5" t="s">
        <v>213</v>
      </c>
    </row>
    <row r="6" ht="31.5" customHeight="1">
      <c r="B6" s="6" t="s">
        <v>215</v>
      </c>
      <c r="C6" s="9" t="s">
        <v>217</v>
      </c>
    </row>
    <row r="7" ht="31.5" customHeight="1">
      <c r="B7" s="6" t="s">
        <v>52</v>
      </c>
      <c r="C7" s="9" t="s">
        <v>218</v>
      </c>
    </row>
    <row r="8" ht="31.5" customHeight="1">
      <c r="B8" s="6" t="s">
        <v>219</v>
      </c>
      <c r="C8" s="9" t="s">
        <v>220</v>
      </c>
    </row>
    <row r="9" ht="31.5" customHeight="1">
      <c r="B9" s="6" t="s">
        <v>221</v>
      </c>
      <c r="C9" s="9" t="s">
        <v>222</v>
      </c>
    </row>
    <row r="10" ht="31.5" customHeight="1">
      <c r="B10" s="6" t="s">
        <v>223</v>
      </c>
      <c r="C10" s="9" t="s">
        <v>224</v>
      </c>
    </row>
    <row r="11" ht="31.5" customHeight="1">
      <c r="B11" s="6" t="s">
        <v>225</v>
      </c>
      <c r="C11" s="9" t="s">
        <v>226</v>
      </c>
    </row>
    <row r="12" ht="31.5" customHeight="1">
      <c r="B12" s="6" t="s">
        <v>227</v>
      </c>
      <c r="C12" s="9" t="s">
        <v>228</v>
      </c>
    </row>
    <row r="13" ht="31.5" customHeight="1">
      <c r="B13" s="6" t="s">
        <v>229</v>
      </c>
      <c r="C13" s="9" t="s">
        <v>230</v>
      </c>
    </row>
    <row r="14" ht="31.5" customHeight="1">
      <c r="B14" s="6" t="s">
        <v>232</v>
      </c>
      <c r="C14" s="9" t="s">
        <v>233</v>
      </c>
    </row>
    <row r="16">
      <c r="B16" s="3" t="s">
        <v>235</v>
      </c>
    </row>
    <row r="17">
      <c r="B17" s="2" t="s">
        <v>236</v>
      </c>
    </row>
    <row r="18">
      <c r="B18" s="2" t="s">
        <v>238</v>
      </c>
    </row>
    <row r="19">
      <c r="B19" s="2" t="s">
        <v>239</v>
      </c>
    </row>
    <row r="20">
      <c r="B20" s="2" t="s">
        <v>240</v>
      </c>
    </row>
    <row r="21" ht="15.75" customHeight="1">
      <c r="B21" s="2" t="s">
        <v>241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