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02"/>
  <workbookPr/>
  <mc:AlternateContent xmlns:mc="http://schemas.openxmlformats.org/markup-compatibility/2006">
    <mc:Choice Requires="x15">
      <x15ac:absPath xmlns:x15ac="http://schemas.microsoft.com/office/spreadsheetml/2010/11/ac" url="/Users/lucaturco/Desktop/LEAD MAGNETS/TEMPLATES/wip/excel/"/>
    </mc:Choice>
  </mc:AlternateContent>
  <xr:revisionPtr revIDLastSave="0" documentId="13_ncr:1_{AA38EB3B-318E-554A-96D3-E7154A01DC55}" xr6:coauthVersionLast="47" xr6:coauthVersionMax="47" xr10:uidLastSave="{00000000-0000-0000-0000-000000000000}"/>
  <bookViews>
    <workbookView xWindow="-5340" yWindow="-21600" windowWidth="38400" windowHeight="21600" tabRatio="500" activeTab="3" xr2:uid="{00000000-000D-0000-FFFF-FFFF00000000}"/>
  </bookViews>
  <sheets>
    <sheet name="Guida" sheetId="1" r:id="rId1"/>
    <sheet name="Impostazioni" sheetId="2" r:id="rId2"/>
    <sheet name="Organico 2026" sheetId="3" r:id="rId3"/>
    <sheet name="Riepilogo" sheetId="4" r:id="rId4"/>
  </sheets>
  <definedNames>
    <definedName name="AliquotaINAIL">Impostazioni!$D$12</definedName>
    <definedName name="AliquotaINPS">Impostazioni!$D$11</definedName>
    <definedName name="AliquotaTFR">Impostazioni!$D$13</definedName>
    <definedName name="AltriOneriPct">Impostazioni!$D$14</definedName>
    <definedName name="AnnoSel">Impostazioni!$D$8</definedName>
    <definedName name="BuonoPastoValore">Impostazioni!$D$15</definedName>
    <definedName name="GiorniBuonoMese">Impostazioni!$D$16</definedName>
    <definedName name="MensilitaDefault">Impostazioni!$D$10</definedName>
    <definedName name="Reparti">Impostazioni!$B$19:$B$24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23" i="4" l="1"/>
  <c r="C23" i="4" s="1"/>
  <c r="B22" i="4"/>
  <c r="B21" i="4"/>
  <c r="B20" i="4"/>
  <c r="C20" i="4" s="1"/>
  <c r="B19" i="4"/>
  <c r="B18" i="4"/>
  <c r="N11" i="4"/>
  <c r="M11" i="4"/>
  <c r="L11" i="4"/>
  <c r="K11" i="4"/>
  <c r="J11" i="4"/>
  <c r="I11" i="4"/>
  <c r="H11" i="4"/>
  <c r="G11" i="4"/>
  <c r="F11" i="4"/>
  <c r="E11" i="4"/>
  <c r="D11" i="4"/>
  <c r="C11" i="4"/>
  <c r="O11" i="4" s="1"/>
  <c r="N10" i="4"/>
  <c r="M10" i="4"/>
  <c r="L10" i="4"/>
  <c r="K10" i="4"/>
  <c r="J10" i="4"/>
  <c r="I10" i="4"/>
  <c r="H10" i="4"/>
  <c r="G10" i="4"/>
  <c r="F10" i="4"/>
  <c r="E10" i="4"/>
  <c r="D10" i="4"/>
  <c r="C10" i="4"/>
  <c r="O10" i="4" s="1"/>
  <c r="M9" i="4"/>
  <c r="J9" i="4"/>
  <c r="E9" i="4"/>
  <c r="C9" i="4"/>
  <c r="M8" i="4"/>
  <c r="J8" i="4"/>
  <c r="C8" i="4"/>
  <c r="N7" i="4"/>
  <c r="M7" i="4"/>
  <c r="L7" i="4"/>
  <c r="K7" i="4"/>
  <c r="J7" i="4"/>
  <c r="I7" i="4"/>
  <c r="I8" i="4" s="1"/>
  <c r="H7" i="4"/>
  <c r="H12" i="4" s="1"/>
  <c r="G7" i="4"/>
  <c r="G9" i="4" s="1"/>
  <c r="F7" i="4"/>
  <c r="F9" i="4" s="1"/>
  <c r="E7" i="4"/>
  <c r="D7" i="4"/>
  <c r="C7" i="4"/>
  <c r="E36" i="3"/>
  <c r="O35" i="3"/>
  <c r="N35" i="3"/>
  <c r="M35" i="3"/>
  <c r="L35" i="3"/>
  <c r="K35" i="3"/>
  <c r="J35" i="3"/>
  <c r="I35" i="3"/>
  <c r="H35" i="3"/>
  <c r="O34" i="3"/>
  <c r="N34" i="3"/>
  <c r="M34" i="3"/>
  <c r="L34" i="3"/>
  <c r="K34" i="3"/>
  <c r="J34" i="3"/>
  <c r="I34" i="3"/>
  <c r="H34" i="3"/>
  <c r="O33" i="3"/>
  <c r="N33" i="3"/>
  <c r="M33" i="3"/>
  <c r="L33" i="3"/>
  <c r="K33" i="3"/>
  <c r="J33" i="3"/>
  <c r="I33" i="3"/>
  <c r="H33" i="3"/>
  <c r="O32" i="3"/>
  <c r="N32" i="3"/>
  <c r="M32" i="3"/>
  <c r="L32" i="3"/>
  <c r="K32" i="3"/>
  <c r="J32" i="3"/>
  <c r="I32" i="3"/>
  <c r="H32" i="3"/>
  <c r="O31" i="3"/>
  <c r="N31" i="3"/>
  <c r="M31" i="3"/>
  <c r="L31" i="3"/>
  <c r="K31" i="3"/>
  <c r="J31" i="3"/>
  <c r="I31" i="3"/>
  <c r="H31" i="3"/>
  <c r="O30" i="3"/>
  <c r="N30" i="3"/>
  <c r="M30" i="3"/>
  <c r="L30" i="3"/>
  <c r="K30" i="3"/>
  <c r="J30" i="3"/>
  <c r="I30" i="3"/>
  <c r="H30" i="3"/>
  <c r="O29" i="3"/>
  <c r="N29" i="3"/>
  <c r="M29" i="3"/>
  <c r="L29" i="3"/>
  <c r="K29" i="3"/>
  <c r="J29" i="3"/>
  <c r="I29" i="3"/>
  <c r="H29" i="3"/>
  <c r="O28" i="3"/>
  <c r="N28" i="3"/>
  <c r="M28" i="3"/>
  <c r="L28" i="3"/>
  <c r="K28" i="3"/>
  <c r="J28" i="3"/>
  <c r="I28" i="3"/>
  <c r="H28" i="3"/>
  <c r="O27" i="3"/>
  <c r="N27" i="3"/>
  <c r="M27" i="3"/>
  <c r="L27" i="3"/>
  <c r="K27" i="3"/>
  <c r="J27" i="3"/>
  <c r="I27" i="3"/>
  <c r="H27" i="3"/>
  <c r="O26" i="3"/>
  <c r="N26" i="3"/>
  <c r="M26" i="3"/>
  <c r="L26" i="3"/>
  <c r="K26" i="3"/>
  <c r="J26" i="3"/>
  <c r="I26" i="3"/>
  <c r="H26" i="3"/>
  <c r="O25" i="3"/>
  <c r="N25" i="3"/>
  <c r="M25" i="3"/>
  <c r="L25" i="3"/>
  <c r="K25" i="3"/>
  <c r="J25" i="3"/>
  <c r="I25" i="3"/>
  <c r="H25" i="3"/>
  <c r="O24" i="3"/>
  <c r="N24" i="3"/>
  <c r="M24" i="3"/>
  <c r="L24" i="3"/>
  <c r="K24" i="3"/>
  <c r="J24" i="3"/>
  <c r="I24" i="3"/>
  <c r="H24" i="3"/>
  <c r="O23" i="3"/>
  <c r="N23" i="3"/>
  <c r="M23" i="3"/>
  <c r="L23" i="3"/>
  <c r="K23" i="3"/>
  <c r="J23" i="3"/>
  <c r="I23" i="3"/>
  <c r="H23" i="3"/>
  <c r="O22" i="3"/>
  <c r="N22" i="3"/>
  <c r="M22" i="3"/>
  <c r="L22" i="3"/>
  <c r="K22" i="3"/>
  <c r="J22" i="3"/>
  <c r="I22" i="3"/>
  <c r="H22" i="3"/>
  <c r="O21" i="3"/>
  <c r="N21" i="3"/>
  <c r="M21" i="3"/>
  <c r="L21" i="3"/>
  <c r="K21" i="3"/>
  <c r="J21" i="3"/>
  <c r="I21" i="3"/>
  <c r="H21" i="3"/>
  <c r="O20" i="3"/>
  <c r="N20" i="3"/>
  <c r="M20" i="3"/>
  <c r="L20" i="3"/>
  <c r="K20" i="3"/>
  <c r="J20" i="3"/>
  <c r="I20" i="3"/>
  <c r="H20" i="3"/>
  <c r="O19" i="3"/>
  <c r="N19" i="3"/>
  <c r="M19" i="3"/>
  <c r="L19" i="3"/>
  <c r="K19" i="3"/>
  <c r="J19" i="3"/>
  <c r="I19" i="3"/>
  <c r="H19" i="3"/>
  <c r="O18" i="3"/>
  <c r="N18" i="3"/>
  <c r="M18" i="3"/>
  <c r="L18" i="3"/>
  <c r="K18" i="3"/>
  <c r="J18" i="3"/>
  <c r="I18" i="3"/>
  <c r="H18" i="3"/>
  <c r="O17" i="3"/>
  <c r="N17" i="3"/>
  <c r="M17" i="3"/>
  <c r="L17" i="3"/>
  <c r="K17" i="3"/>
  <c r="J17" i="3"/>
  <c r="I17" i="3"/>
  <c r="H17" i="3"/>
  <c r="O16" i="3"/>
  <c r="N16" i="3"/>
  <c r="M16" i="3"/>
  <c r="L16" i="3"/>
  <c r="K16" i="3"/>
  <c r="J16" i="3"/>
  <c r="I16" i="3"/>
  <c r="H16" i="3"/>
  <c r="O15" i="3"/>
  <c r="N15" i="3"/>
  <c r="M15" i="3"/>
  <c r="L15" i="3"/>
  <c r="K15" i="3"/>
  <c r="J15" i="3"/>
  <c r="I15" i="3"/>
  <c r="H15" i="3"/>
  <c r="O14" i="3"/>
  <c r="N14" i="3"/>
  <c r="M14" i="3"/>
  <c r="L14" i="3"/>
  <c r="K14" i="3"/>
  <c r="J14" i="3"/>
  <c r="I14" i="3"/>
  <c r="H14" i="3"/>
  <c r="O13" i="3"/>
  <c r="N13" i="3"/>
  <c r="M13" i="3"/>
  <c r="L13" i="3"/>
  <c r="K13" i="3"/>
  <c r="J13" i="3"/>
  <c r="I13" i="3"/>
  <c r="H13" i="3"/>
  <c r="O12" i="3"/>
  <c r="N12" i="3"/>
  <c r="M12" i="3"/>
  <c r="L12" i="3"/>
  <c r="K12" i="3"/>
  <c r="J12" i="3"/>
  <c r="I12" i="3"/>
  <c r="H12" i="3"/>
  <c r="O11" i="3"/>
  <c r="N11" i="3"/>
  <c r="M11" i="3"/>
  <c r="L11" i="3"/>
  <c r="K11" i="3"/>
  <c r="J11" i="3"/>
  <c r="I11" i="3"/>
  <c r="H11" i="3"/>
  <c r="O10" i="3"/>
  <c r="N10" i="3"/>
  <c r="M10" i="3"/>
  <c r="L10" i="3"/>
  <c r="K10" i="3"/>
  <c r="J10" i="3"/>
  <c r="I10" i="3"/>
  <c r="H10" i="3"/>
  <c r="I9" i="3"/>
  <c r="L9" i="3" s="1"/>
  <c r="H9" i="3"/>
  <c r="M9" i="3" s="1"/>
  <c r="M8" i="3"/>
  <c r="H8" i="3"/>
  <c r="I8" i="3" s="1"/>
  <c r="M7" i="3"/>
  <c r="H7" i="3"/>
  <c r="I7" i="3" s="1"/>
  <c r="M6" i="3"/>
  <c r="M36" i="3" s="1"/>
  <c r="I6" i="3"/>
  <c r="H6" i="3"/>
  <c r="N8" i="3" l="1"/>
  <c r="L8" i="3"/>
  <c r="K8" i="3"/>
  <c r="J8" i="3"/>
  <c r="O8" i="3" s="1"/>
  <c r="C21" i="4" s="1"/>
  <c r="J13" i="4"/>
  <c r="L13" i="4"/>
  <c r="O7" i="3"/>
  <c r="C19" i="4" s="1"/>
  <c r="K7" i="3"/>
  <c r="N7" i="3"/>
  <c r="L7" i="3"/>
  <c r="J7" i="3"/>
  <c r="N13" i="4"/>
  <c r="D13" i="4"/>
  <c r="K8" i="4"/>
  <c r="H9" i="4"/>
  <c r="I12" i="4"/>
  <c r="I36" i="3"/>
  <c r="K6" i="3"/>
  <c r="N9" i="3"/>
  <c r="O7" i="4"/>
  <c r="L8" i="4"/>
  <c r="I9" i="4"/>
  <c r="I13" i="4" s="1"/>
  <c r="J12" i="4"/>
  <c r="G13" i="4"/>
  <c r="K12" i="4"/>
  <c r="K13" i="4" s="1"/>
  <c r="J6" i="3"/>
  <c r="D8" i="4"/>
  <c r="O8" i="4" s="1"/>
  <c r="N8" i="4"/>
  <c r="K9" i="4"/>
  <c r="L12" i="4"/>
  <c r="E8" i="4"/>
  <c r="E13" i="4" s="1"/>
  <c r="L9" i="4"/>
  <c r="C12" i="4"/>
  <c r="C13" i="4" s="1"/>
  <c r="M12" i="4"/>
  <c r="M13" i="4" s="1"/>
  <c r="L6" i="3"/>
  <c r="L36" i="3" s="1"/>
  <c r="F8" i="4"/>
  <c r="D12" i="4"/>
  <c r="N12" i="4"/>
  <c r="G8" i="4"/>
  <c r="D9" i="4"/>
  <c r="O9" i="4" s="1"/>
  <c r="N9" i="4"/>
  <c r="E12" i="4"/>
  <c r="J9" i="3"/>
  <c r="O9" i="3" s="1"/>
  <c r="C22" i="4" s="1"/>
  <c r="H8" i="4"/>
  <c r="H13" i="4" s="1"/>
  <c r="F12" i="4"/>
  <c r="F13" i="4" s="1"/>
  <c r="N6" i="3"/>
  <c r="K9" i="3"/>
  <c r="G12" i="4"/>
  <c r="O13" i="4" l="1"/>
  <c r="J36" i="3"/>
  <c r="O12" i="4"/>
  <c r="N36" i="3"/>
  <c r="K36" i="3"/>
  <c r="O6" i="3"/>
  <c r="O36" i="3" l="1"/>
  <c r="C18" i="4"/>
  <c r="C24" i="4" s="1"/>
  <c r="D20" i="4"/>
  <c r="D23" i="4"/>
  <c r="D19" i="4"/>
  <c r="D22" i="4"/>
  <c r="D18" i="4"/>
  <c r="D21" i="4"/>
  <c r="D24" i="4" l="1"/>
</calcChain>
</file>

<file path=xl/sharedStrings.xml><?xml version="1.0" encoding="utf-8"?>
<sst xmlns="http://schemas.openxmlformats.org/spreadsheetml/2006/main" count="102" uniqueCount="96">
  <si>
    <t>Budget costo del personale per Agenzia Viaggi</t>
  </si>
  <si>
    <t>Calcola il costo aziendale reale del personale e pianifica il budget mese per mese.</t>
  </si>
  <si>
    <t>Come funziona questo foglio</t>
  </si>
  <si>
    <t>1</t>
  </si>
  <si>
    <t>Imposta i parametri</t>
  </si>
  <si>
    <t>2</t>
  </si>
  <si>
    <t>Compila l'organico</t>
  </si>
  <si>
    <t>3</t>
  </si>
  <si>
    <t>Leggi il costo per persona</t>
  </si>
  <si>
    <t>Le colonne a destra di "Organico" calcolano da sole retribuzione effettiva, contributi, INAIL, TFR, buoni pasto, altri oneri e costo aziendale annuo totale.</t>
  </si>
  <si>
    <t>4</t>
  </si>
  <si>
    <t>Guarda il budget aggregato</t>
  </si>
  <si>
    <t>In "Riepilogo" trovi il costo del personale mese per mese (Gennaio-Dicembre) e il costo annuo suddiviso per reparto, calcolati automaticamente dai dati di Organico.</t>
  </si>
  <si>
    <t>Consigli pratici</t>
  </si>
  <si>
    <t>• L'aliquota INAIL dipende dalla classificazione di rischio dell'agenzia: usa il valore di Impostazioni solo come punto di partenza e verificalo con il tuo consulente del lavoro.</t>
  </si>
  <si>
    <t>• Le date di assunzione e cessazione permettono di calcolare in automatico il costo pro-rata per chi entra o esce a meta' anno.</t>
  </si>
  <si>
    <t>• Per aggiungere dipendenti oltre la trentesima riga, copia lo stile e le formule dell'ultima riga compilata: il Riepilogo si aggiorna da solo.</t>
  </si>
  <si>
    <t>• Nel Riepilogo, il totale annuo del budget mensile e la somma dei costi per reparto devono coincidere: e' un controllo rapido che i dati sono coerenti.</t>
  </si>
  <si>
    <t>• Modifica liberamente reparti, nomi e cifre: sono solo un esempio di partenza per farti vedere come si compila il foglio.</t>
  </si>
  <si>
    <t>Il costo del personale su Excel funziona. Fino a un certo punto.</t>
  </si>
  <si>
    <t>Con Jet HR stipendi, contributi e TFR finiscono dritti in busta paga, senza ricopiare nulla. Scopri come su jethr.com</t>
  </si>
  <si>
    <t>Note</t>
  </si>
  <si>
    <t>Il presente documento è fornito a solo scopo informativo e non costituisce consulenza professionale. I calcoli hanno valore indicativo e vanno verificati in base al CCNL applicato; Jet HR non assume alcuna responsabilità per l'uso del documento.</t>
  </si>
  <si>
    <t>Il template usa il font Wix Madefor (il carattere di Jet HR), gratuito su Google Fonts: fonts.google.com/specimen/Wix+Madefor+Display. Se il font non è installato, Excel applicherà automaticamente un font di sistema sostitutivo, senza compromettere il corretto funzionamento del documento.</t>
  </si>
  <si>
    <t>Impostazioni</t>
  </si>
  <si>
    <t>Le celle gialle sono gli unici valori da modificare: il resto si calcola in automatico in base a questi parametri.</t>
  </si>
  <si>
    <t>Parametri generali</t>
  </si>
  <si>
    <t>Anno di riferimento</t>
  </si>
  <si>
    <t>CCNL di riferimento</t>
  </si>
  <si>
    <t>CCNL Turismo (Confcommercio/Confesercenti): verifica il tuo contratto specifico</t>
  </si>
  <si>
    <t>Mensilita' annue (13 o 14)</t>
  </si>
  <si>
    <t>Contributi INPS a carico azienda</t>
  </si>
  <si>
    <t>Aliquota INAIL</t>
  </si>
  <si>
    <t>Aliquota TFR</t>
  </si>
  <si>
    <t>Altri oneri (formazione, welfare)</t>
  </si>
  <si>
    <t>Valore buono pasto giornaliero (EUR)</t>
  </si>
  <si>
    <t>Giorni di buono pasto al mese</t>
  </si>
  <si>
    <t>Reparti</t>
  </si>
  <si>
    <t>Booking e front office</t>
  </si>
  <si>
    <t>Back office e operativo</t>
  </si>
  <si>
    <t>Amministrazione</t>
  </si>
  <si>
    <t>Direzione</t>
  </si>
  <si>
    <t>Marketing e vendite</t>
  </si>
  <si>
    <t>Assistenza clienti</t>
  </si>
  <si>
    <t>Organico 2026</t>
  </si>
  <si>
    <t>Dipendente</t>
  </si>
  <si>
    <t>Reparto</t>
  </si>
  <si>
    <t>Data
assunzione</t>
  </si>
  <si>
    <t>Data
cessazione</t>
  </si>
  <si>
    <t>RAL (EUR)</t>
  </si>
  <si>
    <t>% PT</t>
  </si>
  <si>
    <t>Mesi
lavorati</t>
  </si>
  <si>
    <t>Retribuzione
effettiva (EUR)</t>
  </si>
  <si>
    <t>Contributi
INPS (EUR)</t>
  </si>
  <si>
    <t>INAIL
(EUR)</t>
  </si>
  <si>
    <t>TFR
(EUR)</t>
  </si>
  <si>
    <t>Buoni
pasto (EUR)</t>
  </si>
  <si>
    <t>Altri
oneri (EUR)</t>
  </si>
  <si>
    <t>Costo aziendale
annuo totale (EUR)</t>
  </si>
  <si>
    <t>Giulia Bianchi</t>
  </si>
  <si>
    <t>Marco Verdi</t>
  </si>
  <si>
    <t>Sara Neri</t>
  </si>
  <si>
    <t>Luca Rossi</t>
  </si>
  <si>
    <t>TOTALE</t>
  </si>
  <si>
    <t>Budget mensile costo del personale</t>
  </si>
  <si>
    <t>Il budget si aggiorna in automatico in base ai dati di Organico e ai parametri di Impostazioni.</t>
  </si>
  <si>
    <t>Voce di costo</t>
  </si>
  <si>
    <t>Gen</t>
  </si>
  <si>
    <t>Feb</t>
  </si>
  <si>
    <t>Mar</t>
  </si>
  <si>
    <t>Apr</t>
  </si>
  <si>
    <t>Mag</t>
  </si>
  <si>
    <t>Giu</t>
  </si>
  <si>
    <t>Lug</t>
  </si>
  <si>
    <t>Ago</t>
  </si>
  <si>
    <t>Set</t>
  </si>
  <si>
    <t>Ott</t>
  </si>
  <si>
    <t>Nov</t>
  </si>
  <si>
    <t>Dic</t>
  </si>
  <si>
    <t>Totale annuo</t>
  </si>
  <si>
    <t>Retribuzioni lorde</t>
  </si>
  <si>
    <t>Contributi INPS azienda</t>
  </si>
  <si>
    <t>INAIL</t>
  </si>
  <si>
    <t>TFR</t>
  </si>
  <si>
    <t>Buoni pasto</t>
  </si>
  <si>
    <t>Altri oneri</t>
  </si>
  <si>
    <t>TOTALE costo del personale</t>
  </si>
  <si>
    <t>Costo annuo per reparto</t>
  </si>
  <si>
    <t>Costo annuo (EUR)</t>
  </si>
  <si>
    <t>% sul totale</t>
  </si>
  <si>
    <t>In "Impostazioni" verifica anno, mensilità (13 o 14), aliquote INPS/INAIL/TFR, altri oneri e valore del buono pasto: sono tutte celle gialle da adattare al tuo CCNL.</t>
  </si>
  <si>
    <t>In "Organico" aggiungi una riga per dipendente: nome, reparto (menu a tendina), data di assunzione, data di cessazione se presente, RAL, mensilità e percentuale di part-time.</t>
  </si>
  <si>
    <t>• Il CCNL Turismo prevede spesso 14 mensilità: se il tuo contratto ne prevede 13, cambia il parametro in Impostazioni e il Riepilogo si adegua da solo.</t>
  </si>
  <si>
    <t>Compila nome, reparto, date, RAL, mensilità e % part-time (celle gialle): il costo aziendale si calcola in automatico.</t>
  </si>
  <si>
    <t>Mensilità</t>
  </si>
  <si>
    <t>Questo foglio consente di calcolare il costo aziendale reale del personale e pianificare il budget mese per mese: ogni riga di "Organico" è un dipendente, e inserendo reparto, date di assunzione, RAL e mensilità il foglio calcola in automatico contributi INPS, INAIL, TFR, buoni pasto e il costo aziendale annuo per persona. Il foglio "Riepilogo" aggrega tutto in un budget mensile Gennaio-Dicembre e in un dettaglio per reparto.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</si>
</sst>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yy"/>
    <numFmt numFmtId="165" formatCode="0.0%"/>
  </numFmts>
  <fonts count="17" x14ac:knownFonts="1">
    <font>
      <sz val="11"/>
      <color theme="1"/>
      <name val="Calibri"/>
      <family val="2"/>
      <charset val="1"/>
    </font>
    <font>
      <b/>
      <sz val="20"/>
      <color rgb="FFFFFFFF"/>
      <name val="Wix Madefor Display"/>
      <family val="2"/>
    </font>
    <font>
      <i/>
      <sz val="10"/>
      <color rgb="FF888A85"/>
      <name val="Wix Madefor Display"/>
      <family val="2"/>
    </font>
    <font>
      <b/>
      <sz val="14"/>
      <color rgb="FF11150A"/>
      <name val="Wix Madefor Display"/>
      <family val="2"/>
    </font>
    <font>
      <sz val="10"/>
      <color rgb="FF11150A"/>
      <name val="Wix Madefor Display"/>
      <family val="2"/>
    </font>
    <font>
      <b/>
      <sz val="11"/>
      <color rgb="FF11150A"/>
      <name val="Wix Madefor Display"/>
      <family val="2"/>
    </font>
    <font>
      <sz val="9.5"/>
      <color rgb="FF585B54"/>
      <name val="Wix Madefor Display"/>
      <family val="2"/>
    </font>
    <font>
      <b/>
      <sz val="10"/>
      <color rgb="FF11150A"/>
      <name val="Wix Madefor Display"/>
      <family val="2"/>
    </font>
    <font>
      <i/>
      <sz val="8"/>
      <color rgb="FF888A85"/>
      <name val="Wix Madefor Display"/>
      <family val="2"/>
    </font>
    <font>
      <b/>
      <sz val="16"/>
      <color rgb="FFFFFFFF"/>
      <name val="Wix Madefor Display"/>
      <family val="2"/>
    </font>
    <font>
      <sz val="10"/>
      <color rgb="FF1F1F1F"/>
      <name val="Wix Madefor Display"/>
      <family val="2"/>
    </font>
    <font>
      <b/>
      <sz val="9"/>
      <color rgb="FFFFFFFF"/>
      <name val="Wix Madefor Display"/>
      <family val="2"/>
    </font>
    <font>
      <sz val="10"/>
      <color rgb="FF585B54"/>
      <name val="Wix Madefor Display"/>
      <family val="2"/>
    </font>
    <font>
      <u/>
      <sz val="11"/>
      <color theme="10"/>
      <name val="Calibri"/>
      <family val="2"/>
      <charset val="1"/>
    </font>
    <font>
      <b/>
      <sz val="11"/>
      <color theme="0"/>
      <name val="Wix Madefor Display"/>
      <family val="2"/>
    </font>
    <font>
      <b/>
      <sz val="13"/>
      <color theme="0"/>
      <name val="Wix Madefor Display"/>
      <family val="2"/>
    </font>
    <font>
      <sz val="10"/>
      <color theme="0"/>
      <name val="Wix Madefor Display"/>
      <family val="2"/>
    </font>
  </fonts>
  <fills count="7">
    <fill>
      <patternFill patternType="none"/>
    </fill>
    <fill>
      <patternFill patternType="gray125"/>
    </fill>
    <fill>
      <patternFill patternType="solid">
        <fgColor rgb="FF11150A"/>
        <bgColor rgb="FF1F1F1F"/>
      </patternFill>
    </fill>
    <fill>
      <patternFill patternType="solid">
        <fgColor rgb="FFDFEB57"/>
        <bgColor rgb="FFFFCC99"/>
      </patternFill>
    </fill>
    <fill>
      <patternFill patternType="solid">
        <fgColor rgb="FFFFF9DB"/>
        <bgColor rgb="FFF4F4F3"/>
      </patternFill>
    </fill>
    <fill>
      <patternFill patternType="solid">
        <fgColor rgb="FF585B54"/>
        <bgColor rgb="FF333399"/>
      </patternFill>
    </fill>
    <fill>
      <patternFill patternType="solid">
        <fgColor rgb="FFF4F4F3"/>
        <bgColor rgb="FFFFF9DB"/>
      </patternFill>
    </fill>
  </fills>
  <borders count="2">
    <border>
      <left/>
      <right/>
      <top/>
      <bottom/>
      <diagonal/>
    </border>
    <border>
      <left style="thin">
        <color rgb="FFE7E8E7"/>
      </left>
      <right style="thin">
        <color rgb="FFE7E8E7"/>
      </right>
      <top style="thin">
        <color rgb="FFE7E8E7"/>
      </top>
      <bottom style="thin">
        <color rgb="FFE7E8E7"/>
      </bottom>
      <diagonal/>
    </border>
  </borders>
  <cellStyleXfs count="2">
    <xf numFmtId="0" fontId="0" fillId="0" borderId="0"/>
    <xf numFmtId="0" fontId="13" fillId="0" borderId="0" applyNumberFormat="0" applyFill="0" applyBorder="0" applyAlignment="0" applyProtection="0"/>
  </cellStyleXfs>
  <cellXfs count="45">
    <xf numFmtId="0" fontId="0" fillId="0" borderId="0" xfId="0"/>
    <xf numFmtId="0" fontId="7" fillId="6" borderId="1" xfId="0" applyFont="1" applyFill="1" applyBorder="1"/>
    <xf numFmtId="0" fontId="0" fillId="2" borderId="0" xfId="0" applyFill="1"/>
    <xf numFmtId="0" fontId="3" fillId="0" borderId="0" xfId="0" applyFont="1"/>
    <xf numFmtId="0" fontId="5" fillId="0" borderId="0" xfId="0" applyFont="1"/>
    <xf numFmtId="0" fontId="7" fillId="0" borderId="0" xfId="0" applyFont="1"/>
    <xf numFmtId="0" fontId="11" fillId="5" borderId="1" xfId="0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left" vertical="center"/>
    </xf>
    <xf numFmtId="164" fontId="10" fillId="4" borderId="1" xfId="0" applyNumberFormat="1" applyFont="1" applyFill="1" applyBorder="1" applyAlignment="1">
      <alignment horizontal="right" vertical="center"/>
    </xf>
    <xf numFmtId="3" fontId="10" fillId="4" borderId="1" xfId="0" applyNumberFormat="1" applyFont="1" applyFill="1" applyBorder="1" applyAlignment="1">
      <alignment horizontal="right" vertical="center"/>
    </xf>
    <xf numFmtId="1" fontId="10" fillId="4" borderId="1" xfId="0" applyNumberFormat="1" applyFont="1" applyFill="1" applyBorder="1" applyAlignment="1">
      <alignment horizontal="right" vertical="center"/>
    </xf>
    <xf numFmtId="9" fontId="10" fillId="4" borderId="1" xfId="0" applyNumberFormat="1" applyFont="1" applyFill="1" applyBorder="1" applyAlignment="1">
      <alignment horizontal="right" vertical="center"/>
    </xf>
    <xf numFmtId="1" fontId="12" fillId="0" borderId="1" xfId="0" applyNumberFormat="1" applyFont="1" applyBorder="1" applyAlignment="1">
      <alignment horizontal="right" vertical="center"/>
    </xf>
    <xf numFmtId="4" fontId="4" fillId="0" borderId="1" xfId="0" applyNumberFormat="1" applyFont="1" applyBorder="1" applyAlignment="1">
      <alignment horizontal="right" vertical="center"/>
    </xf>
    <xf numFmtId="4" fontId="7" fillId="0" borderId="1" xfId="0" applyNumberFormat="1" applyFont="1" applyBorder="1" applyAlignment="1">
      <alignment horizontal="right" vertical="center"/>
    </xf>
    <xf numFmtId="3" fontId="7" fillId="6" borderId="1" xfId="0" applyNumberFormat="1" applyFont="1" applyFill="1" applyBorder="1" applyAlignment="1">
      <alignment horizontal="right" vertical="center"/>
    </xf>
    <xf numFmtId="0" fontId="0" fillId="6" borderId="1" xfId="0" applyFill="1" applyBorder="1"/>
    <xf numFmtId="4" fontId="7" fillId="6" borderId="1" xfId="0" applyNumberFormat="1" applyFont="1" applyFill="1" applyBorder="1" applyAlignment="1">
      <alignment horizontal="right" vertical="center"/>
    </xf>
    <xf numFmtId="0" fontId="11" fillId="5" borderId="1" xfId="0" applyFont="1" applyFill="1" applyBorder="1" applyAlignment="1">
      <alignment horizontal="left" vertical="center"/>
    </xf>
    <xf numFmtId="0" fontId="11" fillId="5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3" fontId="4" fillId="0" borderId="1" xfId="0" applyNumberFormat="1" applyFont="1" applyBorder="1" applyAlignment="1">
      <alignment horizontal="right" vertical="center"/>
    </xf>
    <xf numFmtId="0" fontId="7" fillId="6" borderId="1" xfId="0" applyFont="1" applyFill="1" applyBorder="1" applyAlignment="1">
      <alignment horizontal="left" vertical="center"/>
    </xf>
    <xf numFmtId="165" fontId="4" fillId="0" borderId="1" xfId="0" applyNumberFormat="1" applyFont="1" applyBorder="1" applyAlignment="1">
      <alignment horizontal="right" vertical="center"/>
    </xf>
    <xf numFmtId="165" fontId="7" fillId="6" borderId="1" xfId="0" applyNumberFormat="1" applyFont="1" applyFill="1" applyBorder="1" applyAlignment="1">
      <alignment horizontal="right" vertical="center"/>
    </xf>
    <xf numFmtId="0" fontId="10" fillId="0" borderId="0" xfId="0" applyFont="1" applyAlignment="1">
      <alignment vertical="center"/>
    </xf>
    <xf numFmtId="1" fontId="10" fillId="4" borderId="0" xfId="0" applyNumberFormat="1" applyFont="1" applyFill="1" applyAlignment="1">
      <alignment horizontal="center" vertical="center"/>
    </xf>
    <xf numFmtId="0" fontId="10" fillId="4" borderId="0" xfId="0" applyFont="1" applyFill="1" applyAlignment="1">
      <alignment horizontal="center" wrapText="1"/>
    </xf>
    <xf numFmtId="9" fontId="10" fillId="4" borderId="0" xfId="0" applyNumberFormat="1" applyFont="1" applyFill="1" applyAlignment="1">
      <alignment horizontal="center" vertical="center"/>
    </xf>
    <xf numFmtId="10" fontId="10" fillId="4" borderId="0" xfId="0" applyNumberFormat="1" applyFont="1" applyFill="1" applyAlignment="1">
      <alignment horizontal="center" vertical="center"/>
    </xf>
    <xf numFmtId="4" fontId="10" fillId="4" borderId="0" xfId="0" applyNumberFormat="1" applyFont="1" applyFill="1" applyAlignment="1">
      <alignment horizontal="center" vertical="center"/>
    </xf>
    <xf numFmtId="0" fontId="9" fillId="2" borderId="0" xfId="0" applyFont="1" applyFill="1" applyAlignment="1">
      <alignment horizontal="left" vertical="center"/>
    </xf>
    <xf numFmtId="0" fontId="2" fillId="0" borderId="0" xfId="0" applyFont="1"/>
    <xf numFmtId="0" fontId="8" fillId="0" borderId="0" xfId="0" applyFont="1" applyAlignment="1">
      <alignment horizontal="left" vertical="top" wrapText="1"/>
    </xf>
    <xf numFmtId="0" fontId="3" fillId="3" borderId="0" xfId="0" applyFont="1" applyFill="1" applyAlignment="1">
      <alignment horizontal="center" vertical="center"/>
    </xf>
    <xf numFmtId="0" fontId="4" fillId="0" borderId="0" xfId="0" applyFont="1" applyAlignment="1">
      <alignment horizontal="left" vertical="top" wrapText="1"/>
    </xf>
    <xf numFmtId="0" fontId="15" fillId="2" borderId="0" xfId="1" applyFont="1" applyFill="1" applyAlignment="1">
      <alignment horizontal="left" vertical="center"/>
    </xf>
    <xf numFmtId="0" fontId="16" fillId="2" borderId="0" xfId="1" applyFont="1" applyFill="1" applyAlignment="1">
      <alignment horizontal="left" vertical="top" wrapText="1"/>
    </xf>
    <xf numFmtId="0" fontId="14" fillId="2" borderId="0" xfId="1" applyFont="1" applyFill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1" fillId="2" borderId="0" xfId="0" applyFont="1" applyFill="1" applyAlignment="1">
      <alignment horizontal="left" vertical="center"/>
    </xf>
    <xf numFmtId="0" fontId="10" fillId="4" borderId="0" xfId="0" applyFont="1" applyFill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7" fillId="6" borderId="1" xfId="0" applyFont="1" applyFill="1" applyBorder="1"/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8B9B6"/>
      <rgbColor rgb="FF888A85"/>
      <rgbColor rgb="FF9999FF"/>
      <rgbColor rgb="FF993366"/>
      <rgbColor rgb="FFFFF9DB"/>
      <rgbColor rgb="FFF4F4F3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E7E8E7"/>
      <rgbColor rgb="FFCCFFCC"/>
      <rgbColor rgb="FFDFEB57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85B54"/>
      <rgbColor rgb="FF969696"/>
      <rgbColor rgb="FF003366"/>
      <rgbColor rgb="FF339966"/>
      <rgbColor rgb="FF11150A"/>
      <rgbColor rgb="FF333300"/>
      <rgbColor rgb="FF993300"/>
      <rgbColor rgb="FF993366"/>
      <rgbColor rgb="FF333399"/>
      <rgbColor rgb="FF1F1F1F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jethr.com/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jethr.com/" TargetMode="Externa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jethr.com/" TargetMode="Externa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jethr.com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9360</xdr:colOff>
      <xdr:row>0</xdr:row>
      <xdr:rowOff>219240</xdr:rowOff>
    </xdr:from>
    <xdr:to>
      <xdr:col>5</xdr:col>
      <xdr:colOff>704160</xdr:colOff>
      <xdr:row>1</xdr:row>
      <xdr:rowOff>28440</xdr:rowOff>
    </xdr:to>
    <xdr:pic>
      <xdr:nvPicPr>
        <xdr:cNvPr id="2" name="Image 1" descr="Picture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8820000" y="219240"/>
          <a:ext cx="694800" cy="19008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5</xdr:col>
      <xdr:colOff>12700</xdr:colOff>
      <xdr:row>28</xdr:row>
      <xdr:rowOff>245045</xdr:rowOff>
    </xdr:from>
    <xdr:to>
      <xdr:col>5</xdr:col>
      <xdr:colOff>704520</xdr:colOff>
      <xdr:row>29</xdr:row>
      <xdr:rowOff>111695</xdr:rowOff>
    </xdr:to>
    <xdr:pic>
      <xdr:nvPicPr>
        <xdr:cNvPr id="3" name="Image 2" descr="Picture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9537700" y="7238186"/>
          <a:ext cx="691820" cy="18415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76320</xdr:colOff>
      <xdr:row>0</xdr:row>
      <xdr:rowOff>209520</xdr:rowOff>
    </xdr:from>
    <xdr:to>
      <xdr:col>7</xdr:col>
      <xdr:colOff>771120</xdr:colOff>
      <xdr:row>1</xdr:row>
      <xdr:rowOff>94680</xdr:rowOff>
    </xdr:to>
    <xdr:pic>
      <xdr:nvPicPr>
        <xdr:cNvPr id="3" name="Image 1" descr="Picture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7336440" y="209520"/>
          <a:ext cx="694800" cy="19008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343080</xdr:colOff>
      <xdr:row>0</xdr:row>
      <xdr:rowOff>209520</xdr:rowOff>
    </xdr:from>
    <xdr:to>
      <xdr:col>14</xdr:col>
      <xdr:colOff>1037880</xdr:colOff>
      <xdr:row>1</xdr:row>
      <xdr:rowOff>94680</xdr:rowOff>
    </xdr:to>
    <xdr:pic>
      <xdr:nvPicPr>
        <xdr:cNvPr id="4" name="Image 1" descr="Picture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13453200" y="209520"/>
          <a:ext cx="694800" cy="19008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142920</xdr:colOff>
      <xdr:row>0</xdr:row>
      <xdr:rowOff>209520</xdr:rowOff>
    </xdr:from>
    <xdr:to>
      <xdr:col>14</xdr:col>
      <xdr:colOff>837720</xdr:colOff>
      <xdr:row>1</xdr:row>
      <xdr:rowOff>94680</xdr:rowOff>
    </xdr:to>
    <xdr:pic>
      <xdr:nvPicPr>
        <xdr:cNvPr id="5" name="Image 1" descr="Picture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11773080" y="209520"/>
          <a:ext cx="694800" cy="19008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www.jethr.com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DFEB57"/>
    <pageSetUpPr fitToPage="1"/>
  </sheetPr>
  <dimension ref="A1:F34"/>
  <sheetViews>
    <sheetView showGridLines="0" topLeftCell="A9" zoomScale="156" zoomScaleNormal="100" workbookViewId="0">
      <selection activeCell="B7" sqref="B7:F7"/>
    </sheetView>
  </sheetViews>
  <sheetFormatPr baseColWidth="10" defaultColWidth="8.6640625" defaultRowHeight="15" x14ac:dyDescent="0.2"/>
  <cols>
    <col min="1" max="1" width="3" customWidth="1"/>
    <col min="2" max="2" width="8" customWidth="1"/>
    <col min="3" max="3" width="92" customWidth="1"/>
    <col min="4" max="6" width="11" customWidth="1"/>
  </cols>
  <sheetData>
    <row r="1" spans="1:6" ht="30" customHeight="1" x14ac:dyDescent="0.2">
      <c r="A1" s="2"/>
      <c r="B1" s="40" t="s">
        <v>0</v>
      </c>
      <c r="C1" s="40"/>
      <c r="D1" s="40"/>
      <c r="E1" s="40"/>
      <c r="F1" s="40"/>
    </row>
    <row r="2" spans="1:6" ht="19.5" customHeight="1" x14ac:dyDescent="0.2">
      <c r="A2" s="2"/>
      <c r="B2" s="40"/>
      <c r="C2" s="40"/>
      <c r="D2" s="40"/>
      <c r="E2" s="40"/>
      <c r="F2" s="40"/>
    </row>
    <row r="4" spans="1:6" x14ac:dyDescent="0.2">
      <c r="B4" s="32" t="s">
        <v>1</v>
      </c>
      <c r="C4" s="32"/>
      <c r="D4" s="32"/>
      <c r="E4" s="32"/>
      <c r="F4" s="32"/>
    </row>
    <row r="6" spans="1:6" ht="19" x14ac:dyDescent="0.25">
      <c r="B6" s="3" t="s">
        <v>2</v>
      </c>
    </row>
    <row r="7" spans="1:6" ht="48" customHeight="1" x14ac:dyDescent="0.2">
      <c r="B7" s="35" t="s">
        <v>95</v>
      </c>
      <c r="C7" s="35"/>
      <c r="D7" s="35"/>
      <c r="E7" s="35"/>
      <c r="F7" s="35"/>
    </row>
    <row r="9" spans="1:6" x14ac:dyDescent="0.2">
      <c r="B9" s="34" t="s">
        <v>3</v>
      </c>
      <c r="C9" s="4" t="s">
        <v>4</v>
      </c>
    </row>
    <row r="10" spans="1:6" x14ac:dyDescent="0.2">
      <c r="B10" s="34"/>
      <c r="C10" s="39" t="s">
        <v>90</v>
      </c>
      <c r="D10" s="39"/>
      <c r="E10" s="39"/>
      <c r="F10" s="39"/>
    </row>
    <row r="12" spans="1:6" x14ac:dyDescent="0.2">
      <c r="B12" s="34" t="s">
        <v>5</v>
      </c>
      <c r="C12" s="4" t="s">
        <v>6</v>
      </c>
    </row>
    <row r="13" spans="1:6" x14ac:dyDescent="0.2">
      <c r="B13" s="34"/>
      <c r="C13" s="39" t="s">
        <v>91</v>
      </c>
      <c r="D13" s="39"/>
      <c r="E13" s="39"/>
      <c r="F13" s="39"/>
    </row>
    <row r="15" spans="1:6" x14ac:dyDescent="0.2">
      <c r="B15" s="34" t="s">
        <v>7</v>
      </c>
      <c r="C15" s="4" t="s">
        <v>8</v>
      </c>
    </row>
    <row r="16" spans="1:6" x14ac:dyDescent="0.2">
      <c r="B16" s="34"/>
      <c r="C16" s="39" t="s">
        <v>9</v>
      </c>
      <c r="D16" s="39"/>
      <c r="E16" s="39"/>
      <c r="F16" s="39"/>
    </row>
    <row r="18" spans="1:6" x14ac:dyDescent="0.2">
      <c r="B18" s="34" t="s">
        <v>10</v>
      </c>
      <c r="C18" s="4" t="s">
        <v>11</v>
      </c>
    </row>
    <row r="19" spans="1:6" x14ac:dyDescent="0.2">
      <c r="B19" s="34"/>
      <c r="C19" s="39" t="s">
        <v>12</v>
      </c>
      <c r="D19" s="39"/>
      <c r="E19" s="39"/>
      <c r="F19" s="39"/>
    </row>
    <row r="21" spans="1:6" ht="22" customHeight="1" x14ac:dyDescent="0.25">
      <c r="B21" s="3" t="s">
        <v>13</v>
      </c>
    </row>
    <row r="22" spans="1:6" ht="27.75" customHeight="1" x14ac:dyDescent="0.2">
      <c r="B22" s="35" t="s">
        <v>92</v>
      </c>
      <c r="C22" s="35"/>
      <c r="D22" s="35"/>
      <c r="E22" s="35"/>
      <c r="F22" s="35"/>
    </row>
    <row r="23" spans="1:6" ht="27.75" customHeight="1" x14ac:dyDescent="0.2">
      <c r="B23" s="35" t="s">
        <v>14</v>
      </c>
      <c r="C23" s="35"/>
      <c r="D23" s="35"/>
      <c r="E23" s="35"/>
      <c r="F23" s="35"/>
    </row>
    <row r="24" spans="1:6" ht="27.75" customHeight="1" x14ac:dyDescent="0.2">
      <c r="B24" s="35" t="s">
        <v>15</v>
      </c>
      <c r="C24" s="35"/>
      <c r="D24" s="35"/>
      <c r="E24" s="35"/>
      <c r="F24" s="35"/>
    </row>
    <row r="25" spans="1:6" ht="27.75" customHeight="1" x14ac:dyDescent="0.2">
      <c r="B25" s="35" t="s">
        <v>16</v>
      </c>
      <c r="C25" s="35"/>
      <c r="D25" s="35"/>
      <c r="E25" s="35"/>
      <c r="F25" s="35"/>
    </row>
    <row r="26" spans="1:6" ht="27.75" customHeight="1" x14ac:dyDescent="0.2">
      <c r="B26" s="35" t="s">
        <v>17</v>
      </c>
      <c r="C26" s="35"/>
      <c r="D26" s="35"/>
      <c r="E26" s="35"/>
      <c r="F26" s="35"/>
    </row>
    <row r="27" spans="1:6" ht="27.75" customHeight="1" x14ac:dyDescent="0.2">
      <c r="B27" s="35" t="s">
        <v>18</v>
      </c>
      <c r="C27" s="35"/>
      <c r="D27" s="35"/>
      <c r="E27" s="35"/>
      <c r="F27" s="35"/>
    </row>
    <row r="29" spans="1:6" ht="25.5" customHeight="1" x14ac:dyDescent="0.2">
      <c r="A29" s="2"/>
      <c r="B29" s="36" t="s">
        <v>19</v>
      </c>
      <c r="C29" s="36"/>
      <c r="D29" s="36"/>
      <c r="E29" s="36"/>
      <c r="F29" s="36"/>
    </row>
    <row r="30" spans="1:6" ht="27" customHeight="1" x14ac:dyDescent="0.2">
      <c r="A30" s="2"/>
      <c r="B30" s="37" t="s">
        <v>20</v>
      </c>
      <c r="C30" s="38"/>
      <c r="D30" s="38"/>
      <c r="E30" s="38"/>
      <c r="F30" s="38"/>
    </row>
    <row r="32" spans="1:6" x14ac:dyDescent="0.2">
      <c r="B32" s="5" t="s">
        <v>21</v>
      </c>
    </row>
    <row r="33" spans="2:6" ht="30" customHeight="1" x14ac:dyDescent="0.2">
      <c r="B33" s="33" t="s">
        <v>22</v>
      </c>
      <c r="C33" s="33"/>
      <c r="D33" s="33"/>
      <c r="E33" s="33"/>
      <c r="F33" s="33"/>
    </row>
    <row r="34" spans="2:6" ht="30" customHeight="1" x14ac:dyDescent="0.2">
      <c r="B34" s="33" t="s">
        <v>23</v>
      </c>
      <c r="C34" s="33"/>
      <c r="D34" s="33"/>
      <c r="E34" s="33"/>
      <c r="F34" s="33"/>
    </row>
  </sheetData>
  <mergeCells count="21">
    <mergeCell ref="B1:F2"/>
    <mergeCell ref="B4:F4"/>
    <mergeCell ref="B7:F7"/>
    <mergeCell ref="C10:F10"/>
    <mergeCell ref="C13:F13"/>
    <mergeCell ref="B9:B10"/>
    <mergeCell ref="B33:F33"/>
    <mergeCell ref="B34:F34"/>
    <mergeCell ref="B18:B19"/>
    <mergeCell ref="B15:B16"/>
    <mergeCell ref="B12:B13"/>
    <mergeCell ref="B25:F25"/>
    <mergeCell ref="B26:F26"/>
    <mergeCell ref="B27:F27"/>
    <mergeCell ref="B29:F29"/>
    <mergeCell ref="B30:F30"/>
    <mergeCell ref="C16:F16"/>
    <mergeCell ref="C19:F19"/>
    <mergeCell ref="B22:F22"/>
    <mergeCell ref="B23:F23"/>
    <mergeCell ref="B24:F24"/>
  </mergeCells>
  <hyperlinks>
    <hyperlink ref="B29:F30" r:id="rId1" display="Il costo del personale su Excel funziona. Fino a un certo punto." xr:uid="{675B5F55-0367-DA4C-80B9-2A6C5F203EFB}"/>
  </hyperlinks>
  <pageMargins left="0.75" right="0.75" top="1" bottom="1" header="0.511811023622047" footer="0.511811023622047"/>
  <pageSetup fitToHeight="0" orientation="landscape" horizontalDpi="300" verticalDpi="300"/>
  <ignoredErrors>
    <ignoredError sqref="B9 B12 B15 B18" numberStoredAsText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B8B9B6"/>
    <pageSetUpPr fitToPage="1"/>
  </sheetPr>
  <dimension ref="A1:H24"/>
  <sheetViews>
    <sheetView showGridLines="0" zoomScale="144" zoomScaleNormal="100" workbookViewId="0">
      <selection activeCell="B20" sqref="B20:C20"/>
    </sheetView>
  </sheetViews>
  <sheetFormatPr baseColWidth="10" defaultColWidth="8.6640625" defaultRowHeight="15" x14ac:dyDescent="0.2"/>
  <cols>
    <col min="1" max="1" width="3" customWidth="1"/>
    <col min="2" max="2" width="32" customWidth="1"/>
    <col min="3" max="4" width="16" customWidth="1"/>
    <col min="5" max="8" width="12" customWidth="1"/>
  </cols>
  <sheetData>
    <row r="1" spans="1:8" ht="24" customHeight="1" x14ac:dyDescent="0.2">
      <c r="A1" s="2"/>
      <c r="B1" s="31" t="s">
        <v>24</v>
      </c>
      <c r="C1" s="31"/>
      <c r="D1" s="31"/>
      <c r="E1" s="31"/>
      <c r="F1" s="31"/>
      <c r="G1" s="31"/>
      <c r="H1" s="31"/>
    </row>
    <row r="2" spans="1:8" ht="24" customHeight="1" x14ac:dyDescent="0.2">
      <c r="A2" s="2"/>
      <c r="B2" s="31"/>
      <c r="C2" s="31"/>
      <c r="D2" s="31"/>
      <c r="E2" s="31"/>
      <c r="F2" s="31"/>
      <c r="G2" s="31"/>
      <c r="H2" s="31"/>
    </row>
    <row r="4" spans="1:8" x14ac:dyDescent="0.2">
      <c r="B4" s="43" t="s">
        <v>25</v>
      </c>
      <c r="C4" s="43"/>
      <c r="D4" s="43"/>
      <c r="E4" s="43"/>
      <c r="F4" s="43"/>
      <c r="G4" s="43"/>
      <c r="H4" s="43"/>
    </row>
    <row r="6" spans="1:8" ht="19" x14ac:dyDescent="0.25">
      <c r="B6" s="3" t="s">
        <v>26</v>
      </c>
    </row>
    <row r="7" spans="1:8" ht="15" customHeight="1" x14ac:dyDescent="0.2"/>
    <row r="8" spans="1:8" ht="15" customHeight="1" x14ac:dyDescent="0.2">
      <c r="B8" s="42" t="s">
        <v>27</v>
      </c>
      <c r="C8" s="42"/>
      <c r="D8" s="26">
        <v>2026</v>
      </c>
    </row>
    <row r="9" spans="1:8" ht="15" customHeight="1" x14ac:dyDescent="0.2">
      <c r="B9" s="42" t="s">
        <v>28</v>
      </c>
      <c r="C9" s="42"/>
      <c r="D9" s="27" t="s">
        <v>29</v>
      </c>
      <c r="E9" s="25"/>
      <c r="F9" s="25"/>
      <c r="G9" s="25"/>
      <c r="H9" s="25"/>
    </row>
    <row r="10" spans="1:8" ht="15" customHeight="1" x14ac:dyDescent="0.2">
      <c r="B10" s="42" t="s">
        <v>30</v>
      </c>
      <c r="C10" s="42"/>
      <c r="D10" s="26">
        <v>14</v>
      </c>
    </row>
    <row r="11" spans="1:8" ht="15" customHeight="1" x14ac:dyDescent="0.2">
      <c r="B11" s="42" t="s">
        <v>31</v>
      </c>
      <c r="C11" s="42"/>
      <c r="D11" s="28">
        <v>0.3</v>
      </c>
    </row>
    <row r="12" spans="1:8" ht="15" customHeight="1" x14ac:dyDescent="0.2">
      <c r="B12" s="42" t="s">
        <v>32</v>
      </c>
      <c r="C12" s="42"/>
      <c r="D12" s="29">
        <v>0.01</v>
      </c>
    </row>
    <row r="13" spans="1:8" ht="15" customHeight="1" x14ac:dyDescent="0.2">
      <c r="B13" s="42" t="s">
        <v>33</v>
      </c>
      <c r="C13" s="42"/>
      <c r="D13" s="29">
        <v>7.4099999999999999E-2</v>
      </c>
    </row>
    <row r="14" spans="1:8" ht="15" customHeight="1" x14ac:dyDescent="0.2">
      <c r="B14" s="42" t="s">
        <v>34</v>
      </c>
      <c r="C14" s="42"/>
      <c r="D14" s="28">
        <v>0.01</v>
      </c>
    </row>
    <row r="15" spans="1:8" ht="15" customHeight="1" x14ac:dyDescent="0.2">
      <c r="B15" s="42" t="s">
        <v>35</v>
      </c>
      <c r="C15" s="42"/>
      <c r="D15" s="30">
        <v>7</v>
      </c>
    </row>
    <row r="16" spans="1:8" ht="15" customHeight="1" x14ac:dyDescent="0.2">
      <c r="B16" s="42" t="s">
        <v>36</v>
      </c>
      <c r="C16" s="42"/>
      <c r="D16" s="26">
        <v>20</v>
      </c>
    </row>
    <row r="18" spans="2:3" ht="19" x14ac:dyDescent="0.25">
      <c r="B18" s="3" t="s">
        <v>37</v>
      </c>
    </row>
    <row r="19" spans="2:3" x14ac:dyDescent="0.2">
      <c r="B19" s="41" t="s">
        <v>38</v>
      </c>
      <c r="C19" s="41"/>
    </row>
    <row r="20" spans="2:3" x14ac:dyDescent="0.2">
      <c r="B20" s="41" t="s">
        <v>39</v>
      </c>
      <c r="C20" s="41"/>
    </row>
    <row r="21" spans="2:3" x14ac:dyDescent="0.2">
      <c r="B21" s="41" t="s">
        <v>40</v>
      </c>
      <c r="C21" s="41"/>
    </row>
    <row r="22" spans="2:3" x14ac:dyDescent="0.2">
      <c r="B22" s="41" t="s">
        <v>41</v>
      </c>
      <c r="C22" s="41"/>
    </row>
    <row r="23" spans="2:3" x14ac:dyDescent="0.2">
      <c r="B23" s="41" t="s">
        <v>42</v>
      </c>
      <c r="C23" s="41"/>
    </row>
    <row r="24" spans="2:3" x14ac:dyDescent="0.2">
      <c r="B24" s="41" t="s">
        <v>43</v>
      </c>
      <c r="C24" s="41"/>
    </row>
  </sheetData>
  <mergeCells count="17">
    <mergeCell ref="B1:H2"/>
    <mergeCell ref="B4:H4"/>
    <mergeCell ref="B8:C8"/>
    <mergeCell ref="B9:C9"/>
    <mergeCell ref="B10:C10"/>
    <mergeCell ref="B11:C11"/>
    <mergeCell ref="B12:C12"/>
    <mergeCell ref="B13:C13"/>
    <mergeCell ref="B14:C14"/>
    <mergeCell ref="B22:C22"/>
    <mergeCell ref="B23:C23"/>
    <mergeCell ref="B24:C24"/>
    <mergeCell ref="B15:C15"/>
    <mergeCell ref="B16:C16"/>
    <mergeCell ref="B19:C19"/>
    <mergeCell ref="B20:C20"/>
    <mergeCell ref="B21:C21"/>
  </mergeCells>
  <pageMargins left="0.75" right="0.75" top="1" bottom="1" header="0.511811023622047" footer="0.511811023622047"/>
  <pageSetup fitToHeight="0" orientation="landscape" horizontalDpi="300" verticalDpi="30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11150A"/>
    <pageSetUpPr fitToPage="1"/>
  </sheetPr>
  <dimension ref="A1:O36"/>
  <sheetViews>
    <sheetView showGridLines="0" zoomScale="108" zoomScaleNormal="10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D14" sqref="D14"/>
    </sheetView>
  </sheetViews>
  <sheetFormatPr baseColWidth="10" defaultColWidth="8.6640625" defaultRowHeight="15" x14ac:dyDescent="0.2"/>
  <cols>
    <col min="1" max="2" width="22" customWidth="1"/>
    <col min="3" max="5" width="13" customWidth="1"/>
    <col min="6" max="6" width="10" customWidth="1"/>
    <col min="7" max="7" width="9" customWidth="1"/>
    <col min="8" max="8" width="10" customWidth="1"/>
    <col min="9" max="9" width="15" customWidth="1"/>
    <col min="10" max="10" width="13" customWidth="1"/>
    <col min="11" max="12" width="11" customWidth="1"/>
    <col min="13" max="14" width="12" customWidth="1"/>
    <col min="15" max="15" width="16" customWidth="1"/>
  </cols>
  <sheetData>
    <row r="1" spans="1:15" ht="24" customHeight="1" x14ac:dyDescent="0.2">
      <c r="A1" s="31" t="s">
        <v>44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</row>
    <row r="2" spans="1:15" ht="24" customHeight="1" x14ac:dyDescent="0.2">
      <c r="A2" s="31"/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</row>
    <row r="3" spans="1:15" ht="18" customHeight="1" x14ac:dyDescent="0.2">
      <c r="A3" s="32" t="s">
        <v>93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</row>
    <row r="5" spans="1:15" ht="30" customHeight="1" x14ac:dyDescent="0.2">
      <c r="A5" s="6" t="s">
        <v>45</v>
      </c>
      <c r="B5" s="6" t="s">
        <v>46</v>
      </c>
      <c r="C5" s="6" t="s">
        <v>47</v>
      </c>
      <c r="D5" s="6" t="s">
        <v>48</v>
      </c>
      <c r="E5" s="6" t="s">
        <v>49</v>
      </c>
      <c r="F5" s="6" t="s">
        <v>94</v>
      </c>
      <c r="G5" s="6" t="s">
        <v>50</v>
      </c>
      <c r="H5" s="6" t="s">
        <v>51</v>
      </c>
      <c r="I5" s="6" t="s">
        <v>52</v>
      </c>
      <c r="J5" s="6" t="s">
        <v>53</v>
      </c>
      <c r="K5" s="6" t="s">
        <v>54</v>
      </c>
      <c r="L5" s="6" t="s">
        <v>55</v>
      </c>
      <c r="M5" s="6" t="s">
        <v>56</v>
      </c>
      <c r="N5" s="6" t="s">
        <v>57</v>
      </c>
      <c r="O5" s="6" t="s">
        <v>58</v>
      </c>
    </row>
    <row r="6" spans="1:15" x14ac:dyDescent="0.2">
      <c r="A6" s="7" t="s">
        <v>59</v>
      </c>
      <c r="B6" s="7" t="s">
        <v>38</v>
      </c>
      <c r="C6" s="8">
        <v>44986</v>
      </c>
      <c r="D6" s="8"/>
      <c r="E6" s="9">
        <v>26000</v>
      </c>
      <c r="F6" s="10">
        <v>14</v>
      </c>
      <c r="G6" s="11">
        <v>1</v>
      </c>
      <c r="H6" s="12">
        <f t="shared" ref="H6:H35" si="0">IF(A6="","",MAX(0,MIN(12,ROUND((MIN(DATE(AnnoSel,12,31),IF(D6="",DATE(AnnoSel,12,31),D6))-MAX(DATE(AnnoSel,1,1),C6)+1)/30.44,0))))</f>
        <v>12</v>
      </c>
      <c r="I6" s="13">
        <f t="shared" ref="I6:I35" si="1">IF(A6="","",E6*(H6/12)*G6)</f>
        <v>26000</v>
      </c>
      <c r="J6" s="13">
        <f t="shared" ref="J6:J35" si="2">IF(A6="","",I6*AliquotaINPS)</f>
        <v>7800</v>
      </c>
      <c r="K6" s="13">
        <f t="shared" ref="K6:K35" si="3">IF(A6="","",I6*AliquotaINAIL)</f>
        <v>260</v>
      </c>
      <c r="L6" s="13">
        <f t="shared" ref="L6:L35" si="4">IF(A6="","",I6*AliquotaTFR)</f>
        <v>1926.6</v>
      </c>
      <c r="M6" s="13">
        <f t="shared" ref="M6:M35" si="5">IF(A6="","",GiorniBuonoMese*BuonoPastoValore*H6*G6)</f>
        <v>1680</v>
      </c>
      <c r="N6" s="13">
        <f t="shared" ref="N6:N35" si="6">IF(A6="","",I6*AltriOneriPct)</f>
        <v>260</v>
      </c>
      <c r="O6" s="14">
        <f t="shared" ref="O6:O35" si="7">IF(A6="","",SUM(I6:N6))</f>
        <v>37926.6</v>
      </c>
    </row>
    <row r="7" spans="1:15" x14ac:dyDescent="0.2">
      <c r="A7" s="7" t="s">
        <v>60</v>
      </c>
      <c r="B7" s="7" t="s">
        <v>39</v>
      </c>
      <c r="C7" s="8">
        <v>44362</v>
      </c>
      <c r="D7" s="8"/>
      <c r="E7" s="9">
        <v>24000</v>
      </c>
      <c r="F7" s="10">
        <v>14</v>
      </c>
      <c r="G7" s="11">
        <v>1</v>
      </c>
      <c r="H7" s="12">
        <f t="shared" si="0"/>
        <v>12</v>
      </c>
      <c r="I7" s="13">
        <f t="shared" si="1"/>
        <v>24000</v>
      </c>
      <c r="J7" s="13">
        <f t="shared" si="2"/>
        <v>7200</v>
      </c>
      <c r="K7" s="13">
        <f t="shared" si="3"/>
        <v>240</v>
      </c>
      <c r="L7" s="13">
        <f t="shared" si="4"/>
        <v>1778.4</v>
      </c>
      <c r="M7" s="13">
        <f t="shared" si="5"/>
        <v>1680</v>
      </c>
      <c r="N7" s="13">
        <f t="shared" si="6"/>
        <v>240</v>
      </c>
      <c r="O7" s="14">
        <f t="shared" si="7"/>
        <v>35138.400000000001</v>
      </c>
    </row>
    <row r="8" spans="1:15" x14ac:dyDescent="0.2">
      <c r="A8" s="7" t="s">
        <v>61</v>
      </c>
      <c r="B8" s="7" t="s">
        <v>41</v>
      </c>
      <c r="C8" s="8">
        <v>43475</v>
      </c>
      <c r="D8" s="8"/>
      <c r="E8" s="9">
        <v>42000</v>
      </c>
      <c r="F8" s="10">
        <v>14</v>
      </c>
      <c r="G8" s="11">
        <v>1</v>
      </c>
      <c r="H8" s="12">
        <f t="shared" si="0"/>
        <v>12</v>
      </c>
      <c r="I8" s="13">
        <f t="shared" si="1"/>
        <v>42000</v>
      </c>
      <c r="J8" s="13">
        <f t="shared" si="2"/>
        <v>12600</v>
      </c>
      <c r="K8" s="13">
        <f t="shared" si="3"/>
        <v>420</v>
      </c>
      <c r="L8" s="13">
        <f t="shared" si="4"/>
        <v>3112.2</v>
      </c>
      <c r="M8" s="13">
        <f t="shared" si="5"/>
        <v>1680</v>
      </c>
      <c r="N8" s="13">
        <f t="shared" si="6"/>
        <v>420</v>
      </c>
      <c r="O8" s="14">
        <f t="shared" si="7"/>
        <v>60232.2</v>
      </c>
    </row>
    <row r="9" spans="1:15" x14ac:dyDescent="0.2">
      <c r="A9" s="7" t="s">
        <v>62</v>
      </c>
      <c r="B9" s="7" t="s">
        <v>42</v>
      </c>
      <c r="C9" s="8">
        <v>46113</v>
      </c>
      <c r="D9" s="8"/>
      <c r="E9" s="9">
        <v>27000</v>
      </c>
      <c r="F9" s="10">
        <v>14</v>
      </c>
      <c r="G9" s="11">
        <v>0.8</v>
      </c>
      <c r="H9" s="12">
        <f t="shared" si="0"/>
        <v>9</v>
      </c>
      <c r="I9" s="13">
        <f t="shared" si="1"/>
        <v>16200</v>
      </c>
      <c r="J9" s="13">
        <f t="shared" si="2"/>
        <v>4860</v>
      </c>
      <c r="K9" s="13">
        <f t="shared" si="3"/>
        <v>162</v>
      </c>
      <c r="L9" s="13">
        <f t="shared" si="4"/>
        <v>1200.42</v>
      </c>
      <c r="M9" s="13">
        <f t="shared" si="5"/>
        <v>1008</v>
      </c>
      <c r="N9" s="13">
        <f t="shared" si="6"/>
        <v>162</v>
      </c>
      <c r="O9" s="14">
        <f t="shared" si="7"/>
        <v>23592.42</v>
      </c>
    </row>
    <row r="10" spans="1:15" x14ac:dyDescent="0.2">
      <c r="A10" s="7"/>
      <c r="B10" s="7"/>
      <c r="C10" s="8"/>
      <c r="D10" s="8"/>
      <c r="E10" s="9"/>
      <c r="F10" s="10">
        <v>14</v>
      </c>
      <c r="G10" s="11">
        <v>1</v>
      </c>
      <c r="H10" s="12" t="str">
        <f t="shared" si="0"/>
        <v/>
      </c>
      <c r="I10" s="13" t="str">
        <f t="shared" si="1"/>
        <v/>
      </c>
      <c r="J10" s="13" t="str">
        <f t="shared" si="2"/>
        <v/>
      </c>
      <c r="K10" s="13" t="str">
        <f t="shared" si="3"/>
        <v/>
      </c>
      <c r="L10" s="13" t="str">
        <f t="shared" si="4"/>
        <v/>
      </c>
      <c r="M10" s="13" t="str">
        <f t="shared" si="5"/>
        <v/>
      </c>
      <c r="N10" s="13" t="str">
        <f t="shared" si="6"/>
        <v/>
      </c>
      <c r="O10" s="14" t="str">
        <f t="shared" si="7"/>
        <v/>
      </c>
    </row>
    <row r="11" spans="1:15" x14ac:dyDescent="0.2">
      <c r="A11" s="7"/>
      <c r="B11" s="7"/>
      <c r="C11" s="8"/>
      <c r="D11" s="8"/>
      <c r="E11" s="9"/>
      <c r="F11" s="10">
        <v>14</v>
      </c>
      <c r="G11" s="11">
        <v>1</v>
      </c>
      <c r="H11" s="12" t="str">
        <f t="shared" si="0"/>
        <v/>
      </c>
      <c r="I11" s="13" t="str">
        <f t="shared" si="1"/>
        <v/>
      </c>
      <c r="J11" s="13" t="str">
        <f t="shared" si="2"/>
        <v/>
      </c>
      <c r="K11" s="13" t="str">
        <f t="shared" si="3"/>
        <v/>
      </c>
      <c r="L11" s="13" t="str">
        <f t="shared" si="4"/>
        <v/>
      </c>
      <c r="M11" s="13" t="str">
        <f t="shared" si="5"/>
        <v/>
      </c>
      <c r="N11" s="13" t="str">
        <f t="shared" si="6"/>
        <v/>
      </c>
      <c r="O11" s="14" t="str">
        <f t="shared" si="7"/>
        <v/>
      </c>
    </row>
    <row r="12" spans="1:15" x14ac:dyDescent="0.2">
      <c r="A12" s="7"/>
      <c r="B12" s="7"/>
      <c r="C12" s="8"/>
      <c r="D12" s="8"/>
      <c r="E12" s="9"/>
      <c r="F12" s="10">
        <v>14</v>
      </c>
      <c r="G12" s="11">
        <v>1</v>
      </c>
      <c r="H12" s="12" t="str">
        <f t="shared" si="0"/>
        <v/>
      </c>
      <c r="I12" s="13" t="str">
        <f t="shared" si="1"/>
        <v/>
      </c>
      <c r="J12" s="13" t="str">
        <f t="shared" si="2"/>
        <v/>
      </c>
      <c r="K12" s="13" t="str">
        <f t="shared" si="3"/>
        <v/>
      </c>
      <c r="L12" s="13" t="str">
        <f t="shared" si="4"/>
        <v/>
      </c>
      <c r="M12" s="13" t="str">
        <f t="shared" si="5"/>
        <v/>
      </c>
      <c r="N12" s="13" t="str">
        <f t="shared" si="6"/>
        <v/>
      </c>
      <c r="O12" s="14" t="str">
        <f t="shared" si="7"/>
        <v/>
      </c>
    </row>
    <row r="13" spans="1:15" x14ac:dyDescent="0.2">
      <c r="A13" s="7"/>
      <c r="B13" s="7"/>
      <c r="C13" s="8"/>
      <c r="D13" s="8"/>
      <c r="E13" s="9"/>
      <c r="F13" s="10">
        <v>14</v>
      </c>
      <c r="G13" s="11">
        <v>1</v>
      </c>
      <c r="H13" s="12" t="str">
        <f t="shared" si="0"/>
        <v/>
      </c>
      <c r="I13" s="13" t="str">
        <f t="shared" si="1"/>
        <v/>
      </c>
      <c r="J13" s="13" t="str">
        <f t="shared" si="2"/>
        <v/>
      </c>
      <c r="K13" s="13" t="str">
        <f t="shared" si="3"/>
        <v/>
      </c>
      <c r="L13" s="13" t="str">
        <f t="shared" si="4"/>
        <v/>
      </c>
      <c r="M13" s="13" t="str">
        <f t="shared" si="5"/>
        <v/>
      </c>
      <c r="N13" s="13" t="str">
        <f t="shared" si="6"/>
        <v/>
      </c>
      <c r="O13" s="14" t="str">
        <f t="shared" si="7"/>
        <v/>
      </c>
    </row>
    <row r="14" spans="1:15" x14ac:dyDescent="0.2">
      <c r="A14" s="7"/>
      <c r="B14" s="7"/>
      <c r="C14" s="8"/>
      <c r="D14" s="8"/>
      <c r="E14" s="9"/>
      <c r="F14" s="10">
        <v>14</v>
      </c>
      <c r="G14" s="11">
        <v>1</v>
      </c>
      <c r="H14" s="12" t="str">
        <f t="shared" si="0"/>
        <v/>
      </c>
      <c r="I14" s="13" t="str">
        <f t="shared" si="1"/>
        <v/>
      </c>
      <c r="J14" s="13" t="str">
        <f t="shared" si="2"/>
        <v/>
      </c>
      <c r="K14" s="13" t="str">
        <f t="shared" si="3"/>
        <v/>
      </c>
      <c r="L14" s="13" t="str">
        <f t="shared" si="4"/>
        <v/>
      </c>
      <c r="M14" s="13" t="str">
        <f t="shared" si="5"/>
        <v/>
      </c>
      <c r="N14" s="13" t="str">
        <f t="shared" si="6"/>
        <v/>
      </c>
      <c r="O14" s="14" t="str">
        <f t="shared" si="7"/>
        <v/>
      </c>
    </row>
    <row r="15" spans="1:15" x14ac:dyDescent="0.2">
      <c r="A15" s="7"/>
      <c r="B15" s="7"/>
      <c r="C15" s="8"/>
      <c r="D15" s="8"/>
      <c r="E15" s="9"/>
      <c r="F15" s="10">
        <v>14</v>
      </c>
      <c r="G15" s="11">
        <v>1</v>
      </c>
      <c r="H15" s="12" t="str">
        <f t="shared" si="0"/>
        <v/>
      </c>
      <c r="I15" s="13" t="str">
        <f t="shared" si="1"/>
        <v/>
      </c>
      <c r="J15" s="13" t="str">
        <f t="shared" si="2"/>
        <v/>
      </c>
      <c r="K15" s="13" t="str">
        <f t="shared" si="3"/>
        <v/>
      </c>
      <c r="L15" s="13" t="str">
        <f t="shared" si="4"/>
        <v/>
      </c>
      <c r="M15" s="13" t="str">
        <f t="shared" si="5"/>
        <v/>
      </c>
      <c r="N15" s="13" t="str">
        <f t="shared" si="6"/>
        <v/>
      </c>
      <c r="O15" s="14" t="str">
        <f t="shared" si="7"/>
        <v/>
      </c>
    </row>
    <row r="16" spans="1:15" x14ac:dyDescent="0.2">
      <c r="A16" s="7"/>
      <c r="B16" s="7"/>
      <c r="C16" s="8"/>
      <c r="D16" s="8"/>
      <c r="E16" s="9"/>
      <c r="F16" s="10">
        <v>14</v>
      </c>
      <c r="G16" s="11">
        <v>1</v>
      </c>
      <c r="H16" s="12" t="str">
        <f t="shared" si="0"/>
        <v/>
      </c>
      <c r="I16" s="13" t="str">
        <f t="shared" si="1"/>
        <v/>
      </c>
      <c r="J16" s="13" t="str">
        <f t="shared" si="2"/>
        <v/>
      </c>
      <c r="K16" s="13" t="str">
        <f t="shared" si="3"/>
        <v/>
      </c>
      <c r="L16" s="13" t="str">
        <f t="shared" si="4"/>
        <v/>
      </c>
      <c r="M16" s="13" t="str">
        <f t="shared" si="5"/>
        <v/>
      </c>
      <c r="N16" s="13" t="str">
        <f t="shared" si="6"/>
        <v/>
      </c>
      <c r="O16" s="14" t="str">
        <f t="shared" si="7"/>
        <v/>
      </c>
    </row>
    <row r="17" spans="1:15" x14ac:dyDescent="0.2">
      <c r="A17" s="7"/>
      <c r="B17" s="7"/>
      <c r="C17" s="8"/>
      <c r="D17" s="8"/>
      <c r="E17" s="9"/>
      <c r="F17" s="10">
        <v>14</v>
      </c>
      <c r="G17" s="11">
        <v>1</v>
      </c>
      <c r="H17" s="12" t="str">
        <f t="shared" si="0"/>
        <v/>
      </c>
      <c r="I17" s="13" t="str">
        <f t="shared" si="1"/>
        <v/>
      </c>
      <c r="J17" s="13" t="str">
        <f t="shared" si="2"/>
        <v/>
      </c>
      <c r="K17" s="13" t="str">
        <f t="shared" si="3"/>
        <v/>
      </c>
      <c r="L17" s="13" t="str">
        <f t="shared" si="4"/>
        <v/>
      </c>
      <c r="M17" s="13" t="str">
        <f t="shared" si="5"/>
        <v/>
      </c>
      <c r="N17" s="13" t="str">
        <f t="shared" si="6"/>
        <v/>
      </c>
      <c r="O17" s="14" t="str">
        <f t="shared" si="7"/>
        <v/>
      </c>
    </row>
    <row r="18" spans="1:15" x14ac:dyDescent="0.2">
      <c r="A18" s="7"/>
      <c r="B18" s="7"/>
      <c r="C18" s="8"/>
      <c r="D18" s="8"/>
      <c r="E18" s="9"/>
      <c r="F18" s="10">
        <v>14</v>
      </c>
      <c r="G18" s="11">
        <v>1</v>
      </c>
      <c r="H18" s="12" t="str">
        <f t="shared" si="0"/>
        <v/>
      </c>
      <c r="I18" s="13" t="str">
        <f t="shared" si="1"/>
        <v/>
      </c>
      <c r="J18" s="13" t="str">
        <f t="shared" si="2"/>
        <v/>
      </c>
      <c r="K18" s="13" t="str">
        <f t="shared" si="3"/>
        <v/>
      </c>
      <c r="L18" s="13" t="str">
        <f t="shared" si="4"/>
        <v/>
      </c>
      <c r="M18" s="13" t="str">
        <f t="shared" si="5"/>
        <v/>
      </c>
      <c r="N18" s="13" t="str">
        <f t="shared" si="6"/>
        <v/>
      </c>
      <c r="O18" s="14" t="str">
        <f t="shared" si="7"/>
        <v/>
      </c>
    </row>
    <row r="19" spans="1:15" x14ac:dyDescent="0.2">
      <c r="A19" s="7"/>
      <c r="B19" s="7"/>
      <c r="C19" s="8"/>
      <c r="D19" s="8"/>
      <c r="E19" s="9"/>
      <c r="F19" s="10">
        <v>14</v>
      </c>
      <c r="G19" s="11">
        <v>1</v>
      </c>
      <c r="H19" s="12" t="str">
        <f t="shared" si="0"/>
        <v/>
      </c>
      <c r="I19" s="13" t="str">
        <f t="shared" si="1"/>
        <v/>
      </c>
      <c r="J19" s="13" t="str">
        <f t="shared" si="2"/>
        <v/>
      </c>
      <c r="K19" s="13" t="str">
        <f t="shared" si="3"/>
        <v/>
      </c>
      <c r="L19" s="13" t="str">
        <f t="shared" si="4"/>
        <v/>
      </c>
      <c r="M19" s="13" t="str">
        <f t="shared" si="5"/>
        <v/>
      </c>
      <c r="N19" s="13" t="str">
        <f t="shared" si="6"/>
        <v/>
      </c>
      <c r="O19" s="14" t="str">
        <f t="shared" si="7"/>
        <v/>
      </c>
    </row>
    <row r="20" spans="1:15" x14ac:dyDescent="0.2">
      <c r="A20" s="7"/>
      <c r="B20" s="7"/>
      <c r="C20" s="8"/>
      <c r="D20" s="8"/>
      <c r="E20" s="9"/>
      <c r="F20" s="10">
        <v>14</v>
      </c>
      <c r="G20" s="11">
        <v>1</v>
      </c>
      <c r="H20" s="12" t="str">
        <f t="shared" si="0"/>
        <v/>
      </c>
      <c r="I20" s="13" t="str">
        <f t="shared" si="1"/>
        <v/>
      </c>
      <c r="J20" s="13" t="str">
        <f t="shared" si="2"/>
        <v/>
      </c>
      <c r="K20" s="13" t="str">
        <f t="shared" si="3"/>
        <v/>
      </c>
      <c r="L20" s="13" t="str">
        <f t="shared" si="4"/>
        <v/>
      </c>
      <c r="M20" s="13" t="str">
        <f t="shared" si="5"/>
        <v/>
      </c>
      <c r="N20" s="13" t="str">
        <f t="shared" si="6"/>
        <v/>
      </c>
      <c r="O20" s="14" t="str">
        <f t="shared" si="7"/>
        <v/>
      </c>
    </row>
    <row r="21" spans="1:15" x14ac:dyDescent="0.2">
      <c r="A21" s="7"/>
      <c r="B21" s="7"/>
      <c r="C21" s="8"/>
      <c r="D21" s="8"/>
      <c r="E21" s="9"/>
      <c r="F21" s="10">
        <v>14</v>
      </c>
      <c r="G21" s="11">
        <v>1</v>
      </c>
      <c r="H21" s="12" t="str">
        <f t="shared" si="0"/>
        <v/>
      </c>
      <c r="I21" s="13" t="str">
        <f t="shared" si="1"/>
        <v/>
      </c>
      <c r="J21" s="13" t="str">
        <f t="shared" si="2"/>
        <v/>
      </c>
      <c r="K21" s="13" t="str">
        <f t="shared" si="3"/>
        <v/>
      </c>
      <c r="L21" s="13" t="str">
        <f t="shared" si="4"/>
        <v/>
      </c>
      <c r="M21" s="13" t="str">
        <f t="shared" si="5"/>
        <v/>
      </c>
      <c r="N21" s="13" t="str">
        <f t="shared" si="6"/>
        <v/>
      </c>
      <c r="O21" s="14" t="str">
        <f t="shared" si="7"/>
        <v/>
      </c>
    </row>
    <row r="22" spans="1:15" x14ac:dyDescent="0.2">
      <c r="A22" s="7"/>
      <c r="B22" s="7"/>
      <c r="C22" s="8"/>
      <c r="D22" s="8"/>
      <c r="E22" s="9"/>
      <c r="F22" s="10">
        <v>14</v>
      </c>
      <c r="G22" s="11">
        <v>1</v>
      </c>
      <c r="H22" s="12" t="str">
        <f t="shared" si="0"/>
        <v/>
      </c>
      <c r="I22" s="13" t="str">
        <f t="shared" si="1"/>
        <v/>
      </c>
      <c r="J22" s="13" t="str">
        <f t="shared" si="2"/>
        <v/>
      </c>
      <c r="K22" s="13" t="str">
        <f t="shared" si="3"/>
        <v/>
      </c>
      <c r="L22" s="13" t="str">
        <f t="shared" si="4"/>
        <v/>
      </c>
      <c r="M22" s="13" t="str">
        <f t="shared" si="5"/>
        <v/>
      </c>
      <c r="N22" s="13" t="str">
        <f t="shared" si="6"/>
        <v/>
      </c>
      <c r="O22" s="14" t="str">
        <f t="shared" si="7"/>
        <v/>
      </c>
    </row>
    <row r="23" spans="1:15" x14ac:dyDescent="0.2">
      <c r="A23" s="7"/>
      <c r="B23" s="7"/>
      <c r="C23" s="8"/>
      <c r="D23" s="8"/>
      <c r="E23" s="9"/>
      <c r="F23" s="10">
        <v>14</v>
      </c>
      <c r="G23" s="11">
        <v>1</v>
      </c>
      <c r="H23" s="12" t="str">
        <f t="shared" si="0"/>
        <v/>
      </c>
      <c r="I23" s="13" t="str">
        <f t="shared" si="1"/>
        <v/>
      </c>
      <c r="J23" s="13" t="str">
        <f t="shared" si="2"/>
        <v/>
      </c>
      <c r="K23" s="13" t="str">
        <f t="shared" si="3"/>
        <v/>
      </c>
      <c r="L23" s="13" t="str">
        <f t="shared" si="4"/>
        <v/>
      </c>
      <c r="M23" s="13" t="str">
        <f t="shared" si="5"/>
        <v/>
      </c>
      <c r="N23" s="13" t="str">
        <f t="shared" si="6"/>
        <v/>
      </c>
      <c r="O23" s="14" t="str">
        <f t="shared" si="7"/>
        <v/>
      </c>
    </row>
    <row r="24" spans="1:15" x14ac:dyDescent="0.2">
      <c r="A24" s="7"/>
      <c r="B24" s="7"/>
      <c r="C24" s="8"/>
      <c r="D24" s="8"/>
      <c r="E24" s="9"/>
      <c r="F24" s="10">
        <v>14</v>
      </c>
      <c r="G24" s="11">
        <v>1</v>
      </c>
      <c r="H24" s="12" t="str">
        <f t="shared" si="0"/>
        <v/>
      </c>
      <c r="I24" s="13" t="str">
        <f t="shared" si="1"/>
        <v/>
      </c>
      <c r="J24" s="13" t="str">
        <f t="shared" si="2"/>
        <v/>
      </c>
      <c r="K24" s="13" t="str">
        <f t="shared" si="3"/>
        <v/>
      </c>
      <c r="L24" s="13" t="str">
        <f t="shared" si="4"/>
        <v/>
      </c>
      <c r="M24" s="13" t="str">
        <f t="shared" si="5"/>
        <v/>
      </c>
      <c r="N24" s="13" t="str">
        <f t="shared" si="6"/>
        <v/>
      </c>
      <c r="O24" s="14" t="str">
        <f t="shared" si="7"/>
        <v/>
      </c>
    </row>
    <row r="25" spans="1:15" x14ac:dyDescent="0.2">
      <c r="A25" s="7"/>
      <c r="B25" s="7"/>
      <c r="C25" s="8"/>
      <c r="D25" s="8"/>
      <c r="E25" s="9"/>
      <c r="F25" s="10">
        <v>14</v>
      </c>
      <c r="G25" s="11">
        <v>1</v>
      </c>
      <c r="H25" s="12" t="str">
        <f t="shared" si="0"/>
        <v/>
      </c>
      <c r="I25" s="13" t="str">
        <f t="shared" si="1"/>
        <v/>
      </c>
      <c r="J25" s="13" t="str">
        <f t="shared" si="2"/>
        <v/>
      </c>
      <c r="K25" s="13" t="str">
        <f t="shared" si="3"/>
        <v/>
      </c>
      <c r="L25" s="13" t="str">
        <f t="shared" si="4"/>
        <v/>
      </c>
      <c r="M25" s="13" t="str">
        <f t="shared" si="5"/>
        <v/>
      </c>
      <c r="N25" s="13" t="str">
        <f t="shared" si="6"/>
        <v/>
      </c>
      <c r="O25" s="14" t="str">
        <f t="shared" si="7"/>
        <v/>
      </c>
    </row>
    <row r="26" spans="1:15" x14ac:dyDescent="0.2">
      <c r="A26" s="7"/>
      <c r="B26" s="7"/>
      <c r="C26" s="8"/>
      <c r="D26" s="8"/>
      <c r="E26" s="9"/>
      <c r="F26" s="10">
        <v>14</v>
      </c>
      <c r="G26" s="11">
        <v>1</v>
      </c>
      <c r="H26" s="12" t="str">
        <f t="shared" si="0"/>
        <v/>
      </c>
      <c r="I26" s="13" t="str">
        <f t="shared" si="1"/>
        <v/>
      </c>
      <c r="J26" s="13" t="str">
        <f t="shared" si="2"/>
        <v/>
      </c>
      <c r="K26" s="13" t="str">
        <f t="shared" si="3"/>
        <v/>
      </c>
      <c r="L26" s="13" t="str">
        <f t="shared" si="4"/>
        <v/>
      </c>
      <c r="M26" s="13" t="str">
        <f t="shared" si="5"/>
        <v/>
      </c>
      <c r="N26" s="13" t="str">
        <f t="shared" si="6"/>
        <v/>
      </c>
      <c r="O26" s="14" t="str">
        <f t="shared" si="7"/>
        <v/>
      </c>
    </row>
    <row r="27" spans="1:15" x14ac:dyDescent="0.2">
      <c r="A27" s="7"/>
      <c r="B27" s="7"/>
      <c r="C27" s="8"/>
      <c r="D27" s="8"/>
      <c r="E27" s="9"/>
      <c r="F27" s="10">
        <v>14</v>
      </c>
      <c r="G27" s="11">
        <v>1</v>
      </c>
      <c r="H27" s="12" t="str">
        <f t="shared" si="0"/>
        <v/>
      </c>
      <c r="I27" s="13" t="str">
        <f t="shared" si="1"/>
        <v/>
      </c>
      <c r="J27" s="13" t="str">
        <f t="shared" si="2"/>
        <v/>
      </c>
      <c r="K27" s="13" t="str">
        <f t="shared" si="3"/>
        <v/>
      </c>
      <c r="L27" s="13" t="str">
        <f t="shared" si="4"/>
        <v/>
      </c>
      <c r="M27" s="13" t="str">
        <f t="shared" si="5"/>
        <v/>
      </c>
      <c r="N27" s="13" t="str">
        <f t="shared" si="6"/>
        <v/>
      </c>
      <c r="O27" s="14" t="str">
        <f t="shared" si="7"/>
        <v/>
      </c>
    </row>
    <row r="28" spans="1:15" x14ac:dyDescent="0.2">
      <c r="A28" s="7"/>
      <c r="B28" s="7"/>
      <c r="C28" s="8"/>
      <c r="D28" s="8"/>
      <c r="E28" s="9"/>
      <c r="F28" s="10">
        <v>14</v>
      </c>
      <c r="G28" s="11">
        <v>1</v>
      </c>
      <c r="H28" s="12" t="str">
        <f t="shared" si="0"/>
        <v/>
      </c>
      <c r="I28" s="13" t="str">
        <f t="shared" si="1"/>
        <v/>
      </c>
      <c r="J28" s="13" t="str">
        <f t="shared" si="2"/>
        <v/>
      </c>
      <c r="K28" s="13" t="str">
        <f t="shared" si="3"/>
        <v/>
      </c>
      <c r="L28" s="13" t="str">
        <f t="shared" si="4"/>
        <v/>
      </c>
      <c r="M28" s="13" t="str">
        <f t="shared" si="5"/>
        <v/>
      </c>
      <c r="N28" s="13" t="str">
        <f t="shared" si="6"/>
        <v/>
      </c>
      <c r="O28" s="14" t="str">
        <f t="shared" si="7"/>
        <v/>
      </c>
    </row>
    <row r="29" spans="1:15" x14ac:dyDescent="0.2">
      <c r="A29" s="7"/>
      <c r="B29" s="7"/>
      <c r="C29" s="8"/>
      <c r="D29" s="8"/>
      <c r="E29" s="9"/>
      <c r="F29" s="10">
        <v>14</v>
      </c>
      <c r="G29" s="11">
        <v>1</v>
      </c>
      <c r="H29" s="12" t="str">
        <f t="shared" si="0"/>
        <v/>
      </c>
      <c r="I29" s="13" t="str">
        <f t="shared" si="1"/>
        <v/>
      </c>
      <c r="J29" s="13" t="str">
        <f t="shared" si="2"/>
        <v/>
      </c>
      <c r="K29" s="13" t="str">
        <f t="shared" si="3"/>
        <v/>
      </c>
      <c r="L29" s="13" t="str">
        <f t="shared" si="4"/>
        <v/>
      </c>
      <c r="M29" s="13" t="str">
        <f t="shared" si="5"/>
        <v/>
      </c>
      <c r="N29" s="13" t="str">
        <f t="shared" si="6"/>
        <v/>
      </c>
      <c r="O29" s="14" t="str">
        <f t="shared" si="7"/>
        <v/>
      </c>
    </row>
    <row r="30" spans="1:15" x14ac:dyDescent="0.2">
      <c r="A30" s="7"/>
      <c r="B30" s="7"/>
      <c r="C30" s="8"/>
      <c r="D30" s="8"/>
      <c r="E30" s="9"/>
      <c r="F30" s="10">
        <v>14</v>
      </c>
      <c r="G30" s="11">
        <v>1</v>
      </c>
      <c r="H30" s="12" t="str">
        <f t="shared" si="0"/>
        <v/>
      </c>
      <c r="I30" s="13" t="str">
        <f t="shared" si="1"/>
        <v/>
      </c>
      <c r="J30" s="13" t="str">
        <f t="shared" si="2"/>
        <v/>
      </c>
      <c r="K30" s="13" t="str">
        <f t="shared" si="3"/>
        <v/>
      </c>
      <c r="L30" s="13" t="str">
        <f t="shared" si="4"/>
        <v/>
      </c>
      <c r="M30" s="13" t="str">
        <f t="shared" si="5"/>
        <v/>
      </c>
      <c r="N30" s="13" t="str">
        <f t="shared" si="6"/>
        <v/>
      </c>
      <c r="O30" s="14" t="str">
        <f t="shared" si="7"/>
        <v/>
      </c>
    </row>
    <row r="31" spans="1:15" x14ac:dyDescent="0.2">
      <c r="A31" s="7"/>
      <c r="B31" s="7"/>
      <c r="C31" s="8"/>
      <c r="D31" s="8"/>
      <c r="E31" s="9"/>
      <c r="F31" s="10">
        <v>14</v>
      </c>
      <c r="G31" s="11">
        <v>1</v>
      </c>
      <c r="H31" s="12" t="str">
        <f t="shared" si="0"/>
        <v/>
      </c>
      <c r="I31" s="13" t="str">
        <f t="shared" si="1"/>
        <v/>
      </c>
      <c r="J31" s="13" t="str">
        <f t="shared" si="2"/>
        <v/>
      </c>
      <c r="K31" s="13" t="str">
        <f t="shared" si="3"/>
        <v/>
      </c>
      <c r="L31" s="13" t="str">
        <f t="shared" si="4"/>
        <v/>
      </c>
      <c r="M31" s="13" t="str">
        <f t="shared" si="5"/>
        <v/>
      </c>
      <c r="N31" s="13" t="str">
        <f t="shared" si="6"/>
        <v/>
      </c>
      <c r="O31" s="14" t="str">
        <f t="shared" si="7"/>
        <v/>
      </c>
    </row>
    <row r="32" spans="1:15" x14ac:dyDescent="0.2">
      <c r="A32" s="7"/>
      <c r="B32" s="7"/>
      <c r="C32" s="8"/>
      <c r="D32" s="8"/>
      <c r="E32" s="9"/>
      <c r="F32" s="10">
        <v>14</v>
      </c>
      <c r="G32" s="11">
        <v>1</v>
      </c>
      <c r="H32" s="12" t="str">
        <f t="shared" si="0"/>
        <v/>
      </c>
      <c r="I32" s="13" t="str">
        <f t="shared" si="1"/>
        <v/>
      </c>
      <c r="J32" s="13" t="str">
        <f t="shared" si="2"/>
        <v/>
      </c>
      <c r="K32" s="13" t="str">
        <f t="shared" si="3"/>
        <v/>
      </c>
      <c r="L32" s="13" t="str">
        <f t="shared" si="4"/>
        <v/>
      </c>
      <c r="M32" s="13" t="str">
        <f t="shared" si="5"/>
        <v/>
      </c>
      <c r="N32" s="13" t="str">
        <f t="shared" si="6"/>
        <v/>
      </c>
      <c r="O32" s="14" t="str">
        <f t="shared" si="7"/>
        <v/>
      </c>
    </row>
    <row r="33" spans="1:15" x14ac:dyDescent="0.2">
      <c r="A33" s="7"/>
      <c r="B33" s="7"/>
      <c r="C33" s="8"/>
      <c r="D33" s="8"/>
      <c r="E33" s="9"/>
      <c r="F33" s="10">
        <v>14</v>
      </c>
      <c r="G33" s="11">
        <v>1</v>
      </c>
      <c r="H33" s="12" t="str">
        <f t="shared" si="0"/>
        <v/>
      </c>
      <c r="I33" s="13" t="str">
        <f t="shared" si="1"/>
        <v/>
      </c>
      <c r="J33" s="13" t="str">
        <f t="shared" si="2"/>
        <v/>
      </c>
      <c r="K33" s="13" t="str">
        <f t="shared" si="3"/>
        <v/>
      </c>
      <c r="L33" s="13" t="str">
        <f t="shared" si="4"/>
        <v/>
      </c>
      <c r="M33" s="13" t="str">
        <f t="shared" si="5"/>
        <v/>
      </c>
      <c r="N33" s="13" t="str">
        <f t="shared" si="6"/>
        <v/>
      </c>
      <c r="O33" s="14" t="str">
        <f t="shared" si="7"/>
        <v/>
      </c>
    </row>
    <row r="34" spans="1:15" x14ac:dyDescent="0.2">
      <c r="A34" s="7"/>
      <c r="B34" s="7"/>
      <c r="C34" s="8"/>
      <c r="D34" s="8"/>
      <c r="E34" s="9"/>
      <c r="F34" s="10">
        <v>14</v>
      </c>
      <c r="G34" s="11">
        <v>1</v>
      </c>
      <c r="H34" s="12" t="str">
        <f t="shared" si="0"/>
        <v/>
      </c>
      <c r="I34" s="13" t="str">
        <f t="shared" si="1"/>
        <v/>
      </c>
      <c r="J34" s="13" t="str">
        <f t="shared" si="2"/>
        <v/>
      </c>
      <c r="K34" s="13" t="str">
        <f t="shared" si="3"/>
        <v/>
      </c>
      <c r="L34" s="13" t="str">
        <f t="shared" si="4"/>
        <v/>
      </c>
      <c r="M34" s="13" t="str">
        <f t="shared" si="5"/>
        <v/>
      </c>
      <c r="N34" s="13" t="str">
        <f t="shared" si="6"/>
        <v/>
      </c>
      <c r="O34" s="14" t="str">
        <f t="shared" si="7"/>
        <v/>
      </c>
    </row>
    <row r="35" spans="1:15" x14ac:dyDescent="0.2">
      <c r="A35" s="7"/>
      <c r="B35" s="7"/>
      <c r="C35" s="8"/>
      <c r="D35" s="8"/>
      <c r="E35" s="9"/>
      <c r="F35" s="10">
        <v>14</v>
      </c>
      <c r="G35" s="11">
        <v>1</v>
      </c>
      <c r="H35" s="12" t="str">
        <f t="shared" si="0"/>
        <v/>
      </c>
      <c r="I35" s="13" t="str">
        <f t="shared" si="1"/>
        <v/>
      </c>
      <c r="J35" s="13" t="str">
        <f t="shared" si="2"/>
        <v/>
      </c>
      <c r="K35" s="13" t="str">
        <f t="shared" si="3"/>
        <v/>
      </c>
      <c r="L35" s="13" t="str">
        <f t="shared" si="4"/>
        <v/>
      </c>
      <c r="M35" s="13" t="str">
        <f t="shared" si="5"/>
        <v/>
      </c>
      <c r="N35" s="13" t="str">
        <f t="shared" si="6"/>
        <v/>
      </c>
      <c r="O35" s="14" t="str">
        <f t="shared" si="7"/>
        <v/>
      </c>
    </row>
    <row r="36" spans="1:15" x14ac:dyDescent="0.2">
      <c r="A36" s="44" t="s">
        <v>63</v>
      </c>
      <c r="B36" s="44"/>
      <c r="C36" s="44"/>
      <c r="D36" s="44"/>
      <c r="E36" s="15">
        <f>SUM(E6:E35)</f>
        <v>119000</v>
      </c>
      <c r="F36" s="16"/>
      <c r="G36" s="16"/>
      <c r="H36" s="16"/>
      <c r="I36" s="17">
        <f t="shared" ref="I36:O36" si="8">SUM(I6:I35)</f>
        <v>108200</v>
      </c>
      <c r="J36" s="17">
        <f t="shared" si="8"/>
        <v>32460</v>
      </c>
      <c r="K36" s="17">
        <f t="shared" si="8"/>
        <v>1082</v>
      </c>
      <c r="L36" s="17">
        <f t="shared" si="8"/>
        <v>8017.62</v>
      </c>
      <c r="M36" s="17">
        <f t="shared" si="8"/>
        <v>6048</v>
      </c>
      <c r="N36" s="17">
        <f t="shared" si="8"/>
        <v>1082</v>
      </c>
      <c r="O36" s="17">
        <f t="shared" si="8"/>
        <v>156889.62</v>
      </c>
    </row>
  </sheetData>
  <mergeCells count="3">
    <mergeCell ref="A1:O2"/>
    <mergeCell ref="A3:O3"/>
    <mergeCell ref="A36:D36"/>
  </mergeCells>
  <dataValidations count="1">
    <dataValidation type="list" allowBlank="1" sqref="B6:B35" xr:uid="{00000000-0002-0000-0200-000000000000}">
      <formula1>Reparti</formula1>
      <formula2>0</formula2>
    </dataValidation>
  </dataValidations>
  <pageMargins left="0.75" right="0.75" top="1" bottom="1" header="0.511811023622047" footer="0.511811023622047"/>
  <pageSetup fitToHeight="0" orientation="landscape" horizontalDpi="300" verticalDpi="30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B8B9B6"/>
    <pageSetUpPr fitToPage="1"/>
  </sheetPr>
  <dimension ref="A1:O24"/>
  <sheetViews>
    <sheetView showGridLines="0" tabSelected="1" zoomScale="125" zoomScaleNormal="100" workbookViewId="0">
      <selection activeCell="G16" sqref="G16"/>
    </sheetView>
  </sheetViews>
  <sheetFormatPr baseColWidth="10" defaultColWidth="8.6640625" defaultRowHeight="15" x14ac:dyDescent="0.2"/>
  <cols>
    <col min="1" max="1" width="3" customWidth="1"/>
    <col min="2" max="2" width="30" customWidth="1"/>
    <col min="3" max="14" width="11" customWidth="1"/>
    <col min="15" max="15" width="13" customWidth="1"/>
  </cols>
  <sheetData>
    <row r="1" spans="1:15" ht="24" customHeight="1" x14ac:dyDescent="0.2">
      <c r="A1" s="2"/>
      <c r="B1" s="31" t="s">
        <v>64</v>
      </c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</row>
    <row r="2" spans="1:15" ht="24" customHeight="1" x14ac:dyDescent="0.2">
      <c r="A2" s="2"/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</row>
    <row r="4" spans="1:15" ht="18" customHeight="1" x14ac:dyDescent="0.2">
      <c r="B4" s="32" t="s">
        <v>65</v>
      </c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</row>
    <row r="6" spans="1:15" ht="19.5" customHeight="1" x14ac:dyDescent="0.2">
      <c r="B6" s="18" t="s">
        <v>66</v>
      </c>
      <c r="C6" s="19" t="s">
        <v>67</v>
      </c>
      <c r="D6" s="19" t="s">
        <v>68</v>
      </c>
      <c r="E6" s="19" t="s">
        <v>69</v>
      </c>
      <c r="F6" s="19" t="s">
        <v>70</v>
      </c>
      <c r="G6" s="19" t="s">
        <v>71</v>
      </c>
      <c r="H6" s="19" t="s">
        <v>72</v>
      </c>
      <c r="I6" s="19" t="s">
        <v>73</v>
      </c>
      <c r="J6" s="19" t="s">
        <v>74</v>
      </c>
      <c r="K6" s="19" t="s">
        <v>75</v>
      </c>
      <c r="L6" s="19" t="s">
        <v>76</v>
      </c>
      <c r="M6" s="19" t="s">
        <v>77</v>
      </c>
      <c r="N6" s="19" t="s">
        <v>78</v>
      </c>
      <c r="O6" s="6" t="s">
        <v>79</v>
      </c>
    </row>
    <row r="7" spans="1:15" x14ac:dyDescent="0.2">
      <c r="B7" s="20" t="s">
        <v>80</v>
      </c>
      <c r="C7" s="21">
        <f>SUMPRODUCT(('Organico 2026'!$A$6:$A$35&lt;&gt;"")*('Organico 2026'!$C$6:$C$35&lt;=EOMONTH(DATE(AnnoSel,1,1),0))*((('Organico 2026'!$D$6:$D$35="")+('Organico 2026'!$D$6:$D$35&gt;=DATE(AnnoSel,1,1)))&gt;0)*'Organico 2026'!$G$6:$G$35*('Organico 2026'!$E$6:$E$35/'Organico 2026'!$F$6:$F$35))</f>
        <v>6571.4285714285716</v>
      </c>
      <c r="D7" s="21">
        <f>SUMPRODUCT(('Organico 2026'!$A$6:$A$35&lt;&gt;"")*('Organico 2026'!$C$6:$C$35&lt;=EOMONTH(DATE(AnnoSel,2,1),0))*((('Organico 2026'!$D$6:$D$35="")+('Organico 2026'!$D$6:$D$35&gt;=DATE(AnnoSel,2,1)))&gt;0)*'Organico 2026'!$G$6:$G$35*('Organico 2026'!$E$6:$E$35/'Organico 2026'!$F$6:$F$35))</f>
        <v>6571.4285714285716</v>
      </c>
      <c r="E7" s="21">
        <f>SUMPRODUCT(('Organico 2026'!$A$6:$A$35&lt;&gt;"")*('Organico 2026'!$C$6:$C$35&lt;=EOMONTH(DATE(AnnoSel,3,1),0))*((('Organico 2026'!$D$6:$D$35="")+('Organico 2026'!$D$6:$D$35&gt;=DATE(AnnoSel,3,1)))&gt;0)*'Organico 2026'!$G$6:$G$35*('Organico 2026'!$E$6:$E$35/'Organico 2026'!$F$6:$F$35))</f>
        <v>6571.4285714285716</v>
      </c>
      <c r="F7" s="21">
        <f>SUMPRODUCT(('Organico 2026'!$A$6:$A$35&lt;&gt;"")*('Organico 2026'!$C$6:$C$35&lt;=EOMONTH(DATE(AnnoSel,4,1),0))*((('Organico 2026'!$D$6:$D$35="")+('Organico 2026'!$D$6:$D$35&gt;=DATE(AnnoSel,4,1)))&gt;0)*'Organico 2026'!$G$6:$G$35*('Organico 2026'!$E$6:$E$35/'Organico 2026'!$F$6:$F$35))</f>
        <v>8114.2857142857147</v>
      </c>
      <c r="G7" s="21">
        <f>SUMPRODUCT(('Organico 2026'!$A$6:$A$35&lt;&gt;"")*('Organico 2026'!$C$6:$C$35&lt;=EOMONTH(DATE(AnnoSel,5,1),0))*((('Organico 2026'!$D$6:$D$35="")+('Organico 2026'!$D$6:$D$35&gt;=DATE(AnnoSel,5,1)))&gt;0)*'Organico 2026'!$G$6:$G$35*('Organico 2026'!$E$6:$E$35/'Organico 2026'!$F$6:$F$35))</f>
        <v>8114.2857142857147</v>
      </c>
      <c r="H7" s="21">
        <f>SUMPRODUCT(('Organico 2026'!$A$6:$A$35&lt;&gt;"")*('Organico 2026'!$C$6:$C$35&lt;=EOMONTH(DATE(AnnoSel,6,1),0))*((('Organico 2026'!$D$6:$D$35="")+('Organico 2026'!$D$6:$D$35&gt;=DATE(AnnoSel,6,1)))&gt;0)*'Organico 2026'!$G$6:$G$35*('Organico 2026'!$E$6:$E$35/'Organico 2026'!$F$6:$F$35))+SUMPRODUCT(('Organico 2026'!$A$6:$A$35&lt;&gt;"")*('Organico 2026'!$F$6:$F$35=14)*'Organico 2026'!$G$6:$G$35*('Organico 2026'!$E$6:$E$35/'Organico 2026'!$F$6:$F$35)*(IF(IF(ROUND((IF(IF('Organico 2026'!$D$6:$D$35="",DATE(AnnoSel,12,31),'Organico 2026'!$D$6:$D$35)&lt;DATE(AnnoSel,12,31),IF('Organico 2026'!$D$6:$D$35="",DATE(AnnoSel,12,31),'Organico 2026'!$D$6:$D$35),DATE(AnnoSel,12,31))-IF('Organico 2026'!$C$6:$C$35&gt;DATE(AnnoSel,1,1),'Organico 2026'!$C$6:$C$35,DATE(AnnoSel,1,1))+1)/30.44,0)&gt;0,ROUND((IF(IF('Organico 2026'!$D$6:$D$35="",DATE(AnnoSel,12,31),'Organico 2026'!$D$6:$D$35)&lt;DATE(AnnoSel,12,31),IF('Organico 2026'!$D$6:$D$35="",DATE(AnnoSel,12,31),'Organico 2026'!$D$6:$D$35),DATE(AnnoSel,12,31))-IF('Organico 2026'!$C$6:$C$35&gt;DATE(AnnoSel,1,1),'Organico 2026'!$C$6:$C$35,DATE(AnnoSel,1,1))+1)/30.44,0),0)&lt;12,IF(ROUND((IF(IF('Organico 2026'!$D$6:$D$35="",DATE(AnnoSel,12,31),'Organico 2026'!$D$6:$D$35)&lt;DATE(AnnoSel,12,31),IF('Organico 2026'!$D$6:$D$35="",DATE(AnnoSel,12,31),'Organico 2026'!$D$6:$D$35),DATE(AnnoSel,12,31))-IF('Organico 2026'!$C$6:$C$35&gt;DATE(AnnoSel,1,1),'Organico 2026'!$C$6:$C$35,DATE(AnnoSel,1,1))+1)/30.44,0)&gt;0,ROUND((IF(IF('Organico 2026'!$D$6:$D$35="",DATE(AnnoSel,12,31),'Organico 2026'!$D$6:$D$35)&lt;DATE(AnnoSel,12,31),IF('Organico 2026'!$D$6:$D$35="",DATE(AnnoSel,12,31),'Organico 2026'!$D$6:$D$35),DATE(AnnoSel,12,31))-IF('Organico 2026'!$C$6:$C$35&gt;DATE(AnnoSel,1,1),'Organico 2026'!$C$6:$C$35,DATE(AnnoSel,1,1))+1)/30.44,0),0),12)/12))</f>
        <v>16228.571428571429</v>
      </c>
      <c r="I7" s="21">
        <f>SUMPRODUCT(('Organico 2026'!$A$6:$A$35&lt;&gt;"")*('Organico 2026'!$C$6:$C$35&lt;=EOMONTH(DATE(AnnoSel,7,1),0))*((('Organico 2026'!$D$6:$D$35="")+('Organico 2026'!$D$6:$D$35&gt;=DATE(AnnoSel,7,1)))&gt;0)*'Organico 2026'!$G$6:$G$35*('Organico 2026'!$E$6:$E$35/'Organico 2026'!$F$6:$F$35))</f>
        <v>8114.2857142857147</v>
      </c>
      <c r="J7" s="21">
        <f>SUMPRODUCT(('Organico 2026'!$A$6:$A$35&lt;&gt;"")*('Organico 2026'!$C$6:$C$35&lt;=EOMONTH(DATE(AnnoSel,8,1),0))*((('Organico 2026'!$D$6:$D$35="")+('Organico 2026'!$D$6:$D$35&gt;=DATE(AnnoSel,8,1)))&gt;0)*'Organico 2026'!$G$6:$G$35*('Organico 2026'!$E$6:$E$35/'Organico 2026'!$F$6:$F$35))</f>
        <v>8114.2857142857147</v>
      </c>
      <c r="K7" s="21">
        <f>SUMPRODUCT(('Organico 2026'!$A$6:$A$35&lt;&gt;"")*('Organico 2026'!$C$6:$C$35&lt;=EOMONTH(DATE(AnnoSel,9,1),0))*((('Organico 2026'!$D$6:$D$35="")+('Organico 2026'!$D$6:$D$35&gt;=DATE(AnnoSel,9,1)))&gt;0)*'Organico 2026'!$G$6:$G$35*('Organico 2026'!$E$6:$E$35/'Organico 2026'!$F$6:$F$35))</f>
        <v>8114.2857142857147</v>
      </c>
      <c r="L7" s="21">
        <f>SUMPRODUCT(('Organico 2026'!$A$6:$A$35&lt;&gt;"")*('Organico 2026'!$C$6:$C$35&lt;=EOMONTH(DATE(AnnoSel,10,1),0))*((('Organico 2026'!$D$6:$D$35="")+('Organico 2026'!$D$6:$D$35&gt;=DATE(AnnoSel,10,1)))&gt;0)*'Organico 2026'!$G$6:$G$35*('Organico 2026'!$E$6:$E$35/'Organico 2026'!$F$6:$F$35))</f>
        <v>8114.2857142857147</v>
      </c>
      <c r="M7" s="21">
        <f>SUMPRODUCT(('Organico 2026'!$A$6:$A$35&lt;&gt;"")*('Organico 2026'!$C$6:$C$35&lt;=EOMONTH(DATE(AnnoSel,11,1),0))*((('Organico 2026'!$D$6:$D$35="")+('Organico 2026'!$D$6:$D$35&gt;=DATE(AnnoSel,11,1)))&gt;0)*'Organico 2026'!$G$6:$G$35*('Organico 2026'!$E$6:$E$35/'Organico 2026'!$F$6:$F$35))</f>
        <v>8114.2857142857147</v>
      </c>
      <c r="N7" s="21">
        <f>SUMPRODUCT(('Organico 2026'!$A$6:$A$35&lt;&gt;"")*('Organico 2026'!$C$6:$C$35&lt;=EOMONTH(DATE(AnnoSel,12,1),0))*((('Organico 2026'!$D$6:$D$35="")+('Organico 2026'!$D$6:$D$35&gt;=DATE(AnnoSel,12,1)))&gt;0)*'Organico 2026'!$G$6:$G$35*('Organico 2026'!$E$6:$E$35/'Organico 2026'!$F$6:$F$35))+SUMPRODUCT(('Organico 2026'!$A$6:$A$35&lt;&gt;"")*'Organico 2026'!$G$6:$G$35*('Organico 2026'!$E$6:$E$35/'Organico 2026'!$F$6:$F$35)*(IF(IF(ROUND((IF(IF('Organico 2026'!$D$6:$D$35="",DATE(AnnoSel,12,31),'Organico 2026'!$D$6:$D$35)&lt;DATE(AnnoSel,12,31),IF('Organico 2026'!$D$6:$D$35="",DATE(AnnoSel,12,31),'Organico 2026'!$D$6:$D$35),DATE(AnnoSel,12,31))-IF('Organico 2026'!$C$6:$C$35&gt;DATE(AnnoSel,1,1),'Organico 2026'!$C$6:$C$35,DATE(AnnoSel,1,1))+1)/30.44,0)&gt;0,ROUND((IF(IF('Organico 2026'!$D$6:$D$35="",DATE(AnnoSel,12,31),'Organico 2026'!$D$6:$D$35)&lt;DATE(AnnoSel,12,31),IF('Organico 2026'!$D$6:$D$35="",DATE(AnnoSel,12,31),'Organico 2026'!$D$6:$D$35),DATE(AnnoSel,12,31))-IF('Organico 2026'!$C$6:$C$35&gt;DATE(AnnoSel,1,1),'Organico 2026'!$C$6:$C$35,DATE(AnnoSel,1,1))+1)/30.44,0),0)&lt;12,IF(ROUND((IF(IF('Organico 2026'!$D$6:$D$35="",DATE(AnnoSel,12,31),'Organico 2026'!$D$6:$D$35)&lt;DATE(AnnoSel,12,31),IF('Organico 2026'!$D$6:$D$35="",DATE(AnnoSel,12,31),'Organico 2026'!$D$6:$D$35),DATE(AnnoSel,12,31))-IF('Organico 2026'!$C$6:$C$35&gt;DATE(AnnoSel,1,1),'Organico 2026'!$C$6:$C$35,DATE(AnnoSel,1,1))+1)/30.44,0)&gt;0,ROUND((IF(IF('Organico 2026'!$D$6:$D$35="",DATE(AnnoSel,12,31),'Organico 2026'!$D$6:$D$35)&lt;DATE(AnnoSel,12,31),IF('Organico 2026'!$D$6:$D$35="",DATE(AnnoSel,12,31),'Organico 2026'!$D$6:$D$35),DATE(AnnoSel,12,31))-IF('Organico 2026'!$C$6:$C$35&gt;DATE(AnnoSel,1,1),'Organico 2026'!$C$6:$C$35,DATE(AnnoSel,1,1))+1)/30.44,0),0),12)/12))</f>
        <v>16228.571428571429</v>
      </c>
      <c r="O7" s="21">
        <f t="shared" ref="O7:O13" si="0">SUM(C7:N7)</f>
        <v>108971.42857142857</v>
      </c>
    </row>
    <row r="8" spans="1:15" x14ac:dyDescent="0.2">
      <c r="B8" s="20" t="s">
        <v>81</v>
      </c>
      <c r="C8" s="21">
        <f t="shared" ref="C8:N8" si="1">C7*AliquotaINPS</f>
        <v>1971.4285714285713</v>
      </c>
      <c r="D8" s="21">
        <f t="shared" si="1"/>
        <v>1971.4285714285713</v>
      </c>
      <c r="E8" s="21">
        <f t="shared" si="1"/>
        <v>1971.4285714285713</v>
      </c>
      <c r="F8" s="21">
        <f t="shared" si="1"/>
        <v>2434.2857142857142</v>
      </c>
      <c r="G8" s="21">
        <f t="shared" si="1"/>
        <v>2434.2857142857142</v>
      </c>
      <c r="H8" s="21">
        <f t="shared" si="1"/>
        <v>4868.5714285714284</v>
      </c>
      <c r="I8" s="21">
        <f t="shared" si="1"/>
        <v>2434.2857142857142</v>
      </c>
      <c r="J8" s="21">
        <f t="shared" si="1"/>
        <v>2434.2857142857142</v>
      </c>
      <c r="K8" s="21">
        <f t="shared" si="1"/>
        <v>2434.2857142857142</v>
      </c>
      <c r="L8" s="21">
        <f t="shared" si="1"/>
        <v>2434.2857142857142</v>
      </c>
      <c r="M8" s="21">
        <f t="shared" si="1"/>
        <v>2434.2857142857142</v>
      </c>
      <c r="N8" s="21">
        <f t="shared" si="1"/>
        <v>4868.5714285714284</v>
      </c>
      <c r="O8" s="21">
        <f t="shared" si="0"/>
        <v>32691.428571428565</v>
      </c>
    </row>
    <row r="9" spans="1:15" x14ac:dyDescent="0.2">
      <c r="B9" s="20" t="s">
        <v>82</v>
      </c>
      <c r="C9" s="21">
        <f t="shared" ref="C9:N9" si="2">C7*AliquotaINAIL</f>
        <v>65.714285714285722</v>
      </c>
      <c r="D9" s="21">
        <f t="shared" si="2"/>
        <v>65.714285714285722</v>
      </c>
      <c r="E9" s="21">
        <f t="shared" si="2"/>
        <v>65.714285714285722</v>
      </c>
      <c r="F9" s="21">
        <f t="shared" si="2"/>
        <v>81.142857142857153</v>
      </c>
      <c r="G9" s="21">
        <f t="shared" si="2"/>
        <v>81.142857142857153</v>
      </c>
      <c r="H9" s="21">
        <f t="shared" si="2"/>
        <v>162.28571428571431</v>
      </c>
      <c r="I9" s="21">
        <f t="shared" si="2"/>
        <v>81.142857142857153</v>
      </c>
      <c r="J9" s="21">
        <f t="shared" si="2"/>
        <v>81.142857142857153</v>
      </c>
      <c r="K9" s="21">
        <f t="shared" si="2"/>
        <v>81.142857142857153</v>
      </c>
      <c r="L9" s="21">
        <f t="shared" si="2"/>
        <v>81.142857142857153</v>
      </c>
      <c r="M9" s="21">
        <f t="shared" si="2"/>
        <v>81.142857142857153</v>
      </c>
      <c r="N9" s="21">
        <f t="shared" si="2"/>
        <v>162.28571428571431</v>
      </c>
      <c r="O9" s="21">
        <f t="shared" si="0"/>
        <v>1089.7142857142856</v>
      </c>
    </row>
    <row r="10" spans="1:15" x14ac:dyDescent="0.2">
      <c r="B10" s="20" t="s">
        <v>83</v>
      </c>
      <c r="C10" s="21">
        <f>SUMPRODUCT(('Organico 2026'!$A$6:$A$35&lt;&gt;"")*('Organico 2026'!$C$6:$C$35&lt;=EOMONTH(DATE(AnnoSel,1,1),0))*((('Organico 2026'!$D$6:$D$35="")+('Organico 2026'!$D$6:$D$35&gt;=DATE(AnnoSel,1,1)))&gt;0)*'Organico 2026'!$G$6:$G$35*('Organico 2026'!$E$6:$E$35/12))*AliquotaTFR</f>
        <v>568.09999999999991</v>
      </c>
      <c r="D10" s="21">
        <f>SUMPRODUCT(('Organico 2026'!$A$6:$A$35&lt;&gt;"")*('Organico 2026'!$C$6:$C$35&lt;=EOMONTH(DATE(AnnoSel,2,1),0))*((('Organico 2026'!$D$6:$D$35="")+('Organico 2026'!$D$6:$D$35&gt;=DATE(AnnoSel,2,1)))&gt;0)*'Organico 2026'!$G$6:$G$35*('Organico 2026'!$E$6:$E$35/12))*AliquotaTFR</f>
        <v>568.09999999999991</v>
      </c>
      <c r="E10" s="21">
        <f>SUMPRODUCT(('Organico 2026'!$A$6:$A$35&lt;&gt;"")*('Organico 2026'!$C$6:$C$35&lt;=EOMONTH(DATE(AnnoSel,3,1),0))*((('Organico 2026'!$D$6:$D$35="")+('Organico 2026'!$D$6:$D$35&gt;=DATE(AnnoSel,3,1)))&gt;0)*'Organico 2026'!$G$6:$G$35*('Organico 2026'!$E$6:$E$35/12))*AliquotaTFR</f>
        <v>568.09999999999991</v>
      </c>
      <c r="F10" s="21">
        <f>SUMPRODUCT(('Organico 2026'!$A$6:$A$35&lt;&gt;"")*('Organico 2026'!$C$6:$C$35&lt;=EOMONTH(DATE(AnnoSel,4,1),0))*((('Organico 2026'!$D$6:$D$35="")+('Organico 2026'!$D$6:$D$35&gt;=DATE(AnnoSel,4,1)))&gt;0)*'Organico 2026'!$G$6:$G$35*('Organico 2026'!$E$6:$E$35/12))*AliquotaTFR</f>
        <v>701.4799999999999</v>
      </c>
      <c r="G10" s="21">
        <f>SUMPRODUCT(('Organico 2026'!$A$6:$A$35&lt;&gt;"")*('Organico 2026'!$C$6:$C$35&lt;=EOMONTH(DATE(AnnoSel,5,1),0))*((('Organico 2026'!$D$6:$D$35="")+('Organico 2026'!$D$6:$D$35&gt;=DATE(AnnoSel,5,1)))&gt;0)*'Organico 2026'!$G$6:$G$35*('Organico 2026'!$E$6:$E$35/12))*AliquotaTFR</f>
        <v>701.4799999999999</v>
      </c>
      <c r="H10" s="21">
        <f>SUMPRODUCT(('Organico 2026'!$A$6:$A$35&lt;&gt;"")*('Organico 2026'!$C$6:$C$35&lt;=EOMONTH(DATE(AnnoSel,6,1),0))*((('Organico 2026'!$D$6:$D$35="")+('Organico 2026'!$D$6:$D$35&gt;=DATE(AnnoSel,6,1)))&gt;0)*'Organico 2026'!$G$6:$G$35*('Organico 2026'!$E$6:$E$35/12))*AliquotaTFR</f>
        <v>701.4799999999999</v>
      </c>
      <c r="I10" s="21">
        <f>SUMPRODUCT(('Organico 2026'!$A$6:$A$35&lt;&gt;"")*('Organico 2026'!$C$6:$C$35&lt;=EOMONTH(DATE(AnnoSel,7,1),0))*((('Organico 2026'!$D$6:$D$35="")+('Organico 2026'!$D$6:$D$35&gt;=DATE(AnnoSel,7,1)))&gt;0)*'Organico 2026'!$G$6:$G$35*('Organico 2026'!$E$6:$E$35/12))*AliquotaTFR</f>
        <v>701.4799999999999</v>
      </c>
      <c r="J10" s="21">
        <f>SUMPRODUCT(('Organico 2026'!$A$6:$A$35&lt;&gt;"")*('Organico 2026'!$C$6:$C$35&lt;=EOMONTH(DATE(AnnoSel,8,1),0))*((('Organico 2026'!$D$6:$D$35="")+('Organico 2026'!$D$6:$D$35&gt;=DATE(AnnoSel,8,1)))&gt;0)*'Organico 2026'!$G$6:$G$35*('Organico 2026'!$E$6:$E$35/12))*AliquotaTFR</f>
        <v>701.4799999999999</v>
      </c>
      <c r="K10" s="21">
        <f>SUMPRODUCT(('Organico 2026'!$A$6:$A$35&lt;&gt;"")*('Organico 2026'!$C$6:$C$35&lt;=EOMONTH(DATE(AnnoSel,9,1),0))*((('Organico 2026'!$D$6:$D$35="")+('Organico 2026'!$D$6:$D$35&gt;=DATE(AnnoSel,9,1)))&gt;0)*'Organico 2026'!$G$6:$G$35*('Organico 2026'!$E$6:$E$35/12))*AliquotaTFR</f>
        <v>701.4799999999999</v>
      </c>
      <c r="L10" s="21">
        <f>SUMPRODUCT(('Organico 2026'!$A$6:$A$35&lt;&gt;"")*('Organico 2026'!$C$6:$C$35&lt;=EOMONTH(DATE(AnnoSel,10,1),0))*((('Organico 2026'!$D$6:$D$35="")+('Organico 2026'!$D$6:$D$35&gt;=DATE(AnnoSel,10,1)))&gt;0)*'Organico 2026'!$G$6:$G$35*('Organico 2026'!$E$6:$E$35/12))*AliquotaTFR</f>
        <v>701.4799999999999</v>
      </c>
      <c r="M10" s="21">
        <f>SUMPRODUCT(('Organico 2026'!$A$6:$A$35&lt;&gt;"")*('Organico 2026'!$C$6:$C$35&lt;=EOMONTH(DATE(AnnoSel,11,1),0))*((('Organico 2026'!$D$6:$D$35="")+('Organico 2026'!$D$6:$D$35&gt;=DATE(AnnoSel,11,1)))&gt;0)*'Organico 2026'!$G$6:$G$35*('Organico 2026'!$E$6:$E$35/12))*AliquotaTFR</f>
        <v>701.4799999999999</v>
      </c>
      <c r="N10" s="21">
        <f>SUMPRODUCT(('Organico 2026'!$A$6:$A$35&lt;&gt;"")*('Organico 2026'!$C$6:$C$35&lt;=EOMONTH(DATE(AnnoSel,12,1),0))*((('Organico 2026'!$D$6:$D$35="")+('Organico 2026'!$D$6:$D$35&gt;=DATE(AnnoSel,12,1)))&gt;0)*'Organico 2026'!$G$6:$G$35*('Organico 2026'!$E$6:$E$35/12))*AliquotaTFR</f>
        <v>701.4799999999999</v>
      </c>
      <c r="O10" s="21">
        <f t="shared" si="0"/>
        <v>8017.6199999999972</v>
      </c>
    </row>
    <row r="11" spans="1:15" x14ac:dyDescent="0.2">
      <c r="B11" s="20" t="s">
        <v>84</v>
      </c>
      <c r="C11" s="21">
        <f>SUMPRODUCT(('Organico 2026'!$A$6:$A$35&lt;&gt;"")*('Organico 2026'!$C$6:$C$35&lt;=EOMONTH(DATE(AnnoSel,1,1),0))*((('Organico 2026'!$D$6:$D$35="")+('Organico 2026'!$D$6:$D$35&gt;=DATE(AnnoSel,1,1)))&gt;0)*'Organico 2026'!$G$6:$G$35)*GiorniBuonoMese*BuonoPastoValore</f>
        <v>420</v>
      </c>
      <c r="D11" s="21">
        <f>SUMPRODUCT(('Organico 2026'!$A$6:$A$35&lt;&gt;"")*('Organico 2026'!$C$6:$C$35&lt;=EOMONTH(DATE(AnnoSel,2,1),0))*((('Organico 2026'!$D$6:$D$35="")+('Organico 2026'!$D$6:$D$35&gt;=DATE(AnnoSel,2,1)))&gt;0)*'Organico 2026'!$G$6:$G$35)*GiorniBuonoMese*BuonoPastoValore</f>
        <v>420</v>
      </c>
      <c r="E11" s="21">
        <f>SUMPRODUCT(('Organico 2026'!$A$6:$A$35&lt;&gt;"")*('Organico 2026'!$C$6:$C$35&lt;=EOMONTH(DATE(AnnoSel,3,1),0))*((('Organico 2026'!$D$6:$D$35="")+('Organico 2026'!$D$6:$D$35&gt;=DATE(AnnoSel,3,1)))&gt;0)*'Organico 2026'!$G$6:$G$35)*GiorniBuonoMese*BuonoPastoValore</f>
        <v>420</v>
      </c>
      <c r="F11" s="21">
        <f>SUMPRODUCT(('Organico 2026'!$A$6:$A$35&lt;&gt;"")*('Organico 2026'!$C$6:$C$35&lt;=EOMONTH(DATE(AnnoSel,4,1),0))*((('Organico 2026'!$D$6:$D$35="")+('Organico 2026'!$D$6:$D$35&gt;=DATE(AnnoSel,4,1)))&gt;0)*'Organico 2026'!$G$6:$G$35)*GiorniBuonoMese*BuonoPastoValore</f>
        <v>532</v>
      </c>
      <c r="G11" s="21">
        <f>SUMPRODUCT(('Organico 2026'!$A$6:$A$35&lt;&gt;"")*('Organico 2026'!$C$6:$C$35&lt;=EOMONTH(DATE(AnnoSel,5,1),0))*((('Organico 2026'!$D$6:$D$35="")+('Organico 2026'!$D$6:$D$35&gt;=DATE(AnnoSel,5,1)))&gt;0)*'Organico 2026'!$G$6:$G$35)*GiorniBuonoMese*BuonoPastoValore</f>
        <v>532</v>
      </c>
      <c r="H11" s="21">
        <f>SUMPRODUCT(('Organico 2026'!$A$6:$A$35&lt;&gt;"")*('Organico 2026'!$C$6:$C$35&lt;=EOMONTH(DATE(AnnoSel,6,1),0))*((('Organico 2026'!$D$6:$D$35="")+('Organico 2026'!$D$6:$D$35&gt;=DATE(AnnoSel,6,1)))&gt;0)*'Organico 2026'!$G$6:$G$35)*GiorniBuonoMese*BuonoPastoValore</f>
        <v>532</v>
      </c>
      <c r="I11" s="21">
        <f>SUMPRODUCT(('Organico 2026'!$A$6:$A$35&lt;&gt;"")*('Organico 2026'!$C$6:$C$35&lt;=EOMONTH(DATE(AnnoSel,7,1),0))*((('Organico 2026'!$D$6:$D$35="")+('Organico 2026'!$D$6:$D$35&gt;=DATE(AnnoSel,7,1)))&gt;0)*'Organico 2026'!$G$6:$G$35)*GiorniBuonoMese*BuonoPastoValore</f>
        <v>532</v>
      </c>
      <c r="J11" s="21">
        <f>SUMPRODUCT(('Organico 2026'!$A$6:$A$35&lt;&gt;"")*('Organico 2026'!$C$6:$C$35&lt;=EOMONTH(DATE(AnnoSel,8,1),0))*((('Organico 2026'!$D$6:$D$35="")+('Organico 2026'!$D$6:$D$35&gt;=DATE(AnnoSel,8,1)))&gt;0)*'Organico 2026'!$G$6:$G$35)*GiorniBuonoMese*BuonoPastoValore</f>
        <v>532</v>
      </c>
      <c r="K11" s="21">
        <f>SUMPRODUCT(('Organico 2026'!$A$6:$A$35&lt;&gt;"")*('Organico 2026'!$C$6:$C$35&lt;=EOMONTH(DATE(AnnoSel,9,1),0))*((('Organico 2026'!$D$6:$D$35="")+('Organico 2026'!$D$6:$D$35&gt;=DATE(AnnoSel,9,1)))&gt;0)*'Organico 2026'!$G$6:$G$35)*GiorniBuonoMese*BuonoPastoValore</f>
        <v>532</v>
      </c>
      <c r="L11" s="21">
        <f>SUMPRODUCT(('Organico 2026'!$A$6:$A$35&lt;&gt;"")*('Organico 2026'!$C$6:$C$35&lt;=EOMONTH(DATE(AnnoSel,10,1),0))*((('Organico 2026'!$D$6:$D$35="")+('Organico 2026'!$D$6:$D$35&gt;=DATE(AnnoSel,10,1)))&gt;0)*'Organico 2026'!$G$6:$G$35)*GiorniBuonoMese*BuonoPastoValore</f>
        <v>532</v>
      </c>
      <c r="M11" s="21">
        <f>SUMPRODUCT(('Organico 2026'!$A$6:$A$35&lt;&gt;"")*('Organico 2026'!$C$6:$C$35&lt;=EOMONTH(DATE(AnnoSel,11,1),0))*((('Organico 2026'!$D$6:$D$35="")+('Organico 2026'!$D$6:$D$35&gt;=DATE(AnnoSel,11,1)))&gt;0)*'Organico 2026'!$G$6:$G$35)*GiorniBuonoMese*BuonoPastoValore</f>
        <v>532</v>
      </c>
      <c r="N11" s="21">
        <f>SUMPRODUCT(('Organico 2026'!$A$6:$A$35&lt;&gt;"")*('Organico 2026'!$C$6:$C$35&lt;=EOMONTH(DATE(AnnoSel,12,1),0))*((('Organico 2026'!$D$6:$D$35="")+('Organico 2026'!$D$6:$D$35&gt;=DATE(AnnoSel,12,1)))&gt;0)*'Organico 2026'!$G$6:$G$35)*GiorniBuonoMese*BuonoPastoValore</f>
        <v>532</v>
      </c>
      <c r="O11" s="21">
        <f t="shared" si="0"/>
        <v>6048</v>
      </c>
    </row>
    <row r="12" spans="1:15" x14ac:dyDescent="0.2">
      <c r="B12" s="20" t="s">
        <v>85</v>
      </c>
      <c r="C12" s="21">
        <f t="shared" ref="C12:N12" si="3">C7*AltriOneriPct</f>
        <v>65.714285714285722</v>
      </c>
      <c r="D12" s="21">
        <f t="shared" si="3"/>
        <v>65.714285714285722</v>
      </c>
      <c r="E12" s="21">
        <f t="shared" si="3"/>
        <v>65.714285714285722</v>
      </c>
      <c r="F12" s="21">
        <f t="shared" si="3"/>
        <v>81.142857142857153</v>
      </c>
      <c r="G12" s="21">
        <f t="shared" si="3"/>
        <v>81.142857142857153</v>
      </c>
      <c r="H12" s="21">
        <f t="shared" si="3"/>
        <v>162.28571428571431</v>
      </c>
      <c r="I12" s="21">
        <f t="shared" si="3"/>
        <v>81.142857142857153</v>
      </c>
      <c r="J12" s="21">
        <f t="shared" si="3"/>
        <v>81.142857142857153</v>
      </c>
      <c r="K12" s="21">
        <f t="shared" si="3"/>
        <v>81.142857142857153</v>
      </c>
      <c r="L12" s="21">
        <f t="shared" si="3"/>
        <v>81.142857142857153</v>
      </c>
      <c r="M12" s="21">
        <f t="shared" si="3"/>
        <v>81.142857142857153</v>
      </c>
      <c r="N12" s="21">
        <f t="shared" si="3"/>
        <v>162.28571428571431</v>
      </c>
      <c r="O12" s="21">
        <f t="shared" si="0"/>
        <v>1089.7142857142856</v>
      </c>
    </row>
    <row r="13" spans="1:15" x14ac:dyDescent="0.2">
      <c r="B13" s="22" t="s">
        <v>86</v>
      </c>
      <c r="C13" s="15">
        <f t="shared" ref="C13:N13" si="4">SUM(C7:C12)</f>
        <v>9662.3857142857159</v>
      </c>
      <c r="D13" s="15">
        <f t="shared" si="4"/>
        <v>9662.3857142857159</v>
      </c>
      <c r="E13" s="15">
        <f t="shared" si="4"/>
        <v>9662.3857142857159</v>
      </c>
      <c r="F13" s="15">
        <f t="shared" si="4"/>
        <v>11944.337142857143</v>
      </c>
      <c r="G13" s="15">
        <f t="shared" si="4"/>
        <v>11944.337142857143</v>
      </c>
      <c r="H13" s="15">
        <f t="shared" si="4"/>
        <v>22655.194285714286</v>
      </c>
      <c r="I13" s="15">
        <f t="shared" si="4"/>
        <v>11944.337142857143</v>
      </c>
      <c r="J13" s="15">
        <f t="shared" si="4"/>
        <v>11944.337142857143</v>
      </c>
      <c r="K13" s="15">
        <f t="shared" si="4"/>
        <v>11944.337142857143</v>
      </c>
      <c r="L13" s="15">
        <f t="shared" si="4"/>
        <v>11944.337142857143</v>
      </c>
      <c r="M13" s="15">
        <f t="shared" si="4"/>
        <v>11944.337142857143</v>
      </c>
      <c r="N13" s="15">
        <f t="shared" si="4"/>
        <v>22655.194285714286</v>
      </c>
      <c r="O13" s="15">
        <f t="shared" si="0"/>
        <v>157907.90571428573</v>
      </c>
    </row>
    <row r="16" spans="1:15" ht="19" x14ac:dyDescent="0.25">
      <c r="B16" s="3" t="s">
        <v>87</v>
      </c>
    </row>
    <row r="17" spans="2:4" ht="26" x14ac:dyDescent="0.2">
      <c r="B17" s="18" t="s">
        <v>46</v>
      </c>
      <c r="C17" s="6" t="s">
        <v>88</v>
      </c>
      <c r="D17" s="19" t="s">
        <v>89</v>
      </c>
    </row>
    <row r="18" spans="2:4" x14ac:dyDescent="0.2">
      <c r="B18" s="20" t="str">
        <f>Impostazioni!B19</f>
        <v>Booking e front office</v>
      </c>
      <c r="C18" s="21">
        <f>SUMIF('Organico 2026'!$B$6:$B$35,B18,'Organico 2026'!$O$6:$O$35)</f>
        <v>37926.6</v>
      </c>
      <c r="D18" s="23">
        <f t="shared" ref="D18:D23" si="5">IF($O$13=0,0,C18/$O$13)</f>
        <v>0.24018176815430226</v>
      </c>
    </row>
    <row r="19" spans="2:4" x14ac:dyDescent="0.2">
      <c r="B19" s="20" t="str">
        <f>Impostazioni!B20</f>
        <v>Back office e operativo</v>
      </c>
      <c r="C19" s="21">
        <f>SUMIF('Organico 2026'!$B$6:$B$35,B19,'Organico 2026'!$O$6:$O$35)</f>
        <v>35138.400000000001</v>
      </c>
      <c r="D19" s="23">
        <f t="shared" si="5"/>
        <v>0.22252464080917181</v>
      </c>
    </row>
    <row r="20" spans="2:4" x14ac:dyDescent="0.2">
      <c r="B20" s="20" t="str">
        <f>Impostazioni!B21</f>
        <v>Amministrazione</v>
      </c>
      <c r="C20" s="21">
        <f>SUMIF('Organico 2026'!$B$6:$B$35,B20,'Organico 2026'!$O$6:$O$35)</f>
        <v>0</v>
      </c>
      <c r="D20" s="23">
        <f t="shared" si="5"/>
        <v>0</v>
      </c>
    </row>
    <row r="21" spans="2:4" x14ac:dyDescent="0.2">
      <c r="B21" s="20" t="str">
        <f>Impostazioni!B22</f>
        <v>Direzione</v>
      </c>
      <c r="C21" s="21">
        <f>SUMIF('Organico 2026'!$B$6:$B$35,B21,'Organico 2026'!$O$6:$O$35)</f>
        <v>60232.2</v>
      </c>
      <c r="D21" s="23">
        <f t="shared" si="5"/>
        <v>0.38143878691534611</v>
      </c>
    </row>
    <row r="22" spans="2:4" x14ac:dyDescent="0.2">
      <c r="B22" s="20" t="str">
        <f>Impostazioni!B23</f>
        <v>Marketing e vendite</v>
      </c>
      <c r="C22" s="21">
        <f>SUMIF('Organico 2026'!$B$6:$B$35,B22,'Organico 2026'!$O$6:$O$35)</f>
        <v>23592.42</v>
      </c>
      <c r="D22" s="23">
        <f t="shared" si="5"/>
        <v>0.14940619909612049</v>
      </c>
    </row>
    <row r="23" spans="2:4" x14ac:dyDescent="0.2">
      <c r="B23" s="20" t="str">
        <f>Impostazioni!B24</f>
        <v>Assistenza clienti</v>
      </c>
      <c r="C23" s="21">
        <f>SUMIF('Organico 2026'!$B$6:$B$35,B23,'Organico 2026'!$O$6:$O$35)</f>
        <v>0</v>
      </c>
      <c r="D23" s="23">
        <f t="shared" si="5"/>
        <v>0</v>
      </c>
    </row>
    <row r="24" spans="2:4" x14ac:dyDescent="0.2">
      <c r="B24" s="1" t="s">
        <v>63</v>
      </c>
      <c r="C24" s="15">
        <f>SUM(C18:C23)</f>
        <v>156889.62</v>
      </c>
      <c r="D24" s="24">
        <f>SUM(D18:D23)</f>
        <v>0.99355139497494072</v>
      </c>
    </row>
  </sheetData>
  <mergeCells count="2">
    <mergeCell ref="B1:O2"/>
    <mergeCell ref="B4:O4"/>
  </mergeCells>
  <pageMargins left="0.75" right="0.75" top="1" bottom="1" header="0.511811023622047" footer="0.511811023622047"/>
  <pageSetup fitToHeight="0" orientation="landscape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Macintosh Excel</Application>
  <DocSecurity>0</DocSecurity>
  <ScaleCrop>false</ScaleCrop>
  <HeadingPairs>
    <vt:vector size="4" baseType="variant">
      <vt:variant>
        <vt:lpstr>Fogli di lavoro</vt:lpstr>
      </vt:variant>
      <vt:variant>
        <vt:i4>4</vt:i4>
      </vt:variant>
      <vt:variant>
        <vt:lpstr>Intervalli denominati</vt:lpstr>
      </vt:variant>
      <vt:variant>
        <vt:i4>9</vt:i4>
      </vt:variant>
    </vt:vector>
  </HeadingPairs>
  <TitlesOfParts>
    <vt:vector size="13" baseType="lpstr">
      <vt:lpstr>Guida</vt:lpstr>
      <vt:lpstr>Impostazioni</vt:lpstr>
      <vt:lpstr>Organico 2026</vt:lpstr>
      <vt:lpstr>Riepilogo</vt:lpstr>
      <vt:lpstr>AliquotaINAIL</vt:lpstr>
      <vt:lpstr>AliquotaINPS</vt:lpstr>
      <vt:lpstr>AliquotaTFR</vt:lpstr>
      <vt:lpstr>AltriOneriPct</vt:lpstr>
      <vt:lpstr>AnnoSel</vt:lpstr>
      <vt:lpstr>BuonoPastoValore</vt:lpstr>
      <vt:lpstr>GiorniBuonoMese</vt:lpstr>
      <vt:lpstr>MensilitaDefault</vt:lpstr>
      <vt:lpstr>Reparti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Luca turco</cp:lastModifiedBy>
  <cp:revision>0</cp:revision>
  <dcterms:created xsi:type="dcterms:W3CDTF">2026-08-03T14:26:59Z</dcterms:created>
  <dcterms:modified xsi:type="dcterms:W3CDTF">2026-08-05T08:52:34Z</dcterms:modified>
  <dc:language>en-US</dc:language>
</cp:coreProperties>
</file>