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Definition2.xml" ContentType="application/vnd.openxmlformats-officedocument.spreadsheetml.pivotCacheDefinition+xml"/>
  <Override PartName="/xl/pivotCache/pivotCacheDefinition3.xml" ContentType="application/vnd.openxmlformats-officedocument.spreadsheetml.pivotCacheDefinition+xml"/>
  <Override PartName="/xl/pivotCache/pivotCacheDefinition4.xml" ContentType="application/vnd.openxmlformats-officedocument.spreadsheetml.pivotCacheDefinition+xml"/>
  <Override PartName="/xl/pivotCache/pivotCacheDefinition5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/>
  <mc:AlternateContent xmlns:mc="http://schemas.openxmlformats.org/markup-compatibility/2006">
    <mc:Choice Requires="x15">
      <x15ac:absPath xmlns:x15ac="http://schemas.microsoft.com/office/spreadsheetml/2010/11/ac" url="https://nreeducacional-my.sharepoint.com/personal/sybele_starling_afya_com_br/Documents/Documentos/2026_02/Matriz/"/>
    </mc:Choice>
  </mc:AlternateContent>
  <xr:revisionPtr revIDLastSave="0" documentId="8_{529C2AB5-C6AF-45DC-B919-700E4DCF69CC}" xr6:coauthVersionLast="47" xr6:coauthVersionMax="47" xr10:uidLastSave="{00000000-0000-0000-0000-000000000000}"/>
  <bookViews>
    <workbookView xWindow="-120" yWindow="-120" windowWidth="20730" windowHeight="11040" firstSheet="2" activeTab="2" xr2:uid="{27E7B9FC-429C-4658-901D-547982658323}"/>
  </bookViews>
  <sheets>
    <sheet name="Cursos" sheetId="7" state="hidden" r:id="rId1"/>
    <sheet name="Frame 1" sheetId="10" r:id="rId2"/>
    <sheet name="Frame 2" sheetId="9" r:id="rId3"/>
    <sheet name="Resumo" sheetId="8" state="hidden" r:id="rId4"/>
  </sheets>
  <definedNames>
    <definedName name="_xlnm._FilterDatabase" localSheetId="0" hidden="1">Cursos!$B$2:$B$33</definedName>
    <definedName name="_xlnm._FilterDatabase" localSheetId="1" hidden="1">'Frame 1'!$C$8:$N$53</definedName>
    <definedName name="_xlnm._FilterDatabase" localSheetId="2" hidden="1">'Frame 2'!$C$8:$N$47</definedName>
    <definedName name="_xlcn.WorksheetConnection_ModeloFrame5anos.xlsxTB_Enfermagem21" hidden="1">TB_Radiologia2[]</definedName>
    <definedName name="ADMINISTRAÇÃO">#REF!</definedName>
    <definedName name="ADS">#REF!</definedName>
    <definedName name="AGRONOMIA">#REF!</definedName>
    <definedName name="ARQUITETURA">#REF!</definedName>
    <definedName name="BIOMEDICINA">#REF!</definedName>
    <definedName name="CIÊNCIAS_CONTÁBEIS">#REF!</definedName>
    <definedName name="DIREITO">#REF!</definedName>
    <definedName name="EDUCAÇÃO_FÍSICA">#REF!</definedName>
    <definedName name="ENFERMAGEM">#REF!</definedName>
    <definedName name="ENGENHARIA_CIVIL">#REF!</definedName>
    <definedName name="ESTÉTICA_2.5_ANOS">#REF!</definedName>
    <definedName name="ESTÉTICA_2_ANOS">#REF!</definedName>
    <definedName name="ESTÉTICA_3_ANOS">#REF!</definedName>
    <definedName name="FARMÁCIA">#REF!</definedName>
    <definedName name="FISIOTERAPIA">#REF!</definedName>
    <definedName name="FONOAUDIOLOGIA">#REF!</definedName>
    <definedName name="NUTRIÇÃO">#REF!</definedName>
    <definedName name="PSICOLOGIA">#REF!</definedName>
    <definedName name="PUBLICIDADE_E_PROPAGANDA">#REF!</definedName>
    <definedName name="SISTEMAS_DE_INFORMAÇÃO">#REF!</definedName>
    <definedName name="VETERINÁRIA">#REF!</definedName>
  </definedNames>
  <calcPr calcId="191028"/>
  <pivotCaches>
    <pivotCache cacheId="7" r:id="rId5"/>
    <pivotCache cacheId="10" r:id="rId6"/>
    <pivotCache cacheId="13" r:id="rId7"/>
    <pivotCache cacheId="16" r:id="rId8"/>
    <pivotCache cacheId="19" r:id="rId9"/>
  </pivotCaches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TB_Enfermagem2" name="TB_Enfermagem2" connection="WorksheetConnection_Modelo Frame 5 anos.xlsx!TB_Enfermagem2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56" i="10" l="1"/>
  <c r="P56" i="10"/>
  <c r="O55" i="10"/>
  <c r="P55" i="10"/>
  <c r="P50" i="9"/>
  <c r="P49" i="9"/>
  <c r="O53" i="10"/>
  <c r="O47" i="9"/>
  <c r="I52" i="10"/>
  <c r="J52" i="10"/>
  <c r="K52" i="10"/>
  <c r="L52" i="10"/>
  <c r="M52" i="10"/>
  <c r="S52" i="10" a="1"/>
  <c r="S52" i="10" s="1"/>
  <c r="I46" i="10"/>
  <c r="J46" i="10"/>
  <c r="K46" i="10"/>
  <c r="L46" i="10"/>
  <c r="M46" i="10"/>
  <c r="S46" i="10" a="1"/>
  <c r="S46" i="10" s="1"/>
  <c r="I40" i="10"/>
  <c r="J40" i="10"/>
  <c r="K40" i="10"/>
  <c r="L40" i="10"/>
  <c r="M40" i="10"/>
  <c r="I25" i="10"/>
  <c r="J25" i="10"/>
  <c r="K25" i="10"/>
  <c r="L25" i="10"/>
  <c r="M25" i="10"/>
  <c r="I17" i="10"/>
  <c r="J17" i="10"/>
  <c r="K17" i="10"/>
  <c r="L17" i="10"/>
  <c r="M17" i="10"/>
  <c r="I32" i="10"/>
  <c r="J32" i="10"/>
  <c r="K32" i="10"/>
  <c r="L32" i="10"/>
  <c r="M32" i="10"/>
  <c r="G10" i="9"/>
  <c r="O10" i="9" s="1"/>
  <c r="G11" i="9"/>
  <c r="O11" i="9" s="1"/>
  <c r="G12" i="9"/>
  <c r="O12" i="9" s="1"/>
  <c r="G13" i="9"/>
  <c r="O13" i="9" s="1"/>
  <c r="G14" i="9"/>
  <c r="O14" i="9" s="1"/>
  <c r="G15" i="9"/>
  <c r="O15" i="9" s="1"/>
  <c r="G16" i="9"/>
  <c r="O16" i="9" s="1"/>
  <c r="G17" i="9"/>
  <c r="O17" i="9" s="1"/>
  <c r="G18" i="9"/>
  <c r="O18" i="9" s="1"/>
  <c r="G19" i="9"/>
  <c r="O19" i="9" s="1"/>
  <c r="G20" i="9"/>
  <c r="O20" i="9" s="1"/>
  <c r="G21" i="9"/>
  <c r="O21" i="9" s="1"/>
  <c r="G22" i="9"/>
  <c r="O22" i="9" s="1"/>
  <c r="G23" i="9"/>
  <c r="O23" i="9" s="1"/>
  <c r="G24" i="9"/>
  <c r="O24" i="9" s="1"/>
  <c r="G25" i="9"/>
  <c r="O25" i="9" s="1"/>
  <c r="G26" i="9"/>
  <c r="O26" i="9" s="1"/>
  <c r="G27" i="9"/>
  <c r="O27" i="9" s="1"/>
  <c r="G28" i="9"/>
  <c r="O28" i="9" s="1"/>
  <c r="G29" i="9"/>
  <c r="O29" i="9" s="1"/>
  <c r="G30" i="9"/>
  <c r="O30" i="9" s="1"/>
  <c r="G31" i="9"/>
  <c r="O31" i="9" s="1"/>
  <c r="G32" i="9"/>
  <c r="O32" i="9" s="1"/>
  <c r="G33" i="9"/>
  <c r="O33" i="9" s="1"/>
  <c r="G34" i="9"/>
  <c r="O34" i="9" s="1"/>
  <c r="G35" i="9"/>
  <c r="O35" i="9" s="1"/>
  <c r="G36" i="9"/>
  <c r="O36" i="9" s="1"/>
  <c r="G37" i="9"/>
  <c r="O37" i="9" s="1"/>
  <c r="G38" i="9"/>
  <c r="O38" i="9" s="1"/>
  <c r="G39" i="9"/>
  <c r="O39" i="9" s="1"/>
  <c r="G40" i="9"/>
  <c r="O40" i="9" s="1"/>
  <c r="G41" i="9"/>
  <c r="O41" i="9" s="1"/>
  <c r="G42" i="9"/>
  <c r="O42" i="9" s="1"/>
  <c r="G43" i="9"/>
  <c r="O43" i="9" s="1"/>
  <c r="G44" i="9"/>
  <c r="O44" i="9" s="1"/>
  <c r="G45" i="9"/>
  <c r="O45" i="9" s="1"/>
  <c r="G46" i="9"/>
  <c r="O46" i="9" s="1"/>
  <c r="P14" i="9" a="1"/>
  <c r="P14" i="9" s="1"/>
  <c r="P15" i="9" a="1"/>
  <c r="P15" i="9" s="1"/>
  <c r="G6" i="9"/>
  <c r="I50" i="9"/>
  <c r="J50" i="9"/>
  <c r="J51" i="9" s="1"/>
  <c r="K50" i="9"/>
  <c r="L50" i="9"/>
  <c r="L51" i="9" s="1"/>
  <c r="M50" i="9"/>
  <c r="M51" i="9" s="1"/>
  <c r="I49" i="9"/>
  <c r="J49" i="9"/>
  <c r="K49" i="9"/>
  <c r="L49" i="9"/>
  <c r="M49" i="9"/>
  <c r="G9" i="9"/>
  <c r="B15" i="9"/>
  <c r="V15" i="9" a="1"/>
  <c r="V15" i="9" s="1"/>
  <c r="W15" i="9"/>
  <c r="X15" i="9" a="1"/>
  <c r="X15" i="9" s="1"/>
  <c r="B14" i="9"/>
  <c r="V14" i="9" a="1"/>
  <c r="V14" i="9" s="1"/>
  <c r="W14" i="9"/>
  <c r="X14" i="9" a="1"/>
  <c r="X14" i="9" s="1"/>
  <c r="G6" i="10"/>
  <c r="G48" i="10"/>
  <c r="G49" i="10"/>
  <c r="G50" i="10"/>
  <c r="G51" i="10"/>
  <c r="G47" i="10"/>
  <c r="G42" i="10"/>
  <c r="G43" i="10"/>
  <c r="G44" i="10"/>
  <c r="G45" i="10"/>
  <c r="G41" i="10"/>
  <c r="G34" i="10"/>
  <c r="G35" i="10"/>
  <c r="G36" i="10"/>
  <c r="G37" i="10"/>
  <c r="G38" i="10"/>
  <c r="G39" i="10"/>
  <c r="G33" i="10"/>
  <c r="G27" i="10"/>
  <c r="G28" i="10"/>
  <c r="G29" i="10"/>
  <c r="G30" i="10"/>
  <c r="G31" i="10"/>
  <c r="G26" i="10"/>
  <c r="G19" i="10"/>
  <c r="G20" i="10"/>
  <c r="G21" i="10"/>
  <c r="G22" i="10"/>
  <c r="G23" i="10"/>
  <c r="G24" i="10"/>
  <c r="G18" i="10"/>
  <c r="G10" i="10"/>
  <c r="O10" i="10" s="1"/>
  <c r="G11" i="10"/>
  <c r="G12" i="10"/>
  <c r="O12" i="10" s="1"/>
  <c r="G13" i="10"/>
  <c r="O13" i="10" s="1"/>
  <c r="G14" i="10"/>
  <c r="O14" i="10" s="1"/>
  <c r="G15" i="10"/>
  <c r="O15" i="10" s="1"/>
  <c r="G16" i="10"/>
  <c r="O16" i="10" s="1"/>
  <c r="G9" i="10"/>
  <c r="B15" i="10"/>
  <c r="P15" i="10" a="1"/>
  <c r="P15" i="10" s="1"/>
  <c r="S15" i="10" a="1"/>
  <c r="S15" i="10" s="1"/>
  <c r="T15" i="10"/>
  <c r="U15" i="10" a="1"/>
  <c r="U15" i="10" s="1"/>
  <c r="B14" i="10"/>
  <c r="P14" i="10" a="1"/>
  <c r="P14" i="10" s="1"/>
  <c r="S14" i="10" a="1"/>
  <c r="S14" i="10" s="1"/>
  <c r="T14" i="10"/>
  <c r="U14" i="10" a="1"/>
  <c r="U14" i="10" s="1"/>
  <c r="U32" i="10" a="1"/>
  <c r="U32" i="10" s="1"/>
  <c r="S12" i="10" a="1"/>
  <c r="S12" i="10" s="1"/>
  <c r="T12" i="10"/>
  <c r="U12" i="10" a="1"/>
  <c r="U12" i="10" s="1"/>
  <c r="S13" i="10" a="1"/>
  <c r="S13" i="10" s="1"/>
  <c r="T13" i="10"/>
  <c r="U13" i="10" a="1"/>
  <c r="U13" i="10" s="1"/>
  <c r="S16" i="10" a="1"/>
  <c r="S16" i="10" s="1"/>
  <c r="T16" i="10"/>
  <c r="U16" i="10" a="1"/>
  <c r="U16" i="10" s="1"/>
  <c r="T17" i="10"/>
  <c r="U17" i="10" a="1"/>
  <c r="U17" i="10" s="1"/>
  <c r="S18" i="10" a="1"/>
  <c r="S18" i="10" s="1"/>
  <c r="T18" i="10"/>
  <c r="U18" i="10" a="1"/>
  <c r="U18" i="10" s="1"/>
  <c r="S19" i="10" a="1"/>
  <c r="S19" i="10" s="1"/>
  <c r="T19" i="10"/>
  <c r="U19" i="10" a="1"/>
  <c r="U19" i="10" s="1"/>
  <c r="S20" i="10" a="1"/>
  <c r="S20" i="10" s="1"/>
  <c r="T20" i="10"/>
  <c r="U20" i="10" a="1"/>
  <c r="U20" i="10" s="1"/>
  <c r="S21" i="10" a="1"/>
  <c r="S21" i="10" s="1"/>
  <c r="T21" i="10"/>
  <c r="U21" i="10" a="1"/>
  <c r="U21" i="10" s="1"/>
  <c r="S22" i="10" a="1"/>
  <c r="S22" i="10" s="1"/>
  <c r="T22" i="10"/>
  <c r="U22" i="10" a="1"/>
  <c r="U22" i="10" s="1"/>
  <c r="S23" i="10" a="1"/>
  <c r="S23" i="10" s="1"/>
  <c r="T23" i="10"/>
  <c r="U23" i="10" a="1"/>
  <c r="U23" i="10" s="1"/>
  <c r="S24" i="10" a="1"/>
  <c r="S24" i="10" s="1"/>
  <c r="T24" i="10"/>
  <c r="U24" i="10" a="1"/>
  <c r="U24" i="10" s="1"/>
  <c r="T25" i="10"/>
  <c r="U25" i="10" a="1"/>
  <c r="U25" i="10" s="1"/>
  <c r="S26" i="10" a="1"/>
  <c r="S26" i="10" s="1"/>
  <c r="T26" i="10"/>
  <c r="U26" i="10" a="1"/>
  <c r="U26" i="10" s="1"/>
  <c r="S27" i="10" a="1"/>
  <c r="S27" i="10" s="1"/>
  <c r="T27" i="10"/>
  <c r="U27" i="10" a="1"/>
  <c r="U27" i="10" s="1"/>
  <c r="S28" i="10" a="1"/>
  <c r="S28" i="10" s="1"/>
  <c r="T28" i="10"/>
  <c r="U28" i="10" a="1"/>
  <c r="U28" i="10" s="1"/>
  <c r="S29" i="10" a="1"/>
  <c r="S29" i="10" s="1"/>
  <c r="T29" i="10"/>
  <c r="U29" i="10" a="1"/>
  <c r="U29" i="10" s="1"/>
  <c r="S30" i="10" a="1"/>
  <c r="S30" i="10" s="1"/>
  <c r="T30" i="10"/>
  <c r="U30" i="10" a="1"/>
  <c r="U30" i="10" s="1"/>
  <c r="S31" i="10" a="1"/>
  <c r="S31" i="10" s="1"/>
  <c r="T31" i="10"/>
  <c r="U31" i="10" a="1"/>
  <c r="U31" i="10" s="1"/>
  <c r="S33" i="10" a="1"/>
  <c r="S33" i="10" s="1"/>
  <c r="T33" i="10"/>
  <c r="U33" i="10" a="1"/>
  <c r="U33" i="10" s="1"/>
  <c r="S34" i="10" a="1"/>
  <c r="S34" i="10" s="1"/>
  <c r="T34" i="10"/>
  <c r="U34" i="10" a="1"/>
  <c r="U34" i="10" s="1"/>
  <c r="S35" i="10" a="1"/>
  <c r="S35" i="10" s="1"/>
  <c r="T35" i="10"/>
  <c r="U35" i="10" a="1"/>
  <c r="U35" i="10" s="1"/>
  <c r="S36" i="10" a="1"/>
  <c r="S36" i="10" s="1"/>
  <c r="T36" i="10"/>
  <c r="U36" i="10" a="1"/>
  <c r="U36" i="10" s="1"/>
  <c r="S37" i="10" a="1"/>
  <c r="S37" i="10" s="1"/>
  <c r="T37" i="10"/>
  <c r="U37" i="10" a="1"/>
  <c r="U37" i="10" s="1"/>
  <c r="S38" i="10" a="1"/>
  <c r="S38" i="10" s="1"/>
  <c r="T38" i="10"/>
  <c r="U38" i="10" a="1"/>
  <c r="U38" i="10" s="1"/>
  <c r="S39" i="10" a="1"/>
  <c r="S39" i="10" s="1"/>
  <c r="T39" i="10"/>
  <c r="U39" i="10" a="1"/>
  <c r="U39" i="10" s="1"/>
  <c r="T40" i="10"/>
  <c r="U40" i="10" a="1"/>
  <c r="U40" i="10" s="1"/>
  <c r="S41" i="10" a="1"/>
  <c r="S41" i="10" s="1"/>
  <c r="T41" i="10"/>
  <c r="U41" i="10" a="1"/>
  <c r="U41" i="10" s="1"/>
  <c r="S42" i="10" a="1"/>
  <c r="S42" i="10" s="1"/>
  <c r="T42" i="10"/>
  <c r="U42" i="10" a="1"/>
  <c r="U42" i="10" s="1"/>
  <c r="S43" i="10" a="1"/>
  <c r="S43" i="10" s="1"/>
  <c r="T43" i="10"/>
  <c r="U43" i="10" a="1"/>
  <c r="U43" i="10" s="1"/>
  <c r="S44" i="10" a="1"/>
  <c r="S44" i="10" s="1"/>
  <c r="T44" i="10"/>
  <c r="U44" i="10" a="1"/>
  <c r="U44" i="10" s="1"/>
  <c r="S45" i="10" a="1"/>
  <c r="S45" i="10" s="1"/>
  <c r="T45" i="10"/>
  <c r="U45" i="10" a="1"/>
  <c r="U45" i="10" s="1"/>
  <c r="S47" i="10" a="1"/>
  <c r="S47" i="10" s="1"/>
  <c r="T47" i="10"/>
  <c r="U47" i="10" a="1"/>
  <c r="U47" i="10" s="1"/>
  <c r="S48" i="10" a="1"/>
  <c r="S48" i="10" s="1"/>
  <c r="T48" i="10"/>
  <c r="U48" i="10" a="1"/>
  <c r="U48" i="10" s="1"/>
  <c r="S49" i="10" a="1"/>
  <c r="S49" i="10" s="1"/>
  <c r="T49" i="10"/>
  <c r="U49" i="10" a="1"/>
  <c r="U49" i="10" s="1"/>
  <c r="S50" i="10" a="1"/>
  <c r="S50" i="10" s="1"/>
  <c r="T50" i="10"/>
  <c r="U50" i="10" a="1"/>
  <c r="U50" i="10" s="1"/>
  <c r="S51" i="10" a="1"/>
  <c r="S51" i="10" s="1"/>
  <c r="T51" i="10"/>
  <c r="U51" i="10" a="1"/>
  <c r="U51" i="10" s="1"/>
  <c r="T52" i="10" l="1"/>
  <c r="U52" i="10" a="1"/>
  <c r="U52" i="10" s="1"/>
  <c r="M56" i="10"/>
  <c r="M57" i="10" s="1"/>
  <c r="M55" i="10"/>
  <c r="L56" i="10"/>
  <c r="L57" i="10" s="1"/>
  <c r="L55" i="10"/>
  <c r="K56" i="10"/>
  <c r="G5" i="10" s="1"/>
  <c r="K55" i="10"/>
  <c r="J56" i="10"/>
  <c r="J57" i="10" s="1"/>
  <c r="J55" i="10"/>
  <c r="I56" i="10"/>
  <c r="I57" i="10" s="1"/>
  <c r="I55" i="10"/>
  <c r="V15" i="10" a="1"/>
  <c r="V15" i="10" s="1"/>
  <c r="V14" i="10" a="1"/>
  <c r="V14" i="10" s="1"/>
  <c r="G49" i="9"/>
  <c r="G56" i="9"/>
  <c r="Y14" i="9" a="1"/>
  <c r="Y14" i="9" s="1"/>
  <c r="Y15" i="9" a="1"/>
  <c r="Y15" i="9" s="1"/>
  <c r="I51" i="9"/>
  <c r="G52" i="10"/>
  <c r="G32" i="10"/>
  <c r="G40" i="10"/>
  <c r="G17" i="10"/>
  <c r="G25" i="10"/>
  <c r="G46" i="10"/>
  <c r="O11" i="10"/>
  <c r="G5" i="9"/>
  <c r="K51" i="9"/>
  <c r="S17" i="10" a="1"/>
  <c r="S17" i="10" s="1"/>
  <c r="S25" i="10" a="1"/>
  <c r="S25" i="10" s="1"/>
  <c r="S40" i="10" a="1"/>
  <c r="S40" i="10" s="1"/>
  <c r="U46" i="10" a="1"/>
  <c r="U46" i="10" s="1"/>
  <c r="T46" i="10"/>
  <c r="T32" i="10"/>
  <c r="S32" i="10" a="1"/>
  <c r="S32" i="10" s="1"/>
  <c r="AB6" i="8"/>
  <c r="AB7" i="8"/>
  <c r="AB8" i="8"/>
  <c r="AB9" i="8"/>
  <c r="AC9" i="8" s="1"/>
  <c r="AB5" i="8"/>
  <c r="B52" i="10"/>
  <c r="B46" i="10"/>
  <c r="B40" i="10"/>
  <c r="B32" i="10"/>
  <c r="B25" i="10"/>
  <c r="V57" i="10"/>
  <c r="U57" i="10"/>
  <c r="T57" i="10"/>
  <c r="S57" i="10"/>
  <c r="U53" i="10" a="1"/>
  <c r="U53" i="10" s="1"/>
  <c r="T53" i="10"/>
  <c r="S53" i="10" a="1"/>
  <c r="S53" i="10" s="1"/>
  <c r="B53" i="10"/>
  <c r="P51" i="10" a="1"/>
  <c r="P51" i="10" s="1"/>
  <c r="O51" i="10"/>
  <c r="V51" i="10" s="1" a="1"/>
  <c r="V51" i="10" s="1"/>
  <c r="B51" i="10"/>
  <c r="P50" i="10" a="1"/>
  <c r="P50" i="10" s="1"/>
  <c r="O50" i="10"/>
  <c r="V50" i="10" s="1" a="1"/>
  <c r="V50" i="10" s="1"/>
  <c r="B50" i="10"/>
  <c r="P49" i="10" a="1"/>
  <c r="P49" i="10" s="1"/>
  <c r="O49" i="10"/>
  <c r="V49" i="10" s="1" a="1"/>
  <c r="V49" i="10" s="1"/>
  <c r="B49" i="10"/>
  <c r="P48" i="10" a="1"/>
  <c r="P48" i="10" s="1"/>
  <c r="O48" i="10"/>
  <c r="V48" i="10" s="1" a="1"/>
  <c r="V48" i="10" s="1"/>
  <c r="B48" i="10"/>
  <c r="P47" i="10" a="1"/>
  <c r="P47" i="10" s="1"/>
  <c r="O47" i="10"/>
  <c r="B47" i="10"/>
  <c r="P45" i="10" a="1"/>
  <c r="P45" i="10" s="1"/>
  <c r="O45" i="10"/>
  <c r="V45" i="10" s="1" a="1"/>
  <c r="V45" i="10" s="1"/>
  <c r="B45" i="10"/>
  <c r="P44" i="10" a="1"/>
  <c r="P44" i="10" s="1"/>
  <c r="O44" i="10"/>
  <c r="V44" i="10" s="1" a="1"/>
  <c r="V44" i="10" s="1"/>
  <c r="B44" i="10"/>
  <c r="P43" i="10" a="1"/>
  <c r="P43" i="10" s="1"/>
  <c r="O43" i="10"/>
  <c r="V43" i="10" s="1" a="1"/>
  <c r="V43" i="10" s="1"/>
  <c r="B43" i="10"/>
  <c r="P42" i="10" a="1"/>
  <c r="P42" i="10" s="1"/>
  <c r="O42" i="10"/>
  <c r="V42" i="10" s="1" a="1"/>
  <c r="V42" i="10" s="1"/>
  <c r="B42" i="10"/>
  <c r="P41" i="10" a="1"/>
  <c r="P41" i="10" s="1"/>
  <c r="O41" i="10"/>
  <c r="B41" i="10"/>
  <c r="P39" i="10" a="1"/>
  <c r="P39" i="10" s="1"/>
  <c r="O39" i="10"/>
  <c r="V39" i="10" s="1" a="1"/>
  <c r="V39" i="10" s="1"/>
  <c r="B39" i="10"/>
  <c r="P38" i="10" a="1"/>
  <c r="P38" i="10" s="1"/>
  <c r="O38" i="10"/>
  <c r="V38" i="10" s="1" a="1"/>
  <c r="V38" i="10" s="1"/>
  <c r="B38" i="10"/>
  <c r="P37" i="10" a="1"/>
  <c r="P37" i="10" s="1"/>
  <c r="O37" i="10"/>
  <c r="V37" i="10" s="1" a="1"/>
  <c r="V37" i="10" s="1"/>
  <c r="B37" i="10"/>
  <c r="P36" i="10" a="1"/>
  <c r="P36" i="10" s="1"/>
  <c r="O36" i="10"/>
  <c r="V36" i="10" s="1" a="1"/>
  <c r="V36" i="10" s="1"/>
  <c r="B36" i="10"/>
  <c r="P35" i="10" a="1"/>
  <c r="P35" i="10" s="1"/>
  <c r="O35" i="10"/>
  <c r="V35" i="10" s="1" a="1"/>
  <c r="V35" i="10" s="1"/>
  <c r="B35" i="10"/>
  <c r="P34" i="10" a="1"/>
  <c r="P34" i="10" s="1"/>
  <c r="O34" i="10"/>
  <c r="V34" i="10" s="1" a="1"/>
  <c r="V34" i="10" s="1"/>
  <c r="B34" i="10"/>
  <c r="P33" i="10" a="1"/>
  <c r="P33" i="10" s="1"/>
  <c r="O33" i="10"/>
  <c r="B33" i="10"/>
  <c r="P31" i="10" a="1"/>
  <c r="P31" i="10" s="1"/>
  <c r="O31" i="10"/>
  <c r="V31" i="10" s="1" a="1"/>
  <c r="V31" i="10" s="1"/>
  <c r="B31" i="10"/>
  <c r="P30" i="10" a="1"/>
  <c r="P30" i="10" s="1"/>
  <c r="O30" i="10"/>
  <c r="V30" i="10" s="1" a="1"/>
  <c r="V30" i="10" s="1"/>
  <c r="B30" i="10"/>
  <c r="P29" i="10" a="1"/>
  <c r="P29" i="10" s="1"/>
  <c r="O29" i="10"/>
  <c r="V29" i="10" s="1" a="1"/>
  <c r="V29" i="10" s="1"/>
  <c r="B29" i="10"/>
  <c r="P28" i="10" a="1"/>
  <c r="P28" i="10" s="1"/>
  <c r="O28" i="10"/>
  <c r="V28" i="10" s="1" a="1"/>
  <c r="V28" i="10" s="1"/>
  <c r="B28" i="10"/>
  <c r="P27" i="10" a="1"/>
  <c r="P27" i="10" s="1"/>
  <c r="O27" i="10"/>
  <c r="V27" i="10" s="1" a="1"/>
  <c r="V27" i="10" s="1"/>
  <c r="B27" i="10"/>
  <c r="P26" i="10" a="1"/>
  <c r="P26" i="10" s="1"/>
  <c r="O26" i="10"/>
  <c r="B26" i="10"/>
  <c r="P24" i="10" a="1"/>
  <c r="P24" i="10" s="1"/>
  <c r="O24" i="10"/>
  <c r="V24" i="10" s="1" a="1"/>
  <c r="V24" i="10" s="1"/>
  <c r="B24" i="10"/>
  <c r="P23" i="10" a="1"/>
  <c r="P23" i="10" s="1"/>
  <c r="O23" i="10"/>
  <c r="V23" i="10" s="1" a="1"/>
  <c r="V23" i="10" s="1"/>
  <c r="B23" i="10"/>
  <c r="P22" i="10" a="1"/>
  <c r="P22" i="10" s="1"/>
  <c r="O22" i="10"/>
  <c r="V22" i="10" s="1" a="1"/>
  <c r="V22" i="10" s="1"/>
  <c r="B22" i="10"/>
  <c r="P21" i="10" a="1"/>
  <c r="P21" i="10" s="1"/>
  <c r="O21" i="10"/>
  <c r="V21" i="10" s="1" a="1"/>
  <c r="V21" i="10" s="1"/>
  <c r="B21" i="10"/>
  <c r="P20" i="10" a="1"/>
  <c r="P20" i="10" s="1"/>
  <c r="O20" i="10"/>
  <c r="V20" i="10" s="1" a="1"/>
  <c r="V20" i="10" s="1"/>
  <c r="B20" i="10"/>
  <c r="P19" i="10" a="1"/>
  <c r="P19" i="10" s="1"/>
  <c r="O19" i="10"/>
  <c r="V19" i="10" s="1" a="1"/>
  <c r="V19" i="10" s="1"/>
  <c r="B19" i="10"/>
  <c r="P18" i="10" a="1"/>
  <c r="P18" i="10" s="1"/>
  <c r="O18" i="10"/>
  <c r="B18" i="10"/>
  <c r="P16" i="10" a="1"/>
  <c r="P16" i="10" s="1"/>
  <c r="V16" i="10" a="1"/>
  <c r="V16" i="10" s="1"/>
  <c r="B16" i="10"/>
  <c r="P13" i="10" a="1"/>
  <c r="P13" i="10" s="1"/>
  <c r="V13" i="10" a="1"/>
  <c r="V13" i="10" s="1"/>
  <c r="B13" i="10"/>
  <c r="P12" i="10" a="1"/>
  <c r="P12" i="10" s="1"/>
  <c r="V12" i="10" a="1"/>
  <c r="V12" i="10" s="1"/>
  <c r="B12" i="10"/>
  <c r="U11" i="10" a="1"/>
  <c r="U11" i="10" s="1"/>
  <c r="T11" i="10"/>
  <c r="S11" i="10" a="1"/>
  <c r="S11" i="10" s="1"/>
  <c r="P11" i="10" a="1"/>
  <c r="P11" i="10" s="1"/>
  <c r="B11" i="10"/>
  <c r="U10" i="10" a="1"/>
  <c r="U10" i="10" s="1"/>
  <c r="T10" i="10"/>
  <c r="S10" i="10" a="1"/>
  <c r="S10" i="10" s="1"/>
  <c r="P10" i="10" a="1"/>
  <c r="P10" i="10" s="1"/>
  <c r="B10" i="10"/>
  <c r="U9" i="10" a="1"/>
  <c r="U9" i="10" s="1"/>
  <c r="T9" i="10"/>
  <c r="S9" i="10" a="1"/>
  <c r="S9" i="10" s="1"/>
  <c r="P9" i="10" a="1"/>
  <c r="P9" i="10" s="1"/>
  <c r="O9" i="10"/>
  <c r="B9" i="10"/>
  <c r="P35" i="9" a="1"/>
  <c r="P35" i="9" s="1"/>
  <c r="P36" i="9" a="1"/>
  <c r="P36" i="9" s="1"/>
  <c r="P47" i="9" a="1"/>
  <c r="P47" i="9" s="1"/>
  <c r="Y51" i="9"/>
  <c r="X51" i="9"/>
  <c r="W51" i="9"/>
  <c r="V51" i="9"/>
  <c r="G50" i="9"/>
  <c r="X47" i="9" a="1"/>
  <c r="X47" i="9" s="1"/>
  <c r="W47" i="9"/>
  <c r="V47" i="9" a="1"/>
  <c r="V47" i="9" s="1"/>
  <c r="B47" i="9"/>
  <c r="X46" i="9" a="1"/>
  <c r="X46" i="9" s="1"/>
  <c r="W46" i="9"/>
  <c r="V46" i="9" a="1"/>
  <c r="V46" i="9" s="1"/>
  <c r="Y46" i="9" s="1" a="1"/>
  <c r="Y46" i="9" s="1"/>
  <c r="P46" i="9" a="1"/>
  <c r="P46" i="9" s="1"/>
  <c r="B46" i="9"/>
  <c r="X45" i="9" a="1"/>
  <c r="X45" i="9" s="1"/>
  <c r="W45" i="9"/>
  <c r="V45" i="9" a="1"/>
  <c r="V45" i="9" s="1"/>
  <c r="Y45" i="9" s="1" a="1"/>
  <c r="Y45" i="9" s="1"/>
  <c r="P45" i="9" a="1"/>
  <c r="P45" i="9" s="1"/>
  <c r="B45" i="9"/>
  <c r="X44" i="9" a="1"/>
  <c r="X44" i="9" s="1"/>
  <c r="W44" i="9"/>
  <c r="V44" i="9" a="1"/>
  <c r="V44" i="9" s="1"/>
  <c r="Y44" i="9" s="1" a="1"/>
  <c r="Y44" i="9" s="1"/>
  <c r="P44" i="9" a="1"/>
  <c r="P44" i="9" s="1"/>
  <c r="B44" i="9"/>
  <c r="X43" i="9" a="1"/>
  <c r="X43" i="9" s="1"/>
  <c r="W43" i="9"/>
  <c r="V43" i="9" a="1"/>
  <c r="V43" i="9" s="1"/>
  <c r="P43" i="9" a="1"/>
  <c r="P43" i="9" s="1"/>
  <c r="B43" i="9"/>
  <c r="X42" i="9" a="1"/>
  <c r="X42" i="9" s="1"/>
  <c r="W42" i="9"/>
  <c r="V42" i="9" a="1"/>
  <c r="V42" i="9" s="1"/>
  <c r="P42" i="9" a="1"/>
  <c r="P42" i="9" s="1"/>
  <c r="B42" i="9"/>
  <c r="X41" i="9" a="1"/>
  <c r="X41" i="9" s="1"/>
  <c r="W41" i="9"/>
  <c r="V41" i="9" a="1"/>
  <c r="V41" i="9" s="1"/>
  <c r="P41" i="9" a="1"/>
  <c r="P41" i="9" s="1"/>
  <c r="B41" i="9"/>
  <c r="X40" i="9" a="1"/>
  <c r="X40" i="9" s="1"/>
  <c r="W40" i="9"/>
  <c r="V40" i="9" a="1"/>
  <c r="V40" i="9" s="1"/>
  <c r="Y40" i="9" s="1" a="1"/>
  <c r="Y40" i="9" s="1"/>
  <c r="P40" i="9" a="1"/>
  <c r="P40" i="9" s="1"/>
  <c r="B40" i="9"/>
  <c r="X39" i="9" a="1"/>
  <c r="X39" i="9" s="1"/>
  <c r="W39" i="9"/>
  <c r="V39" i="9" a="1"/>
  <c r="V39" i="9" s="1"/>
  <c r="Y39" i="9" s="1" a="1"/>
  <c r="Y39" i="9" s="1"/>
  <c r="P39" i="9" a="1"/>
  <c r="P39" i="9" s="1"/>
  <c r="B39" i="9"/>
  <c r="X38" i="9" a="1"/>
  <c r="X38" i="9" s="1"/>
  <c r="W38" i="9"/>
  <c r="V38" i="9" a="1"/>
  <c r="V38" i="9" s="1"/>
  <c r="P38" i="9" a="1"/>
  <c r="P38" i="9" s="1"/>
  <c r="B38" i="9"/>
  <c r="X37" i="9" a="1"/>
  <c r="X37" i="9" s="1"/>
  <c r="W37" i="9"/>
  <c r="V37" i="9" a="1"/>
  <c r="V37" i="9" s="1"/>
  <c r="Y37" i="9" s="1" a="1"/>
  <c r="Y37" i="9" s="1"/>
  <c r="P37" i="9" a="1"/>
  <c r="P37" i="9" s="1"/>
  <c r="B37" i="9"/>
  <c r="X36" i="9" a="1"/>
  <c r="X36" i="9" s="1"/>
  <c r="W36" i="9"/>
  <c r="V36" i="9" a="1"/>
  <c r="V36" i="9" s="1"/>
  <c r="B36" i="9"/>
  <c r="X35" i="9" a="1"/>
  <c r="X35" i="9" s="1"/>
  <c r="W35" i="9"/>
  <c r="V35" i="9" a="1"/>
  <c r="V35" i="9" s="1"/>
  <c r="B35" i="9"/>
  <c r="X34" i="9" a="1"/>
  <c r="X34" i="9" s="1"/>
  <c r="W34" i="9"/>
  <c r="V34" i="9" a="1"/>
  <c r="V34" i="9" s="1"/>
  <c r="Y34" i="9" s="1" a="1"/>
  <c r="Y34" i="9" s="1"/>
  <c r="P34" i="9" a="1"/>
  <c r="P34" i="9" s="1"/>
  <c r="B34" i="9"/>
  <c r="X33" i="9" a="1"/>
  <c r="X33" i="9" s="1"/>
  <c r="W33" i="9"/>
  <c r="V33" i="9" a="1"/>
  <c r="V33" i="9" s="1"/>
  <c r="P33" i="9" a="1"/>
  <c r="P33" i="9" s="1"/>
  <c r="B33" i="9"/>
  <c r="X32" i="9" a="1"/>
  <c r="X32" i="9" s="1"/>
  <c r="W32" i="9"/>
  <c r="V32" i="9" a="1"/>
  <c r="V32" i="9" s="1"/>
  <c r="P32" i="9" a="1"/>
  <c r="P32" i="9" s="1"/>
  <c r="B32" i="9"/>
  <c r="X31" i="9" a="1"/>
  <c r="X31" i="9" s="1"/>
  <c r="W31" i="9"/>
  <c r="V31" i="9" a="1"/>
  <c r="V31" i="9" s="1"/>
  <c r="P31" i="9" a="1"/>
  <c r="P31" i="9" s="1"/>
  <c r="B31" i="9"/>
  <c r="X30" i="9" a="1"/>
  <c r="X30" i="9" s="1"/>
  <c r="W30" i="9"/>
  <c r="V30" i="9" a="1"/>
  <c r="V30" i="9" s="1"/>
  <c r="P30" i="9" a="1"/>
  <c r="P30" i="9" s="1"/>
  <c r="B30" i="9"/>
  <c r="X29" i="9" a="1"/>
  <c r="X29" i="9" s="1"/>
  <c r="W29" i="9"/>
  <c r="V29" i="9" a="1"/>
  <c r="V29" i="9" s="1"/>
  <c r="P29" i="9" a="1"/>
  <c r="P29" i="9" s="1"/>
  <c r="B29" i="9"/>
  <c r="X28" i="9" a="1"/>
  <c r="X28" i="9" s="1"/>
  <c r="W28" i="9"/>
  <c r="V28" i="9" a="1"/>
  <c r="V28" i="9" s="1"/>
  <c r="P28" i="9" a="1"/>
  <c r="P28" i="9" s="1"/>
  <c r="B28" i="9"/>
  <c r="X27" i="9" a="1"/>
  <c r="X27" i="9" s="1"/>
  <c r="W27" i="9"/>
  <c r="V27" i="9" a="1"/>
  <c r="V27" i="9" s="1"/>
  <c r="Y27" i="9" s="1" a="1"/>
  <c r="Y27" i="9" s="1"/>
  <c r="P27" i="9" a="1"/>
  <c r="P27" i="9" s="1"/>
  <c r="B27" i="9"/>
  <c r="X26" i="9" a="1"/>
  <c r="X26" i="9" s="1"/>
  <c r="W26" i="9"/>
  <c r="V26" i="9" a="1"/>
  <c r="V26" i="9" s="1"/>
  <c r="Y26" i="9" s="1" a="1"/>
  <c r="Y26" i="9" s="1"/>
  <c r="P26" i="9" a="1"/>
  <c r="P26" i="9" s="1"/>
  <c r="B26" i="9"/>
  <c r="X25" i="9" a="1"/>
  <c r="X25" i="9" s="1"/>
  <c r="W25" i="9"/>
  <c r="V25" i="9" a="1"/>
  <c r="V25" i="9" s="1"/>
  <c r="Y25" i="9" s="1" a="1"/>
  <c r="Y25" i="9" s="1"/>
  <c r="P25" i="9" a="1"/>
  <c r="P25" i="9" s="1"/>
  <c r="B25" i="9"/>
  <c r="X24" i="9" a="1"/>
  <c r="X24" i="9" s="1"/>
  <c r="W24" i="9"/>
  <c r="V24" i="9" a="1"/>
  <c r="V24" i="9" s="1"/>
  <c r="Y24" i="9" s="1" a="1"/>
  <c r="Y24" i="9" s="1"/>
  <c r="P24" i="9" a="1"/>
  <c r="P24" i="9" s="1"/>
  <c r="B24" i="9"/>
  <c r="X23" i="9" a="1"/>
  <c r="X23" i="9" s="1"/>
  <c r="W23" i="9"/>
  <c r="V23" i="9" a="1"/>
  <c r="V23" i="9" s="1"/>
  <c r="P23" i="9" a="1"/>
  <c r="P23" i="9" s="1"/>
  <c r="B23" i="9"/>
  <c r="X22" i="9" a="1"/>
  <c r="X22" i="9" s="1"/>
  <c r="W22" i="9"/>
  <c r="V22" i="9" a="1"/>
  <c r="V22" i="9" s="1"/>
  <c r="P22" i="9" a="1"/>
  <c r="P22" i="9" s="1"/>
  <c r="B22" i="9"/>
  <c r="X21" i="9" a="1"/>
  <c r="X21" i="9" s="1"/>
  <c r="W21" i="9"/>
  <c r="V21" i="9" a="1"/>
  <c r="V21" i="9" s="1"/>
  <c r="Y21" i="9" s="1" a="1"/>
  <c r="Y21" i="9" s="1"/>
  <c r="P21" i="9" a="1"/>
  <c r="P21" i="9" s="1"/>
  <c r="B21" i="9"/>
  <c r="X20" i="9" a="1"/>
  <c r="X20" i="9" s="1"/>
  <c r="W20" i="9"/>
  <c r="V20" i="9" a="1"/>
  <c r="V20" i="9" s="1"/>
  <c r="P20" i="9" a="1"/>
  <c r="P20" i="9" s="1"/>
  <c r="B20" i="9"/>
  <c r="X19" i="9" a="1"/>
  <c r="X19" i="9" s="1"/>
  <c r="W19" i="9"/>
  <c r="V19" i="9" a="1"/>
  <c r="V19" i="9" s="1"/>
  <c r="P19" i="9" a="1"/>
  <c r="P19" i="9" s="1"/>
  <c r="B19" i="9"/>
  <c r="X18" i="9" a="1"/>
  <c r="X18" i="9" s="1"/>
  <c r="W18" i="9"/>
  <c r="V18" i="9" a="1"/>
  <c r="V18" i="9" s="1"/>
  <c r="Y18" i="9" s="1" a="1"/>
  <c r="Y18" i="9" s="1"/>
  <c r="P18" i="9" a="1"/>
  <c r="P18" i="9" s="1"/>
  <c r="B18" i="9"/>
  <c r="X17" i="9" a="1"/>
  <c r="X17" i="9" s="1"/>
  <c r="W17" i="9"/>
  <c r="V17" i="9" a="1"/>
  <c r="V17" i="9" s="1"/>
  <c r="P17" i="9" a="1"/>
  <c r="P17" i="9" s="1"/>
  <c r="B17" i="9"/>
  <c r="X16" i="9" a="1"/>
  <c r="X16" i="9" s="1"/>
  <c r="W16" i="9"/>
  <c r="V16" i="9" a="1"/>
  <c r="V16" i="9" s="1"/>
  <c r="P16" i="9" a="1"/>
  <c r="P16" i="9" s="1"/>
  <c r="B16" i="9"/>
  <c r="X13" i="9" a="1"/>
  <c r="X13" i="9" s="1"/>
  <c r="W13" i="9"/>
  <c r="V13" i="9" a="1"/>
  <c r="V13" i="9" s="1"/>
  <c r="Y13" i="9" s="1" a="1"/>
  <c r="Y13" i="9" s="1"/>
  <c r="P13" i="9" a="1"/>
  <c r="P13" i="9" s="1"/>
  <c r="B13" i="9"/>
  <c r="X12" i="9" a="1"/>
  <c r="X12" i="9" s="1"/>
  <c r="W12" i="9"/>
  <c r="V12" i="9" a="1"/>
  <c r="V12" i="9" s="1"/>
  <c r="P12" i="9" a="1"/>
  <c r="P12" i="9" s="1"/>
  <c r="B12" i="9"/>
  <c r="X11" i="9" a="1"/>
  <c r="X11" i="9" s="1"/>
  <c r="W11" i="9"/>
  <c r="V11" i="9" a="1"/>
  <c r="V11" i="9" s="1"/>
  <c r="P11" i="9" a="1"/>
  <c r="P11" i="9" s="1"/>
  <c r="B11" i="9"/>
  <c r="X10" i="9" a="1"/>
  <c r="X10" i="9" s="1"/>
  <c r="W10" i="9"/>
  <c r="V10" i="9" a="1"/>
  <c r="V10" i="9" s="1"/>
  <c r="P10" i="9" a="1"/>
  <c r="P10" i="9" s="1"/>
  <c r="B10" i="9"/>
  <c r="X9" i="9" a="1"/>
  <c r="X9" i="9" s="1"/>
  <c r="W9" i="9"/>
  <c r="W49" i="9" s="1"/>
  <c r="V9" i="9" a="1"/>
  <c r="V9" i="9" s="1"/>
  <c r="P9" i="9" a="1"/>
  <c r="P9" i="9" s="1"/>
  <c r="O9" i="9"/>
  <c r="B9" i="9"/>
  <c r="O50" i="9" l="1"/>
  <c r="O49" i="9"/>
  <c r="V47" i="10" a="1"/>
  <c r="V47" i="10" s="1"/>
  <c r="O52" i="10"/>
  <c r="V52" i="10" s="1" a="1"/>
  <c r="V52" i="10" s="1"/>
  <c r="P52" i="10"/>
  <c r="P40" i="10"/>
  <c r="V41" i="10" a="1"/>
  <c r="V41" i="10" s="1"/>
  <c r="O46" i="10"/>
  <c r="V46" i="10" s="1" a="1"/>
  <c r="V46" i="10" s="1"/>
  <c r="P46" i="10"/>
  <c r="V33" i="10" a="1"/>
  <c r="V33" i="10" s="1"/>
  <c r="O40" i="10"/>
  <c r="V40" i="10" s="1" a="1"/>
  <c r="V40" i="10" s="1"/>
  <c r="P25" i="10"/>
  <c r="V18" i="10" a="1"/>
  <c r="V18" i="10" s="1"/>
  <c r="O25" i="10"/>
  <c r="V25" i="10" s="1" a="1"/>
  <c r="V25" i="10" s="1"/>
  <c r="K57" i="10"/>
  <c r="O17" i="10"/>
  <c r="V17" i="10" s="1" a="1"/>
  <c r="V17" i="10" s="1"/>
  <c r="P17" i="10"/>
  <c r="G62" i="10"/>
  <c r="V26" i="10" a="1"/>
  <c r="V26" i="10" s="1"/>
  <c r="O32" i="10"/>
  <c r="V32" i="10" s="1" a="1"/>
  <c r="V32" i="10" s="1"/>
  <c r="P32" i="10"/>
  <c r="G4" i="9"/>
  <c r="G57" i="9"/>
  <c r="H57" i="9" s="1"/>
  <c r="G55" i="10"/>
  <c r="G56" i="10"/>
  <c r="L58" i="10" s="1"/>
  <c r="O51" i="9"/>
  <c r="Y11" i="9" a="1"/>
  <c r="Y11" i="9" s="1"/>
  <c r="Y12" i="9" a="1"/>
  <c r="Y12" i="9" s="1"/>
  <c r="H56" i="9"/>
  <c r="G51" i="9"/>
  <c r="I52" i="9"/>
  <c r="J52" i="9"/>
  <c r="M52" i="9"/>
  <c r="AC5" i="8"/>
  <c r="T55" i="10"/>
  <c r="V11" i="10" a="1"/>
  <c r="V11" i="10" s="1"/>
  <c r="V10" i="10" a="1"/>
  <c r="V10" i="10" s="1"/>
  <c r="V53" i="10" a="1"/>
  <c r="V53" i="10" s="1"/>
  <c r="S55" i="10"/>
  <c r="U55" i="10"/>
  <c r="V9" i="10" a="1"/>
  <c r="V9" i="10" s="1"/>
  <c r="Y31" i="9" a="1"/>
  <c r="Y31" i="9" s="1"/>
  <c r="Y19" i="9" a="1"/>
  <c r="Y19" i="9" s="1"/>
  <c r="Y32" i="9" a="1"/>
  <c r="Y32" i="9" s="1"/>
  <c r="Y20" i="9" a="1"/>
  <c r="Y20" i="9" s="1"/>
  <c r="Y22" i="9" a="1"/>
  <c r="Y22" i="9" s="1"/>
  <c r="Y23" i="9" a="1"/>
  <c r="Y23" i="9" s="1"/>
  <c r="Y29" i="9" a="1"/>
  <c r="Y29" i="9" s="1"/>
  <c r="Y43" i="9" a="1"/>
  <c r="Y43" i="9" s="1"/>
  <c r="Y10" i="9" a="1"/>
  <c r="Y10" i="9" s="1"/>
  <c r="Y41" i="9" a="1"/>
  <c r="Y41" i="9" s="1"/>
  <c r="Y36" i="9" a="1"/>
  <c r="Y36" i="9" s="1"/>
  <c r="Y47" i="9" a="1"/>
  <c r="Y47" i="9" s="1"/>
  <c r="Y28" i="9" a="1"/>
  <c r="Y28" i="9" s="1"/>
  <c r="Y38" i="9" a="1"/>
  <c r="Y38" i="9" s="1"/>
  <c r="Y42" i="9" a="1"/>
  <c r="Y42" i="9" s="1"/>
  <c r="Y30" i="9" a="1"/>
  <c r="Y30" i="9" s="1"/>
  <c r="Y9" i="9" a="1"/>
  <c r="Y9" i="9" s="1"/>
  <c r="Y35" i="9" a="1"/>
  <c r="Y35" i="9" s="1"/>
  <c r="Y16" i="9" a="1"/>
  <c r="Y16" i="9" s="1"/>
  <c r="X49" i="9"/>
  <c r="Y33" i="9" a="1"/>
  <c r="Y33" i="9" s="1"/>
  <c r="V49" i="9"/>
  <c r="Y17" i="9" a="1"/>
  <c r="Y17" i="9" s="1"/>
  <c r="K52" i="9"/>
  <c r="L52" i="9"/>
  <c r="O57" i="10" l="1"/>
  <c r="G4" i="10"/>
  <c r="G63" i="10"/>
  <c r="H63" i="10" s="1"/>
  <c r="G57" i="10"/>
  <c r="M58" i="10"/>
  <c r="J58" i="10"/>
  <c r="I58" i="10"/>
  <c r="K58" i="10"/>
  <c r="H62" i="10"/>
  <c r="Y49" i="9"/>
  <c r="V55" i="10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6C93FBE-CA04-45D4-A397-BCED6A3331CA}" keepAlive="1" name="ThisWorkbookDataModel" description="Modelo de Dados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57B9C6A0-4FA6-466D-B401-AEF20722D066}" name="WorksheetConnection_Modelo Frame 5 anos.xlsx!TB_Enfermagem2" type="102" refreshedVersion="8" minRefreshableVersion="5">
    <extLst>
      <ext xmlns:x15="http://schemas.microsoft.com/office/spreadsheetml/2010/11/main" uri="{DE250136-89BD-433C-8126-D09CA5730AF9}">
        <x15:connection id="TB_Enfermagem2">
          <x15:rangePr sourceName="_xlcn.WorksheetConnection_ModeloFrame5anos.xlsxTB_Enfermagem21"/>
        </x15:connection>
      </ext>
    </extLst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<sst xmlns="http://schemas.openxmlformats.org/spreadsheetml/2006/main" count="725" uniqueCount="175">
  <si>
    <t>Curso</t>
  </si>
  <si>
    <t>PARÂMETRO DE CRÉDITOS</t>
  </si>
  <si>
    <t>TIPIFICAÇÕES</t>
  </si>
  <si>
    <t>Selecione o curso</t>
  </si>
  <si>
    <t>ON.A</t>
  </si>
  <si>
    <t>ADMINISTRAÇÃO</t>
  </si>
  <si>
    <t>ON.S</t>
  </si>
  <si>
    <t>AGRONOMIA</t>
  </si>
  <si>
    <t>PR</t>
  </si>
  <si>
    <t>ANÁLISE E DESENVOLVIMENTO DE SISTEMAS</t>
  </si>
  <si>
    <t>HB</t>
  </si>
  <si>
    <t>ARQUITETURA E URBANISMO</t>
  </si>
  <si>
    <t>EXT</t>
  </si>
  <si>
    <t>BIOMEDICINA</t>
  </si>
  <si>
    <t>EST</t>
  </si>
  <si>
    <t>CIÊNCIA DE DADOS</t>
  </si>
  <si>
    <t>TCC</t>
  </si>
  <si>
    <t>CIÊNCIAS CONTÁBEIS</t>
  </si>
  <si>
    <t>ACC</t>
  </si>
  <si>
    <t>CIÊNCIAS ECONÔMICAS</t>
  </si>
  <si>
    <t>DESENVOLVIMENTO FULL STACK</t>
  </si>
  <si>
    <t>DIREITO</t>
  </si>
  <si>
    <t>EDUCAÇÃO_FÍSICA</t>
  </si>
  <si>
    <t>ENFERMAGEM</t>
  </si>
  <si>
    <t>ENGENHARIA CIVIL</t>
  </si>
  <si>
    <t>ENGENHARIA DE PRODUÇÃO</t>
  </si>
  <si>
    <t>ESTÉTICA E COSMÉTICA</t>
  </si>
  <si>
    <t>FARMÁCIA</t>
  </si>
  <si>
    <t>FISIOTERAPIA</t>
  </si>
  <si>
    <t>FONOAUDIOLOGIA</t>
  </si>
  <si>
    <t>GESTÃO COMERCIAL</t>
  </si>
  <si>
    <t>GESTÃO DE RECURSOS HUMANOS</t>
  </si>
  <si>
    <t>GESTÃO FINANCEIRA</t>
  </si>
  <si>
    <t>LOGÍSTICA</t>
  </si>
  <si>
    <t>MARKETING</t>
  </si>
  <si>
    <t>MEDICINA VETERINÁRIA</t>
  </si>
  <si>
    <t>NUTRIÇÃO</t>
  </si>
  <si>
    <t>PSICOLOGIA</t>
  </si>
  <si>
    <t>PUBLICIDADE E PROPAGANDA</t>
  </si>
  <si>
    <t>RADIOLOGIA</t>
  </si>
  <si>
    <t>REDES DE COMPUTADORES</t>
  </si>
  <si>
    <t>SISTEMAS DE INFORMAÇÃO</t>
  </si>
  <si>
    <t>CURSO:</t>
  </si>
  <si>
    <t xml:space="preserve">Gabarito </t>
  </si>
  <si>
    <t>Estágio</t>
  </si>
  <si>
    <t>Se for todos os alunos do periodo, preencher como "GERAL"</t>
  </si>
  <si>
    <t>CURSO</t>
  </si>
  <si>
    <t>PERÍODOS</t>
  </si>
  <si>
    <t>ORDEM</t>
  </si>
  <si>
    <t>NOME DISCIPLINA</t>
  </si>
  <si>
    <t>REDUZIDO</t>
  </si>
  <si>
    <t>CH TOTAL</t>
  </si>
  <si>
    <t>TIPO COMPONENTE</t>
  </si>
  <si>
    <t>CH TEÓRICA</t>
  </si>
  <si>
    <t>CH PRÁTICA</t>
  </si>
  <si>
    <t>CH ESTÁGIO</t>
  </si>
  <si>
    <t>CH EXTENSÃO</t>
  </si>
  <si>
    <t>CH ONLINE</t>
  </si>
  <si>
    <t>TIPIFICAÇÃO</t>
  </si>
  <si>
    <t>CRÉDITOS</t>
  </si>
  <si>
    <t>DIAS PRESENCIAL</t>
  </si>
  <si>
    <t>ALUNOS POR TURMA OU GRUPOS</t>
  </si>
  <si>
    <t>TIPO DE OFERTA</t>
  </si>
  <si>
    <t>CRÉDITOS PAGO PROFESSOR</t>
  </si>
  <si>
    <t>CRÉDITOS PAGOS ON.S</t>
  </si>
  <si>
    <t>CRÉDITOS PAGO TUTOR</t>
  </si>
  <si>
    <t>CRÉDITOS OFF</t>
  </si>
  <si>
    <t>HABILITAÇÃO</t>
  </si>
  <si>
    <t>PRESENCIAL</t>
  </si>
  <si>
    <t>DIAS DE PRESENCIAL MOD.: PRESENCIAL</t>
  </si>
  <si>
    <t>SEMI</t>
  </si>
  <si>
    <t>DIAS DE PRESENCIAL MOD.: SEMI</t>
  </si>
  <si>
    <t>100%</t>
  </si>
  <si>
    <t>1º</t>
  </si>
  <si>
    <t>Marketing Pessoal e Profissional</t>
  </si>
  <si>
    <t>MPP</t>
  </si>
  <si>
    <t>institucional</t>
  </si>
  <si>
    <t>BACHARELADO</t>
  </si>
  <si>
    <t>Fundamentos Matemáticos</t>
  </si>
  <si>
    <t>FM</t>
  </si>
  <si>
    <t>Específica</t>
  </si>
  <si>
    <t>Ética e Bioética em Saúde</t>
  </si>
  <si>
    <t>EBIOSA</t>
  </si>
  <si>
    <t>Comum de Área</t>
  </si>
  <si>
    <t>Psicologia em Saúde</t>
  </si>
  <si>
    <t>PSI SAUDE</t>
  </si>
  <si>
    <t>Fundamentos da Radiologia</t>
  </si>
  <si>
    <t>FR</t>
  </si>
  <si>
    <t>Projeto de extensão I</t>
  </si>
  <si>
    <t>PE I</t>
  </si>
  <si>
    <t>Extensão</t>
  </si>
  <si>
    <t>Metodologia Cientifica</t>
  </si>
  <si>
    <t>MC</t>
  </si>
  <si>
    <t>Institucional</t>
  </si>
  <si>
    <t>Direito e Legislação em Radiologia</t>
  </si>
  <si>
    <t>DLR</t>
  </si>
  <si>
    <t>Subtotal</t>
  </si>
  <si>
    <t>2º</t>
  </si>
  <si>
    <t>Introdução às Técnicas Radiológicas</t>
  </si>
  <si>
    <t>ITR</t>
  </si>
  <si>
    <t>Introdução à Anatomia e fisiologia aplicada à radiologia</t>
  </si>
  <si>
    <t>IAFAR</t>
  </si>
  <si>
    <t>Física aplicada à radiologia</t>
  </si>
  <si>
    <t>FAR</t>
  </si>
  <si>
    <t>Tecnolocias, IA e Inovação Profissional em Saúde</t>
  </si>
  <si>
    <t>TIIPS</t>
  </si>
  <si>
    <t>Atenção Primária à Saúde</t>
  </si>
  <si>
    <t>APS</t>
  </si>
  <si>
    <t>Radiologia Veterinária</t>
  </si>
  <si>
    <t>RV</t>
  </si>
  <si>
    <t>Radiologia Forense</t>
  </si>
  <si>
    <t>RF</t>
  </si>
  <si>
    <t>3º</t>
  </si>
  <si>
    <t>Humanidades em Ação: Diversidade,  Cidadania e  Meio Ambiente</t>
  </si>
  <si>
    <t>HUMAÇAO</t>
  </si>
  <si>
    <t>Exames Contrastados e Farmacologia</t>
  </si>
  <si>
    <t>ECF</t>
  </si>
  <si>
    <t>Anatomia e fisiologia aplicada à radiologia</t>
  </si>
  <si>
    <t>AFAR</t>
  </si>
  <si>
    <t>Tecnologia em Mamografia e Densitometria óssea</t>
  </si>
  <si>
    <t>TMDO</t>
  </si>
  <si>
    <t>Técnicas para incidências radiológicas</t>
  </si>
  <si>
    <t>TIR</t>
  </si>
  <si>
    <t>Projeto de Extensão II</t>
  </si>
  <si>
    <t>PE II</t>
  </si>
  <si>
    <t>4º</t>
  </si>
  <si>
    <t>Radioproteção e Dosimetria</t>
  </si>
  <si>
    <t>RD</t>
  </si>
  <si>
    <t>Tecnologia em Radiologia Industrial</t>
  </si>
  <si>
    <t>TRI</t>
  </si>
  <si>
    <t>Garantia da qualidade em diagnóstico por imagem</t>
  </si>
  <si>
    <t>GQDI</t>
  </si>
  <si>
    <t>Gestão e Empreendedorismo</t>
  </si>
  <si>
    <t>GE</t>
  </si>
  <si>
    <t>Radiologia Odontológica</t>
  </si>
  <si>
    <t>RO</t>
  </si>
  <si>
    <t>Projeto de Extensão III</t>
  </si>
  <si>
    <t>PE III</t>
  </si>
  <si>
    <t>Tópicos Especiais – Novas Tecnologias em Diagnóstico por Imagem</t>
  </si>
  <si>
    <t>TENTDI</t>
  </si>
  <si>
    <t>5º</t>
  </si>
  <si>
    <t>Tecnologia em Tomografia Computadorizada</t>
  </si>
  <si>
    <t>TTC</t>
  </si>
  <si>
    <t>Imaginologia e Anatomia Radiológica</t>
  </si>
  <si>
    <t>IAR</t>
  </si>
  <si>
    <t>Anatomia Patológica</t>
  </si>
  <si>
    <t>AP</t>
  </si>
  <si>
    <t>Radiologia Digital</t>
  </si>
  <si>
    <t>Estágio Supervisionado I</t>
  </si>
  <si>
    <t>EST I</t>
  </si>
  <si>
    <t>6º</t>
  </si>
  <si>
    <t>Radioterapia</t>
  </si>
  <si>
    <t>RT</t>
  </si>
  <si>
    <t>Ressonância Magnética</t>
  </si>
  <si>
    <t>RM</t>
  </si>
  <si>
    <t>Radiologia Intervencionista</t>
  </si>
  <si>
    <t>RI</t>
  </si>
  <si>
    <t>Tecnologia em Medicina Nuclear</t>
  </si>
  <si>
    <t>TMN</t>
  </si>
  <si>
    <t>Estágio Supervisionado II</t>
  </si>
  <si>
    <t>EST II</t>
  </si>
  <si>
    <t>Atividades Complementares</t>
  </si>
  <si>
    <t>SUBTOTAIS</t>
  </si>
  <si>
    <t>TOTAL</t>
  </si>
  <si>
    <t>HORA RELÓGIO</t>
  </si>
  <si>
    <t>PERCENTUAIS</t>
  </si>
  <si>
    <t>CH PRESENCIAL</t>
  </si>
  <si>
    <t>SÍNCRONO</t>
  </si>
  <si>
    <t>ASSÍNCRONO</t>
  </si>
  <si>
    <t>PRESENCIAL2</t>
  </si>
  <si>
    <t>INFORMAÇÕES CURSO</t>
  </si>
  <si>
    <t>CH</t>
  </si>
  <si>
    <t>%</t>
  </si>
  <si>
    <t>Valores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</si>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</sst>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0.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rgb="FF212322"/>
      <name val="Calibri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11"/>
      <color theme="2"/>
      <name val="Calibri"/>
      <family val="2"/>
      <scheme val="minor"/>
    </font>
    <font>
      <sz val="11"/>
      <color theme="2"/>
      <name val="Calibri"/>
      <family val="2"/>
    </font>
    <font>
      <b/>
      <sz val="11"/>
      <color theme="2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000000"/>
      </patternFill>
    </fill>
    <fill>
      <patternFill patternType="solid">
        <fgColor theme="5" tint="-9.9978637043366805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89999084444715716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8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10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4" fillId="5" borderId="7" xfId="0" applyFont="1" applyFill="1" applyBorder="1" applyAlignment="1">
      <alignment horizontal="center" vertical="center" wrapText="1"/>
    </xf>
    <xf numFmtId="0" fontId="5" fillId="0" borderId="14" xfId="0" applyFont="1" applyBorder="1"/>
    <xf numFmtId="0" fontId="0" fillId="0" borderId="7" xfId="0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6" borderId="7" xfId="0" applyFill="1" applyBorder="1" applyAlignment="1" applyProtection="1">
      <alignment horizontal="center"/>
      <protection locked="0"/>
    </xf>
    <xf numFmtId="0" fontId="3" fillId="4" borderId="16" xfId="0" applyFont="1" applyFill="1" applyBorder="1" applyAlignment="1">
      <alignment horizontal="center" vertical="center" wrapText="1"/>
    </xf>
    <xf numFmtId="0" fontId="0" fillId="6" borderId="11" xfId="0" applyFill="1" applyBorder="1" applyAlignment="1" applyProtection="1">
      <alignment horizontal="center"/>
      <protection locked="0"/>
    </xf>
    <xf numFmtId="0" fontId="0" fillId="0" borderId="7" xfId="0" applyBorder="1"/>
    <xf numFmtId="0" fontId="1" fillId="8" borderId="7" xfId="0" applyFont="1" applyFill="1" applyBorder="1" applyAlignment="1">
      <alignment horizontal="center" vertical="center" wrapText="1"/>
    </xf>
    <xf numFmtId="0" fontId="0" fillId="6" borderId="15" xfId="0" applyFill="1" applyBorder="1" applyAlignment="1" applyProtection="1">
      <alignment horizontal="center"/>
      <protection locked="0"/>
    </xf>
    <xf numFmtId="0" fontId="0" fillId="6" borderId="10" xfId="0" applyFill="1" applyBorder="1" applyAlignment="1" applyProtection="1">
      <alignment horizontal="center"/>
      <protection locked="0"/>
    </xf>
    <xf numFmtId="0" fontId="1" fillId="3" borderId="15" xfId="0" applyFont="1" applyFill="1" applyBorder="1" applyAlignment="1">
      <alignment horizontal="center" vertical="center" wrapText="1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6" borderId="0" xfId="0" applyFill="1" applyAlignment="1" applyProtection="1">
      <alignment horizontal="center"/>
      <protection locked="0"/>
    </xf>
    <xf numFmtId="0" fontId="6" fillId="0" borderId="7" xfId="0" applyFont="1" applyBorder="1" applyAlignment="1">
      <alignment horizontal="left" vertical="center"/>
    </xf>
    <xf numFmtId="0" fontId="6" fillId="7" borderId="7" xfId="0" applyFont="1" applyFill="1" applyBorder="1" applyAlignment="1">
      <alignment horizontal="left"/>
    </xf>
    <xf numFmtId="0" fontId="3" fillId="4" borderId="7" xfId="0" applyFont="1" applyFill="1" applyBorder="1" applyAlignment="1" applyProtection="1">
      <alignment horizontal="center" vertical="center" wrapText="1"/>
      <protection locked="0"/>
    </xf>
    <xf numFmtId="0" fontId="3" fillId="4" borderId="7" xfId="0" applyFont="1" applyFill="1" applyBorder="1" applyAlignment="1" applyProtection="1">
      <alignment horizontal="center" vertical="center"/>
      <protection locked="0"/>
    </xf>
    <xf numFmtId="0" fontId="3" fillId="4" borderId="7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0" xfId="0" applyFont="1" applyAlignment="1">
      <alignment horizontal="center"/>
    </xf>
    <xf numFmtId="0" fontId="3" fillId="4" borderId="7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9" fontId="0" fillId="0" borderId="0" xfId="1" applyFont="1" applyAlignment="1">
      <alignment horizontal="center"/>
    </xf>
    <xf numFmtId="0" fontId="2" fillId="0" borderId="7" xfId="0" applyFont="1" applyBorder="1" applyAlignment="1" applyProtection="1">
      <alignment horizontal="center"/>
      <protection locked="0"/>
    </xf>
    <xf numFmtId="0" fontId="7" fillId="0" borderId="7" xfId="0" applyFont="1" applyBorder="1" applyAlignment="1">
      <alignment horizontal="left" vertical="center"/>
    </xf>
    <xf numFmtId="0" fontId="2" fillId="0" borderId="11" xfId="0" applyFont="1" applyBorder="1" applyAlignment="1" applyProtection="1">
      <alignment horizontal="center"/>
      <protection locked="0"/>
    </xf>
    <xf numFmtId="0" fontId="7" fillId="0" borderId="7" xfId="0" applyFont="1" applyBorder="1" applyAlignment="1">
      <alignment horizontal="left"/>
    </xf>
    <xf numFmtId="0" fontId="7" fillId="0" borderId="7" xfId="0" applyFont="1" applyBorder="1" applyAlignment="1">
      <alignment horizontal="center"/>
    </xf>
    <xf numFmtId="0" fontId="2" fillId="0" borderId="7" xfId="0" applyFont="1" applyBorder="1" applyAlignment="1" applyProtection="1">
      <alignment horizontal="left"/>
      <protection locked="0"/>
    </xf>
    <xf numFmtId="0" fontId="0" fillId="0" borderId="17" xfId="0" applyBorder="1"/>
    <xf numFmtId="0" fontId="1" fillId="0" borderId="17" xfId="0" applyFont="1" applyBorder="1" applyAlignment="1">
      <alignment horizontal="center"/>
    </xf>
    <xf numFmtId="164" fontId="1" fillId="0" borderId="0" xfId="1" applyNumberFormat="1" applyFont="1" applyAlignment="1">
      <alignment horizontal="center"/>
    </xf>
    <xf numFmtId="165" fontId="3" fillId="4" borderId="7" xfId="0" applyNumberFormat="1" applyFont="1" applyFill="1" applyBorder="1" applyAlignment="1">
      <alignment horizontal="center" vertical="center" wrapText="1"/>
    </xf>
    <xf numFmtId="165" fontId="2" fillId="0" borderId="7" xfId="0" applyNumberFormat="1" applyFont="1" applyBorder="1" applyAlignment="1" applyProtection="1">
      <alignment horizontal="center"/>
      <protection locked="0"/>
    </xf>
    <xf numFmtId="0" fontId="2" fillId="6" borderId="11" xfId="0" applyFont="1" applyFill="1" applyBorder="1" applyAlignment="1" applyProtection="1">
      <alignment horizontal="center"/>
      <protection locked="0"/>
    </xf>
    <xf numFmtId="0" fontId="2" fillId="6" borderId="7" xfId="0" applyFont="1" applyFill="1" applyBorder="1" applyAlignment="1" applyProtection="1">
      <alignment horizontal="center"/>
      <protection locked="0"/>
    </xf>
    <xf numFmtId="0" fontId="0" fillId="6" borderId="0" xfId="0" applyFill="1"/>
    <xf numFmtId="0" fontId="7" fillId="6" borderId="7" xfId="0" applyFont="1" applyFill="1" applyBorder="1" applyAlignment="1">
      <alignment horizontal="left"/>
    </xf>
    <xf numFmtId="0" fontId="0" fillId="9" borderId="7" xfId="0" applyFill="1" applyBorder="1" applyAlignment="1" applyProtection="1">
      <alignment horizontal="center"/>
      <protection locked="0"/>
    </xf>
    <xf numFmtId="0" fontId="7" fillId="9" borderId="7" xfId="0" applyFont="1" applyFill="1" applyBorder="1" applyAlignment="1">
      <alignment horizontal="left"/>
    </xf>
    <xf numFmtId="0" fontId="2" fillId="9" borderId="7" xfId="0" applyFont="1" applyFill="1" applyBorder="1" applyAlignment="1" applyProtection="1">
      <alignment horizontal="center"/>
      <protection locked="0"/>
    </xf>
    <xf numFmtId="0" fontId="7" fillId="9" borderId="7" xfId="0" applyFont="1" applyFill="1" applyBorder="1" applyAlignment="1" applyProtection="1">
      <alignment horizontal="left"/>
      <protection locked="0"/>
    </xf>
    <xf numFmtId="0" fontId="9" fillId="4" borderId="0" xfId="0" applyFont="1" applyFill="1" applyAlignment="1">
      <alignment horizontal="center"/>
    </xf>
    <xf numFmtId="10" fontId="0" fillId="0" borderId="0" xfId="0" applyNumberFormat="1" applyAlignment="1">
      <alignment horizontal="center"/>
    </xf>
    <xf numFmtId="0" fontId="1" fillId="10" borderId="7" xfId="0" applyFont="1" applyFill="1" applyBorder="1" applyAlignment="1">
      <alignment horizontal="center"/>
    </xf>
    <xf numFmtId="0" fontId="10" fillId="9" borderId="7" xfId="0" applyFont="1" applyFill="1" applyBorder="1" applyAlignment="1" applyProtection="1">
      <alignment horizontal="center" vertical="center"/>
      <protection locked="0"/>
    </xf>
    <xf numFmtId="0" fontId="3" fillId="9" borderId="7" xfId="0" applyFont="1" applyFill="1" applyBorder="1" applyAlignment="1" applyProtection="1">
      <alignment horizontal="center"/>
      <protection locked="0"/>
    </xf>
    <xf numFmtId="0" fontId="11" fillId="9" borderId="7" xfId="0" applyFont="1" applyFill="1" applyBorder="1" applyAlignment="1" applyProtection="1">
      <alignment horizontal="center"/>
      <protection locked="0"/>
    </xf>
    <xf numFmtId="0" fontId="11" fillId="9" borderId="7" xfId="0" applyFont="1" applyFill="1" applyBorder="1" applyAlignment="1" applyProtection="1">
      <alignment horizontal="left"/>
      <protection locked="0"/>
    </xf>
    <xf numFmtId="0" fontId="11" fillId="9" borderId="7" xfId="0" applyFont="1" applyFill="1" applyBorder="1" applyAlignment="1">
      <alignment horizontal="left"/>
    </xf>
    <xf numFmtId="0" fontId="11" fillId="9" borderId="7" xfId="0" applyFont="1" applyFill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center"/>
      <protection locked="0"/>
    </xf>
    <xf numFmtId="0" fontId="3" fillId="6" borderId="7" xfId="0" applyFont="1" applyFill="1" applyBorder="1" applyAlignment="1" applyProtection="1">
      <alignment horizontal="center"/>
      <protection locked="0"/>
    </xf>
    <xf numFmtId="0" fontId="3" fillId="0" borderId="0" xfId="0" applyFont="1"/>
    <xf numFmtId="0" fontId="1" fillId="10" borderId="0" xfId="0" applyFont="1" applyFill="1" applyAlignment="1">
      <alignment horizontal="center"/>
    </xf>
    <xf numFmtId="9" fontId="0" fillId="0" borderId="7" xfId="0" applyNumberFormat="1" applyBorder="1"/>
    <xf numFmtId="0" fontId="0" fillId="4" borderId="0" xfId="0" applyFill="1"/>
    <xf numFmtId="0" fontId="6" fillId="0" borderId="7" xfId="0" applyFont="1" applyBorder="1"/>
    <xf numFmtId="0" fontId="6" fillId="11" borderId="7" xfId="0" applyFont="1" applyFill="1" applyBorder="1"/>
    <xf numFmtId="0" fontId="7" fillId="11" borderId="7" xfId="0" applyFont="1" applyFill="1" applyBorder="1"/>
    <xf numFmtId="0" fontId="7" fillId="0" borderId="7" xfId="0" applyFont="1" applyBorder="1"/>
    <xf numFmtId="0" fontId="6" fillId="0" borderId="7" xfId="0" applyFont="1" applyBorder="1" applyAlignment="1">
      <alignment horizontal="center"/>
    </xf>
    <xf numFmtId="0" fontId="6" fillId="11" borderId="7" xfId="0" applyFont="1" applyFill="1" applyBorder="1" applyAlignment="1">
      <alignment horizontal="center"/>
    </xf>
    <xf numFmtId="0" fontId="7" fillId="11" borderId="7" xfId="0" applyFont="1" applyFill="1" applyBorder="1" applyAlignment="1">
      <alignment horizontal="center"/>
    </xf>
    <xf numFmtId="0" fontId="7" fillId="0" borderId="7" xfId="0" applyFont="1" applyBorder="1" applyAlignment="1">
      <alignment wrapText="1"/>
    </xf>
    <xf numFmtId="0" fontId="7" fillId="11" borderId="7" xfId="0" applyFont="1" applyFill="1" applyBorder="1" applyAlignment="1">
      <alignment wrapText="1"/>
    </xf>
    <xf numFmtId="0" fontId="6" fillId="0" borderId="18" xfId="0" applyFont="1" applyBorder="1"/>
    <xf numFmtId="0" fontId="3" fillId="12" borderId="19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/>
    </xf>
    <xf numFmtId="0" fontId="7" fillId="7" borderId="7" xfId="0" applyFont="1" applyFill="1" applyBorder="1" applyAlignment="1">
      <alignment wrapText="1"/>
    </xf>
    <xf numFmtId="0" fontId="6" fillId="6" borderId="7" xfId="0" applyFont="1" applyFill="1" applyBorder="1" applyAlignment="1">
      <alignment horizontal="center"/>
    </xf>
    <xf numFmtId="0" fontId="7" fillId="6" borderId="7" xfId="0" applyFont="1" applyFill="1" applyBorder="1"/>
    <xf numFmtId="0" fontId="6" fillId="7" borderId="7" xfId="0" applyFont="1" applyFill="1" applyBorder="1" applyAlignment="1">
      <alignment horizontal="center"/>
    </xf>
    <xf numFmtId="165" fontId="2" fillId="6" borderId="7" xfId="0" applyNumberFormat="1" applyFont="1" applyFill="1" applyBorder="1" applyAlignment="1" applyProtection="1">
      <alignment horizontal="center"/>
      <protection locked="0"/>
    </xf>
    <xf numFmtId="0" fontId="0" fillId="6" borderId="7" xfId="0" applyFill="1" applyBorder="1"/>
    <xf numFmtId="0" fontId="7" fillId="6" borderId="7" xfId="0" applyFont="1" applyFill="1" applyBorder="1" applyAlignment="1">
      <alignment horizontal="center"/>
    </xf>
    <xf numFmtId="0" fontId="7" fillId="6" borderId="7" xfId="0" applyFont="1" applyFill="1" applyBorder="1" applyAlignment="1">
      <alignment wrapText="1"/>
    </xf>
    <xf numFmtId="0" fontId="7" fillId="7" borderId="7" xfId="0" applyFont="1" applyFill="1" applyBorder="1"/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2" xfId="0" applyFont="1" applyFill="1" applyBorder="1" applyAlignment="1" applyProtection="1">
      <alignment horizontal="center"/>
      <protection locked="0"/>
    </xf>
    <xf numFmtId="0" fontId="1" fillId="2" borderId="13" xfId="0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center" wrapText="1"/>
    </xf>
    <xf numFmtId="0" fontId="3" fillId="4" borderId="11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9" fontId="0" fillId="0" borderId="7" xfId="0" applyNumberFormat="1" applyBorder="1" applyAlignment="1">
      <alignment horizontal="center" vertical="center"/>
    </xf>
    <xf numFmtId="0" fontId="1" fillId="10" borderId="7" xfId="0" applyFont="1" applyFill="1" applyBorder="1" applyAlignment="1">
      <alignment horizontal="center"/>
    </xf>
    <xf numFmtId="0" fontId="0" fillId="0" borderId="0" xfId="0" applyNumberFormat="1" applyAlignment="1">
      <alignment horizontal="center"/>
    </xf>
    <xf numFmtId="0" fontId="1" fillId="10" borderId="0" xfId="0" applyNumberFormat="1" applyFont="1" applyFill="1" applyAlignment="1">
      <alignment horizontal="center"/>
    </xf>
  </cellXfs>
  <cellStyles count="2">
    <cellStyle name="Normal" xfId="0" builtinId="0"/>
    <cellStyle name="Porcentagem" xfId="1" builtinId="5"/>
  </cellStyles>
  <dxfs count="199"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solid">
          <bgColor theme="4"/>
        </patternFill>
      </fill>
    </dxf>
    <dxf>
      <font>
        <color theme="2"/>
      </font>
    </dxf>
    <dxf>
      <fill>
        <patternFill>
          <bgColor theme="4"/>
        </patternFill>
      </fill>
    </dxf>
    <dxf>
      <font>
        <color theme="2"/>
      </font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ont>
        <color theme="2"/>
      </font>
    </dxf>
    <dxf>
      <font>
        <color theme="2"/>
      </font>
    </dxf>
    <dxf>
      <fill>
        <patternFill patternType="solid">
          <bgColor theme="1" tint="0.89999084444715716"/>
        </patternFill>
      </fill>
    </dxf>
    <dxf>
      <fill>
        <patternFill patternType="solid">
          <bgColor theme="1" tint="0.89999084444715716"/>
        </patternFill>
      </fill>
    </dxf>
    <dxf>
      <font>
        <b/>
      </font>
    </dxf>
    <dxf>
      <font>
        <b/>
      </font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solid">
          <bgColor theme="4"/>
        </patternFill>
      </fill>
    </dxf>
    <dxf>
      <font>
        <color theme="2"/>
      </font>
    </dxf>
    <dxf>
      <fill>
        <patternFill patternType="solid">
          <bgColor theme="4"/>
        </patternFill>
      </fill>
    </dxf>
    <dxf>
      <font>
        <color theme="2"/>
      </font>
    </dxf>
    <dxf>
      <numFmt numFmtId="14" formatCode="0.00%"/>
    </dxf>
    <dxf>
      <fill>
        <patternFill>
          <bgColor theme="4"/>
        </patternFill>
      </fill>
    </dxf>
    <dxf>
      <fill>
        <patternFill>
          <bgColor theme="4"/>
        </patternFill>
      </fill>
    </dxf>
    <dxf>
      <font>
        <color theme="2"/>
      </font>
    </dxf>
    <dxf>
      <font>
        <color theme="2"/>
      </font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ont>
        <color theme="2"/>
      </font>
    </dxf>
    <dxf>
      <font>
        <color theme="2"/>
      </font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solid">
          <bgColor theme="4"/>
        </patternFill>
      </fill>
    </dxf>
    <dxf>
      <font>
        <color theme="2"/>
      </font>
    </dxf>
    <dxf>
      <fill>
        <patternFill>
          <bgColor theme="4"/>
        </patternFill>
      </fill>
    </dxf>
    <dxf>
      <fill>
        <patternFill>
          <bgColor theme="4"/>
        </patternFill>
      </fill>
    </dxf>
    <dxf>
      <font>
        <color theme="2"/>
      </font>
    </dxf>
    <dxf>
      <font>
        <color theme="2"/>
      </font>
    </dxf>
    <dxf>
      <numFmt numFmtId="14" formatCode="0.00%"/>
    </dxf>
    <dxf>
      <fill>
        <patternFill patternType="solid">
          <bgColor theme="4"/>
        </patternFill>
      </fill>
    </dxf>
    <dxf>
      <font>
        <color theme="2"/>
      </font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solid">
          <bgColor theme="4"/>
        </patternFill>
      </fill>
    </dxf>
    <dxf>
      <font>
        <color theme="2"/>
      </font>
    </dxf>
    <dxf>
      <fill>
        <patternFill>
          <bgColor theme="4"/>
        </patternFill>
      </fill>
    </dxf>
    <dxf>
      <fill>
        <patternFill>
          <bgColor theme="4"/>
        </patternFill>
      </fill>
    </dxf>
    <dxf>
      <font>
        <color theme="2"/>
      </font>
    </dxf>
    <dxf>
      <font>
        <color theme="2"/>
      </font>
    </dxf>
    <dxf>
      <fill>
        <patternFill>
          <bgColor theme="4"/>
        </patternFill>
      </fill>
    </dxf>
    <dxf>
      <fill>
        <patternFill>
          <bgColor theme="4"/>
        </patternFill>
      </fill>
    </dxf>
    <dxf>
      <font>
        <color theme="2"/>
      </font>
    </dxf>
    <dxf>
      <font>
        <color theme="2"/>
      </font>
    </dxf>
    <dxf>
      <font>
        <color theme="2"/>
      </font>
    </dxf>
    <dxf>
      <font>
        <color theme="2"/>
      </font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b/>
      </font>
    </dxf>
    <dxf>
      <font>
        <b/>
      </font>
    </dxf>
    <dxf>
      <fill>
        <patternFill patternType="solid">
          <bgColor theme="1" tint="0.89999084444715716"/>
        </patternFill>
      </fill>
    </dxf>
    <dxf>
      <fill>
        <patternFill patternType="solid">
          <bgColor theme="1" tint="0.89999084444715716"/>
        </patternFill>
      </fill>
    </dxf>
    <dxf>
      <font>
        <color theme="2"/>
      </font>
    </dxf>
    <dxf>
      <font>
        <color theme="2"/>
      </font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ont>
        <color theme="2"/>
      </font>
    </dxf>
    <dxf>
      <fill>
        <patternFill>
          <bgColor theme="4"/>
        </patternFill>
      </fill>
    </dxf>
    <dxf>
      <font>
        <color theme="2"/>
      </font>
    </dxf>
    <dxf>
      <fill>
        <patternFill patternType="solid">
          <bgColor theme="4"/>
        </patternFill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theme="2"/>
      </font>
    </dxf>
    <dxf>
      <font>
        <color theme="2"/>
      </font>
    </dxf>
    <dxf>
      <fill>
        <patternFill>
          <bgColor theme="4"/>
        </patternFill>
      </fill>
    </dxf>
    <dxf>
      <fill>
        <patternFill>
          <bgColor theme="4"/>
        </patternFill>
      </fill>
    </dxf>
    <dxf>
      <font>
        <color theme="2"/>
      </font>
    </dxf>
    <dxf>
      <font>
        <color theme="2"/>
      </font>
    </dxf>
    <dxf>
      <fill>
        <patternFill>
          <bgColor theme="4"/>
        </patternFill>
      </fill>
    </dxf>
    <dxf>
      <fill>
        <patternFill>
          <bgColor theme="4"/>
        </patternFill>
      </fill>
    </dxf>
    <dxf>
      <font>
        <color theme="2"/>
      </font>
    </dxf>
    <dxf>
      <fill>
        <patternFill patternType="solid">
          <bgColor theme="4"/>
        </patternFill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theme="2"/>
      </font>
    </dxf>
    <dxf>
      <fill>
        <patternFill patternType="solid">
          <bgColor theme="4"/>
        </patternFill>
      </fill>
    </dxf>
    <dxf>
      <numFmt numFmtId="14" formatCode="0.00%"/>
    </dxf>
    <dxf>
      <font>
        <color theme="2"/>
      </font>
    </dxf>
    <dxf>
      <font>
        <color theme="2"/>
      </font>
    </dxf>
    <dxf>
      <fill>
        <patternFill>
          <bgColor theme="4"/>
        </patternFill>
      </fill>
    </dxf>
    <dxf>
      <fill>
        <patternFill>
          <bgColor theme="4"/>
        </patternFill>
      </fill>
    </dxf>
    <dxf>
      <font>
        <color theme="2"/>
      </font>
    </dxf>
    <dxf>
      <fill>
        <patternFill patternType="solid">
          <bgColor theme="4"/>
        </patternFill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theme="2"/>
      </font>
    </dxf>
    <dxf>
      <font>
        <color theme="2"/>
      </font>
    </dxf>
    <dxf>
      <fill>
        <patternFill>
          <bgColor theme="4"/>
        </patternFill>
      </fill>
    </dxf>
    <dxf>
      <fill>
        <patternFill>
          <bgColor theme="4"/>
        </patternFill>
      </fill>
    </dxf>
    <dxf>
      <numFmt numFmtId="14" formatCode="0.00%"/>
    </dxf>
    <dxf>
      <font>
        <color theme="2"/>
      </font>
    </dxf>
    <dxf>
      <fill>
        <patternFill patternType="solid">
          <bgColor theme="4"/>
        </patternFill>
      </fill>
    </dxf>
    <dxf>
      <font>
        <color theme="2"/>
      </font>
    </dxf>
    <dxf>
      <fill>
        <patternFill patternType="solid">
          <bgColor theme="4"/>
        </patternFill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solid">
          <fgColor indexed="64"/>
          <bgColor theme="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ill>
        <patternFill patternType="solid">
          <fgColor indexed="64"/>
          <bgColor theme="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ill>
        <patternFill patternType="solid">
          <fgColor indexed="64"/>
          <bgColor theme="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ill>
        <patternFill patternType="solid">
          <fgColor indexed="64"/>
          <bgColor theme="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ill>
        <patternFill patternType="solid">
          <fgColor indexed="64"/>
          <bgColor theme="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numFmt numFmtId="0" formatCode="General"/>
      <fill>
        <patternFill patternType="solid">
          <fgColor indexed="64"/>
          <bgColor theme="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0" formatCode="General"/>
      <fill>
        <patternFill patternType="solid">
          <fgColor indexed="64"/>
          <bgColor theme="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0" formatCode="General"/>
      <fill>
        <patternFill patternType="solid">
          <fgColor indexed="64"/>
          <bgColor theme="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ill>
        <patternFill patternType="solid">
          <fgColor indexed="64"/>
          <bgColor theme="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0.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numFmt numFmtId="0" formatCode="General"/>
      <fill>
        <patternFill patternType="solid">
          <fgColor indexed="64"/>
          <bgColor theme="5" tint="-9.9978637043366805E-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solid">
          <fgColor indexed="64"/>
          <bgColor theme="5" tint="-9.9978637043366805E-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5" tint="-9.9978637043366805E-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12322"/>
        <name val="Calibri"/>
        <family val="2"/>
        <scheme val="none"/>
      </font>
      <fill>
        <patternFill patternType="solid">
          <fgColor rgb="FF000000"/>
          <bgColor rgb="FFC4C4BF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12322"/>
        <name val="Calibri"/>
        <family val="2"/>
        <scheme val="none"/>
      </font>
      <fill>
        <patternFill patternType="solid">
          <fgColor rgb="FF000000"/>
          <bgColor rgb="FFC4C4BF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5" tint="-9.9978637043366805E-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solid">
          <fgColor indexed="64"/>
          <bgColor theme="5" tint="-9.9978637043366805E-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solid">
          <fgColor indexed="64"/>
          <bgColor theme="5" tint="-9.9978637043366805E-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solid">
          <fgColor indexed="64"/>
          <bgColor theme="5" tint="-9.9978637043366805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5" tint="-9.9978637043366805E-2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ill>
        <patternFill patternType="solid">
          <fgColor indexed="64"/>
          <bgColor theme="5" tint="-9.9978637043366805E-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ill>
        <patternFill patternType="solid">
          <fgColor indexed="64"/>
          <bgColor theme="5" tint="-9.9978637043366805E-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 tint="-0.34998626667073579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ill>
        <patternFill patternType="solid">
          <fgColor indexed="64"/>
          <bgColor theme="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ill>
        <patternFill patternType="solid">
          <fgColor indexed="64"/>
          <bgColor theme="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ill>
        <patternFill patternType="solid">
          <fgColor indexed="64"/>
          <bgColor theme="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ill>
        <patternFill patternType="solid">
          <fgColor indexed="64"/>
          <bgColor theme="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numFmt numFmtId="0" formatCode="General"/>
      <fill>
        <patternFill patternType="solid">
          <fgColor indexed="64"/>
          <bgColor theme="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0" formatCode="General"/>
      <fill>
        <patternFill patternType="solid">
          <fgColor indexed="64"/>
          <bgColor theme="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0" formatCode="General"/>
      <fill>
        <patternFill patternType="solid">
          <fgColor indexed="64"/>
          <bgColor theme="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ill>
        <patternFill patternType="solid">
          <fgColor indexed="64"/>
          <bgColor theme="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0.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numFmt numFmtId="0" formatCode="General"/>
      <fill>
        <patternFill patternType="solid">
          <fgColor indexed="64"/>
          <bgColor theme="5" tint="-9.9978637043366805E-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solid">
          <fgColor indexed="64"/>
          <bgColor theme="5" tint="-9.9978637043366805E-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5" tint="-9.9978637043366805E-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12322"/>
        <name val="Calibri"/>
        <family val="2"/>
        <scheme val="none"/>
      </font>
      <fill>
        <patternFill patternType="solid">
          <fgColor rgb="FF000000"/>
          <bgColor rgb="FFC4C4BF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12322"/>
        <name val="Calibri"/>
        <family val="2"/>
        <scheme val="none"/>
      </font>
      <fill>
        <patternFill patternType="solid">
          <fgColor rgb="FF000000"/>
          <bgColor rgb="FFC4C4BF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5" tint="-9.9978637043366805E-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solid">
          <fgColor indexed="64"/>
          <bgColor theme="5" tint="-9.9978637043366805E-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solid">
          <fgColor indexed="64"/>
          <bgColor theme="5" tint="-9.9978637043366805E-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solid">
          <fgColor indexed="64"/>
          <bgColor theme="5" tint="-9.9978637043366805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5" tint="-9.9978637043366805E-2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ill>
        <patternFill patternType="solid">
          <fgColor indexed="64"/>
          <bgColor theme="5" tint="-9.9978637043366805E-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ill>
        <patternFill patternType="solid">
          <fgColor indexed="64"/>
          <bgColor theme="5" tint="-9.9978637043366805E-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 tint="-0.34998626667073579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color theme="1"/>
      </font>
      <border>
        <bottom style="thin">
          <color theme="4"/>
        </bottom>
        <vertical/>
        <horizontal/>
      </border>
    </dxf>
    <dxf>
      <font>
        <color theme="1"/>
      </font>
      <border diagonalUp="0" diagonalDown="0">
        <left/>
        <right/>
        <top/>
        <bottom/>
        <vertical/>
        <horizontal/>
      </border>
    </dxf>
  </dxfs>
  <tableStyles count="2" defaultTableStyle="TableStyleMedium2" defaultPivotStyle="PivotStyleLight16">
    <tableStyle name="AFYA" pivot="0" table="0" count="10" xr9:uid="{19723BD3-7D83-415F-A7AA-91B59571F2A5}">
      <tableStyleElement type="wholeTable" dxfId="198"/>
      <tableStyleElement type="headerRow" dxfId="197"/>
    </tableStyle>
    <tableStyle name="Invisible" pivot="0" table="0" count="0" xr9:uid="{865D97E3-7FF6-40AF-8129-615BCEBBF940}"/>
  </tableStyles>
  <extLst>
    <ext xmlns:x14="http://schemas.microsoft.com/office/spreadsheetml/2009/9/main" uri="{46F421CA-312F-682f-3DD2-61675219B42D}">
      <x14:dxfs count="8"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4" tint="-0.249977111117893"/>
          </font>
          <fill>
            <patternFill patternType="solid">
              <fgColor theme="4" tint="0.59999389629810485"/>
              <bgColor theme="4" tint="0.59999389629810485"/>
            </patternFill>
          </fill>
          <border>
            <left style="thin">
              <color theme="4" tint="0.59999389629810485"/>
            </left>
            <right style="thin">
              <color theme="4" tint="0.59999389629810485"/>
            </right>
            <top style="thin">
              <color theme="4" tint="0.59999389629810485"/>
            </top>
            <bottom style="thin">
              <color theme="4" tint="0.59999389629810485"/>
            </bottom>
            <vertical/>
            <horizontal/>
          </border>
        </dxf>
        <dxf>
          <font>
            <color theme="0"/>
          </font>
          <fill>
            <patternFill patternType="solid">
              <fgColor theme="4"/>
              <bgColor theme="4"/>
            </patternFill>
          </fill>
          <border>
            <left style="thin">
              <color theme="4"/>
            </left>
            <right style="thin">
              <color theme="4"/>
            </right>
            <top style="thin">
              <color theme="4"/>
            </top>
            <bottom style="thin">
              <color theme="4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SlicerStyleLight1">
        <x14:slicerStyle name="AFYA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4.xml"/><Relationship Id="rId13" Type="http://schemas.openxmlformats.org/officeDocument/2006/relationships/sharedStrings" Target="sharedStrings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3.xml"/><Relationship Id="rId12" Type="http://schemas.openxmlformats.org/officeDocument/2006/relationships/styles" Target="styles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20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2.xml"/><Relationship Id="rId11" Type="http://schemas.openxmlformats.org/officeDocument/2006/relationships/connections" Target="connections.xml"/><Relationship Id="rId5" Type="http://schemas.openxmlformats.org/officeDocument/2006/relationships/pivotCacheDefinition" Target="pivotCache/pivotCacheDefinition1.xml"/><Relationship Id="rId15" Type="http://schemas.openxmlformats.org/officeDocument/2006/relationships/powerPivotData" Target="model/item.data"/><Relationship Id="rId10" Type="http://schemas.openxmlformats.org/officeDocument/2006/relationships/theme" Target="theme/theme1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5.xml"/><Relationship Id="rId14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4</xdr:col>
      <xdr:colOff>1093178</xdr:colOff>
      <xdr:row>0</xdr:row>
      <xdr:rowOff>77017</xdr:rowOff>
    </xdr:from>
    <xdr:to>
      <xdr:col>4</xdr:col>
      <xdr:colOff>3506985</xdr:colOff>
      <xdr:row>1</xdr:row>
      <xdr:rowOff>144463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34DA387A-E2E7-459D-80CD-AC7A0CBF0BDB}"/>
            </a:ext>
          </a:extLst>
        </xdr:cNvPr>
        <xdr:cNvSpPr txBox="1"/>
      </xdr:nvSpPr>
      <xdr:spPr>
        <a:xfrm>
          <a:off x="3342665" y="77017"/>
          <a:ext cx="2413807" cy="2515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marL="0" indent="0"/>
          <a:r>
            <a:rPr lang="en-US" sz="1100" b="1">
              <a:solidFill>
                <a:schemeClr val="tx1"/>
              </a:solidFill>
              <a:latin typeface="+mn-lt"/>
              <a:ea typeface="+mn-lt"/>
              <a:cs typeface="+mn-lt"/>
            </a:rPr>
            <a:t>FRAMEWORK CURSO</a:t>
          </a:r>
          <a:r>
            <a:rPr lang="en-US" sz="1100" b="1" baseline="0">
              <a:solidFill>
                <a:schemeClr val="tx1"/>
              </a:solidFill>
              <a:latin typeface="+mn-lt"/>
              <a:ea typeface="+mn-lt"/>
              <a:cs typeface="+mn-lt"/>
            </a:rPr>
            <a:t> SHE</a:t>
          </a:r>
          <a:endParaRPr lang="en-US" sz="1100" b="1">
            <a:solidFill>
              <a:schemeClr val="tx1"/>
            </a:solidFill>
            <a:latin typeface="+mn-lt"/>
            <a:ea typeface="+mn-lt"/>
            <a:cs typeface="+mn-lt"/>
          </a:endParaRPr>
        </a:p>
      </xdr:txBody>
    </xdr:sp>
    <xdr:clientData/>
  </xdr:twoCellAnchor>
  <xdr:twoCellAnchor editAs="oneCell">
    <xdr:from>
      <xdr:col>1</xdr:col>
      <xdr:colOff>71439</xdr:colOff>
      <xdr:row>2</xdr:row>
      <xdr:rowOff>23813</xdr:rowOff>
    </xdr:from>
    <xdr:to>
      <xdr:col>2</xdr:col>
      <xdr:colOff>1051643</xdr:colOff>
      <xdr:row>4</xdr:row>
      <xdr:rowOff>74179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724E518-B0CA-4B29-BA7D-2328CFF048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039" y="392113"/>
          <a:ext cx="1100855" cy="48216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4</xdr:col>
      <xdr:colOff>1028543</xdr:colOff>
      <xdr:row>0</xdr:row>
      <xdr:rowOff>77017</xdr:rowOff>
    </xdr:from>
    <xdr:to>
      <xdr:col>4</xdr:col>
      <xdr:colOff>3442350</xdr:colOff>
      <xdr:row>1</xdr:row>
      <xdr:rowOff>144463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93A53516-B016-4E77-94AF-74B7B097F4A8}"/>
            </a:ext>
          </a:extLst>
        </xdr:cNvPr>
        <xdr:cNvSpPr txBox="1"/>
      </xdr:nvSpPr>
      <xdr:spPr>
        <a:xfrm>
          <a:off x="3342665" y="77017"/>
          <a:ext cx="2413807" cy="2515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marL="0" indent="0"/>
          <a:r>
            <a:rPr lang="en-US" sz="1100" b="1">
              <a:solidFill>
                <a:schemeClr val="tx1"/>
              </a:solidFill>
              <a:latin typeface="+mn-lt"/>
              <a:ea typeface="+mn-lt"/>
              <a:cs typeface="+mn-lt"/>
            </a:rPr>
            <a:t>FRAMEWORK CURSO</a:t>
          </a:r>
          <a:r>
            <a:rPr lang="en-US" sz="1100" b="1" baseline="0">
              <a:solidFill>
                <a:schemeClr val="tx1"/>
              </a:solidFill>
              <a:latin typeface="+mn-lt"/>
              <a:ea typeface="+mn-lt"/>
              <a:cs typeface="+mn-lt"/>
            </a:rPr>
            <a:t> SHE</a:t>
          </a:r>
          <a:endParaRPr lang="en-US" sz="1100" b="1">
            <a:solidFill>
              <a:schemeClr val="tx1"/>
            </a:solidFill>
            <a:latin typeface="+mn-lt"/>
            <a:ea typeface="+mn-lt"/>
            <a:cs typeface="+mn-lt"/>
          </a:endParaRPr>
        </a:p>
      </xdr:txBody>
    </xdr:sp>
    <xdr:clientData/>
  </xdr:twoCellAnchor>
  <xdr:twoCellAnchor editAs="oneCell">
    <xdr:from>
      <xdr:col>1</xdr:col>
      <xdr:colOff>71439</xdr:colOff>
      <xdr:row>2</xdr:row>
      <xdr:rowOff>23813</xdr:rowOff>
    </xdr:from>
    <xdr:to>
      <xdr:col>2</xdr:col>
      <xdr:colOff>1048241</xdr:colOff>
      <xdr:row>4</xdr:row>
      <xdr:rowOff>83704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FBA5EA2-7EC8-47AE-B2A7-8FD8DF6863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039" y="392113"/>
          <a:ext cx="1100855" cy="482166"/>
        </a:xfrm>
        <a:prstGeom prst="rect">
          <a:avLst/>
        </a:prstGeom>
      </xdr:spPr>
    </xdr:pic>
    <xdr:clientData/>
  </xdr:twoCellAnchor>
</xdr:wsDr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OnLoad="1" refreshedBy="Sybele Marcia Starling" refreshedDate="46261.670910185188" backgroundQuery="1" createdVersion="8" refreshedVersion="8" minRefreshableVersion="3" recordCount="0" supportSubquery="1" supportAdvancedDrill="1" xr:uid="{38878957-2B04-4772-9358-6BE6DBB5F7A7}">
  <cacheSource type="external" connectionId="1"/>
  <cacheFields count="3">
    <cacheField name="[Measures].[Soma de CH TOTAL]" caption="Soma de CH TOTAL" numFmtId="0" hierarchy="32" level="32767"/>
    <cacheField name="[TB_Enfermagem2].[TIPO COMPONENTE].[TIPO COMPONENTE]" caption="TIPO COMPONENTE" numFmtId="0" hierarchy="6" level="1">
      <sharedItems count="6">
        <s v="ACC"/>
        <s v="Comum de Área"/>
        <s v="Específica"/>
        <s v="Estágio"/>
        <s v="Extensão"/>
        <s v="institucional"/>
      </sharedItems>
    </cacheField>
    <cacheField name="Unsupported0" numFmtId="0" hierarchy="38" level="32767">
      <extLst>
        <ext xmlns:x14="http://schemas.microsoft.com/office/spreadsheetml/2009/9/main" uri="{63CAB8AC-B538-458d-9737-405883B0398D}">
          <x14:cacheField ignore="1"/>
        </ext>
      </extLst>
    </cacheField>
  </cacheFields>
  <cacheHierarchies count="39">
    <cacheHierarchy uniqueName="[TB_Enfermagem2].[CURSO]" caption="CURSO" attribute="1" defaultMemberUniqueName="[TB_Enfermagem2].[CURSO].[All]" allUniqueName="[TB_Enfermagem2].[CURSO].[All]" dimensionUniqueName="[TB_Enfermagem2]" displayFolder="" count="0" memberValueDatatype="130" unbalanced="0"/>
    <cacheHierarchy uniqueName="[TB_Enfermagem2].[PERÍODOS]" caption="PERÍODOS" attribute="1" defaultMemberUniqueName="[TB_Enfermagem2].[PERÍODOS].[All]" allUniqueName="[TB_Enfermagem2].[PERÍODOS].[All]" dimensionUniqueName="[TB_Enfermagem2]" displayFolder="" count="0" memberValueDatatype="130" unbalanced="0"/>
    <cacheHierarchy uniqueName="[TB_Enfermagem2].[ORDEM]" caption="ORDEM" attribute="1" defaultMemberUniqueName="[TB_Enfermagem2].[ORDEM].[All]" allUniqueName="[TB_Enfermagem2].[ORDEM].[All]" dimensionUniqueName="[TB_Enfermagem2]" displayFolder="" count="0" memberValueDatatype="20" unbalanced="0"/>
    <cacheHierarchy uniqueName="[TB_Enfermagem2].[NOME DISCIPLINA]" caption="NOME DISCIPLINA" attribute="1" defaultMemberUniqueName="[TB_Enfermagem2].[NOME DISCIPLINA].[All]" allUniqueName="[TB_Enfermagem2].[NOME DISCIPLINA].[All]" dimensionUniqueName="[TB_Enfermagem2]" displayFolder="" count="0" memberValueDatatype="130" unbalanced="0"/>
    <cacheHierarchy uniqueName="[TB_Enfermagem2].[REDUZIDO]" caption="REDUZIDO" attribute="1" defaultMemberUniqueName="[TB_Enfermagem2].[REDUZIDO].[All]" allUniqueName="[TB_Enfermagem2].[REDUZIDO].[All]" dimensionUniqueName="[TB_Enfermagem2]" displayFolder="" count="0" memberValueDatatype="130" unbalanced="0"/>
    <cacheHierarchy uniqueName="[TB_Enfermagem2].[CH TOTAL]" caption="CH TOTAL" attribute="1" defaultMemberUniqueName="[TB_Enfermagem2].[CH TOTAL].[All]" allUniqueName="[TB_Enfermagem2].[CH TOTAL].[All]" dimensionUniqueName="[TB_Enfermagem2]" displayFolder="" count="0" memberValueDatatype="20" unbalanced="0"/>
    <cacheHierarchy uniqueName="[TB_Enfermagem2].[TIPO COMPONENTE]" caption="TIPO COMPONENTE" attribute="1" defaultMemberUniqueName="[TB_Enfermagem2].[TIPO COMPONENTE].[All]" allUniqueName="[TB_Enfermagem2].[TIPO COMPONENTE].[All]" dimensionUniqueName="[TB_Enfermagem2]" displayFolder="" count="2" memberValueDatatype="130" unbalanced="0">
      <fieldsUsage count="2">
        <fieldUsage x="-1"/>
        <fieldUsage x="1"/>
      </fieldsUsage>
    </cacheHierarchy>
    <cacheHierarchy uniqueName="[TB_Enfermagem2].[CH TEÓRICA]" caption="CH TEÓRICA" attribute="1" defaultMemberUniqueName="[TB_Enfermagem2].[CH TEÓRICA].[All]" allUniqueName="[TB_Enfermagem2].[CH TEÓRICA].[All]" dimensionUniqueName="[TB_Enfermagem2]" displayFolder="" count="0" memberValueDatatype="20" unbalanced="0"/>
    <cacheHierarchy uniqueName="[TB_Enfermagem2].[CH PRÁTICA]" caption="CH PRÁTICA" attribute="1" defaultMemberUniqueName="[TB_Enfermagem2].[CH PRÁTICA].[All]" allUniqueName="[TB_Enfermagem2].[CH PRÁTICA].[All]" dimensionUniqueName="[TB_Enfermagem2]" displayFolder="" count="0" memberValueDatatype="20" unbalanced="0"/>
    <cacheHierarchy uniqueName="[TB_Enfermagem2].[CH ESTÁGIO]" caption="CH ESTÁGIO" attribute="1" defaultMemberUniqueName="[TB_Enfermagem2].[CH ESTÁGIO].[All]" allUniqueName="[TB_Enfermagem2].[CH ESTÁGIO].[All]" dimensionUniqueName="[TB_Enfermagem2]" displayFolder="" count="0" memberValueDatatype="20" unbalanced="0"/>
    <cacheHierarchy uniqueName="[TB_Enfermagem2].[CH EXTENSÃO]" caption="CH EXTENSÃO" attribute="1" defaultMemberUniqueName="[TB_Enfermagem2].[CH EXTENSÃO].[All]" allUniqueName="[TB_Enfermagem2].[CH EXTENSÃO].[All]" dimensionUniqueName="[TB_Enfermagem2]" displayFolder="" count="0" memberValueDatatype="20" unbalanced="0"/>
    <cacheHierarchy uniqueName="[TB_Enfermagem2].[CH ONLINE]" caption="CH ONLINE" attribute="1" defaultMemberUniqueName="[TB_Enfermagem2].[CH ONLINE].[All]" allUniqueName="[TB_Enfermagem2].[CH ONLINE].[All]" dimensionUniqueName="[TB_Enfermagem2]" displayFolder="" count="0" memberValueDatatype="20" unbalanced="0"/>
    <cacheHierarchy uniqueName="[TB_Enfermagem2].[TIPIFICAÇÃO]" caption="TIPIFICAÇÃO" attribute="1" defaultMemberUniqueName="[TB_Enfermagem2].[TIPIFICAÇÃO].[All]" allUniqueName="[TB_Enfermagem2].[TIPIFICAÇÃO].[All]" dimensionUniqueName="[TB_Enfermagem2]" displayFolder="" count="0" memberValueDatatype="130" unbalanced="0"/>
    <cacheHierarchy uniqueName="[TB_Enfermagem2].[CRÉDITOS]" caption="CRÉDITOS" attribute="1" defaultMemberUniqueName="[TB_Enfermagem2].[CRÉDITOS].[All]" allUniqueName="[TB_Enfermagem2].[CRÉDITOS].[All]" dimensionUniqueName="[TB_Enfermagem2]" displayFolder="" count="0" memberValueDatatype="20" unbalanced="0"/>
    <cacheHierarchy uniqueName="[TB_Enfermagem2].[DIAS PRESENCIAL]" caption="DIAS PRESENCIAL" attribute="1" defaultMemberUniqueName="[TB_Enfermagem2].[DIAS PRESENCIAL].[All]" allUniqueName="[TB_Enfermagem2].[DIAS PRESENCIAL].[All]" dimensionUniqueName="[TB_Enfermagem2]" displayFolder="" count="0" memberValueDatatype="5" unbalanced="0"/>
    <cacheHierarchy uniqueName="[TB_Enfermagem2].[ALUNOS POR TURMA OU GRUPOS]" caption="ALUNOS POR TURMA OU GRUPOS" attribute="1" defaultMemberUniqueName="[TB_Enfermagem2].[ALUNOS POR TURMA OU GRUPOS].[All]" allUniqueName="[TB_Enfermagem2].[ALUNOS POR TURMA OU GRUPOS].[All]" dimensionUniqueName="[TB_Enfermagem2]" displayFolder="" count="0" memberValueDatatype="130" unbalanced="0"/>
    <cacheHierarchy uniqueName="[TB_Enfermagem2].[TIPO DE OFERTA]" caption="TIPO DE OFERTA" attribute="1" defaultMemberUniqueName="[TB_Enfermagem2].[TIPO DE OFERTA].[All]" allUniqueName="[TB_Enfermagem2].[TIPO DE OFERTA].[All]" dimensionUniqueName="[TB_Enfermagem2]" displayFolder="" count="0" memberValueDatatype="130" unbalanced="0"/>
    <cacheHierarchy uniqueName="[TB_Enfermagem2].[PRESENCIAL]" caption="PRESENCIAL" attribute="1" defaultMemberUniqueName="[TB_Enfermagem2].[PRESENCIAL].[All]" allUniqueName="[TB_Enfermagem2].[PRESENCIAL].[All]" dimensionUniqueName="[TB_Enfermagem2]" displayFolder="" count="0" memberValueDatatype="130" unbalanced="0"/>
    <cacheHierarchy uniqueName="[TB_Enfermagem2].[SÍNCRONO]" caption="SÍNCRONO" attribute="1" defaultMemberUniqueName="[TB_Enfermagem2].[SÍNCRONO].[All]" allUniqueName="[TB_Enfermagem2].[SÍNCRONO].[All]" dimensionUniqueName="[TB_Enfermagem2]" displayFolder="" count="0" memberValueDatatype="130" unbalanced="0"/>
    <cacheHierarchy uniqueName="[TB_Enfermagem2].[ASSÍNCRONO]" caption="ASSÍNCRONO" attribute="1" defaultMemberUniqueName="[TB_Enfermagem2].[ASSÍNCRONO].[All]" allUniqueName="[TB_Enfermagem2].[ASSÍNCRONO].[All]" dimensionUniqueName="[TB_Enfermagem2]" displayFolder="" count="0" memberValueDatatype="130" unbalanced="0"/>
    <cacheHierarchy uniqueName="[TB_Enfermagem2].[CRÉDITOS PAGO PROFESSOR]" caption="CRÉDITOS PAGO PROFESSOR" attribute="1" defaultMemberUniqueName="[TB_Enfermagem2].[CRÉDITOS PAGO PROFESSOR].[All]" allUniqueName="[TB_Enfermagem2].[CRÉDITOS PAGO PROFESSOR].[All]" dimensionUniqueName="[TB_Enfermagem2]" displayFolder="" count="0" memberValueDatatype="20" unbalanced="0"/>
    <cacheHierarchy uniqueName="[TB_Enfermagem2].[CRÉDITOS PAGOS ON.S]" caption="CRÉDITOS PAGOS ON.S" attribute="1" defaultMemberUniqueName="[TB_Enfermagem2].[CRÉDITOS PAGOS ON.S].[All]" allUniqueName="[TB_Enfermagem2].[CRÉDITOS PAGOS ON.S].[All]" dimensionUniqueName="[TB_Enfermagem2]" displayFolder="" count="0" memberValueDatatype="20" unbalanced="0"/>
    <cacheHierarchy uniqueName="[TB_Enfermagem2].[CRÉDITOS PAGO TUTOR]" caption="CRÉDITOS PAGO TUTOR" attribute="1" defaultMemberUniqueName="[TB_Enfermagem2].[CRÉDITOS PAGO TUTOR].[All]" allUniqueName="[TB_Enfermagem2].[CRÉDITOS PAGO TUTOR].[All]" dimensionUniqueName="[TB_Enfermagem2]" displayFolder="" count="0" memberValueDatatype="20" unbalanced="0"/>
    <cacheHierarchy uniqueName="[TB_Enfermagem2].[CRÉDITOS OFF]" caption="CRÉDITOS OFF" attribute="1" defaultMemberUniqueName="[TB_Enfermagem2].[CRÉDITOS OFF].[All]" allUniqueName="[TB_Enfermagem2].[CRÉDITOS OFF].[All]" dimensionUniqueName="[TB_Enfermagem2]" displayFolder="" count="0" memberValueDatatype="20" unbalanced="0"/>
    <cacheHierarchy uniqueName="[TB_Enfermagem2].[HABILITAÇÃO]" caption="HABILITAÇÃO" attribute="1" defaultMemberUniqueName="[TB_Enfermagem2].[HABILITAÇÃO].[All]" allUniqueName="[TB_Enfermagem2].[HABILITAÇÃO].[All]" dimensionUniqueName="[TB_Enfermagem2]" displayFolder="" count="0" memberValueDatatype="130" unbalanced="0"/>
    <cacheHierarchy uniqueName="[TB_Enfermagem2].[PRESENCIAL2]" caption="PRESENCIAL2" attribute="1" defaultMemberUniqueName="[TB_Enfermagem2].[PRESENCIAL2].[All]" allUniqueName="[TB_Enfermagem2].[PRESENCIAL2].[All]" dimensionUniqueName="[TB_Enfermagem2]" displayFolder="" count="0" memberValueDatatype="130" unbalanced="0"/>
    <cacheHierarchy uniqueName="[TB_Enfermagem2].[DIAS DE PRESENCIAL MOD.: PRESENCIAL]" caption="DIAS DE PRESENCIAL MOD.: PRESENCIAL" attribute="1" defaultMemberUniqueName="[TB_Enfermagem2].[DIAS DE PRESENCIAL MOD.: PRESENCIAL].[All]" allUniqueName="[TB_Enfermagem2].[DIAS DE PRESENCIAL MOD.: PRESENCIAL].[All]" dimensionUniqueName="[TB_Enfermagem2]" displayFolder="" count="0" memberValueDatatype="130" unbalanced="0"/>
    <cacheHierarchy uniqueName="[TB_Enfermagem2].[SEMI]" caption="SEMI" attribute="1" defaultMemberUniqueName="[TB_Enfermagem2].[SEMI].[All]" allUniqueName="[TB_Enfermagem2].[SEMI].[All]" dimensionUniqueName="[TB_Enfermagem2]" displayFolder="" count="0" memberValueDatatype="130" unbalanced="0"/>
    <cacheHierarchy uniqueName="[TB_Enfermagem2].[DIAS DE PRESENCIAL MOD.: SEMI]" caption="DIAS DE PRESENCIAL MOD.: SEMI" attribute="1" defaultMemberUniqueName="[TB_Enfermagem2].[DIAS DE PRESENCIAL MOD.: SEMI].[All]" allUniqueName="[TB_Enfermagem2].[DIAS DE PRESENCIAL MOD.: SEMI].[All]" dimensionUniqueName="[TB_Enfermagem2]" displayFolder="" count="0" memberValueDatatype="130" unbalanced="0"/>
    <cacheHierarchy uniqueName="[TB_Enfermagem2].[100%]" caption="100%" attribute="1" defaultMemberUniqueName="[TB_Enfermagem2].[100%].[All]" allUniqueName="[TB_Enfermagem2].[100%].[All]" dimensionUniqueName="[TB_Enfermagem2]" displayFolder="" count="0" memberValueDatatype="130" unbalanced="0"/>
    <cacheHierarchy uniqueName="[Measures].[__XL_Count TB_Enfermagem2]" caption="__XL_Count TB_Enfermagem2" measure="1" displayFolder="" measureGroup="TB_Enfermagem2" count="0" hidden="1"/>
    <cacheHierarchy uniqueName="[Measures].[__No measures defined]" caption="__No measures defined" measure="1" displayFolder="" count="0" hidden="1"/>
    <cacheHierarchy uniqueName="[Measures].[Soma de CH TOTAL]" caption="Soma de CH TOTAL" measure="1" displayFolder="" measureGroup="TB_Enfermagem2" count="0" oneField="1" hidden="1">
      <fieldsUsage count="1">
        <fieldUsage x="0"/>
      </fieldsUsage>
      <extLst>
        <ext xmlns:x15="http://schemas.microsoft.com/office/spreadsheetml/2010/11/main" uri="{B97F6D7D-B522-45F9-BDA1-12C45D357490}">
          <x15:cacheHierarchy aggregatedColumn="5"/>
        </ext>
      </extLst>
    </cacheHierarchy>
    <cacheHierarchy uniqueName="[Measures].[Soma de CH ONLINE]" caption="Soma de CH ONLINE" measure="1" displayFolder="" measureGroup="TB_Enfermagem2" count="0" hidden="1">
      <extLst>
        <ext xmlns:x15="http://schemas.microsoft.com/office/spreadsheetml/2010/11/main" uri="{B97F6D7D-B522-45F9-BDA1-12C45D357490}">
          <x15:cacheHierarchy aggregatedColumn="11"/>
        </ext>
      </extLst>
    </cacheHierarchy>
    <cacheHierarchy uniqueName="[Measures].[Soma de CH TEÓRICA]" caption="Soma de CH TEÓRICA" measure="1" displayFolder="" measureGroup="TB_Enfermagem2" count="0" hidden="1">
      <extLst>
        <ext xmlns:x15="http://schemas.microsoft.com/office/spreadsheetml/2010/11/main" uri="{B97F6D7D-B522-45F9-BDA1-12C45D357490}">
          <x15:cacheHierarchy aggregatedColumn="7"/>
        </ext>
      </extLst>
    </cacheHierarchy>
    <cacheHierarchy uniqueName="[Measures].[Soma de CH PRÁTICA]" caption="Soma de CH PRÁTICA" measure="1" displayFolder="" measureGroup="TB_Enfermagem2" count="0" hidden="1">
      <extLst>
        <ext xmlns:x15="http://schemas.microsoft.com/office/spreadsheetml/2010/11/main" uri="{B97F6D7D-B522-45F9-BDA1-12C45D357490}">
          <x15:cacheHierarchy aggregatedColumn="8"/>
        </ext>
      </extLst>
    </cacheHierarchy>
    <cacheHierarchy uniqueName="[Measures].[Soma de CH ESTÁGIO]" caption="Soma de CH ESTÁGIO" measure="1" displayFolder="" measureGroup="TB_Enfermagem2" count="0" hidden="1">
      <extLst>
        <ext xmlns:x15="http://schemas.microsoft.com/office/spreadsheetml/2010/11/main" uri="{B97F6D7D-B522-45F9-BDA1-12C45D357490}">
          <x15:cacheHierarchy aggregatedColumn="9"/>
        </ext>
      </extLst>
    </cacheHierarchy>
    <cacheHierarchy uniqueName="[Measures].[Soma de CH EXTENSÃO]" caption="Soma de CH EXTENSÃO" measure="1" displayFolder="" measureGroup="TB_Enfermagem2" count="0" hidden="1">
      <extLst>
        <ext xmlns:x15="http://schemas.microsoft.com/office/spreadsheetml/2010/11/main" uri="{B97F6D7D-B522-45F9-BDA1-12C45D357490}">
          <x15:cacheHierarchy aggregatedColumn="10"/>
        </ext>
      </extLst>
    </cacheHierarchy>
    <cacheHierarchy uniqueName="Unsupported0" caption="CURSO" measure="1" count="0">
      <extLst>
        <ext xmlns:x14="http://schemas.microsoft.com/office/spreadsheetml/2009/9/main" uri="{8CF416AD-EC4C-4aba-99F5-12A058AE0983}">
          <x14:cacheHierarchy ignore="1"/>
        </ext>
      </extLst>
    </cacheHierarchy>
  </cacheHierarchies>
  <kpis count="0"/>
  <dimensions count="2">
    <dimension measure="1" name="Measures" uniqueName="[Measures]" caption="Measures"/>
    <dimension name="TB_Enfermagem2" uniqueName="[TB_Enfermagem2]" caption="TB_Enfermagem2"/>
  </dimensions>
  <measureGroups count="1">
    <measureGroup name="TB_Enfermagem2" caption="TB_Enfermagem2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OnLoad="1" refreshedBy="Sybele Marcia Starling" refreshedDate="46261.670911689813" backgroundQuery="1" createdVersion="8" refreshedVersion="8" minRefreshableVersion="3" recordCount="0" supportSubquery="1" supportAdvancedDrill="1" xr:uid="{F5D6DD60-03D3-4AA6-B4EB-1CB2F45307E2}">
  <cacheSource type="external" connectionId="1"/>
  <cacheFields count="3">
    <cacheField name="[Measures].[Soma de CH TOTAL]" caption="Soma de CH TOTAL" numFmtId="0" hierarchy="32" level="32767"/>
    <cacheField name="[TB_Enfermagem2].[PERÍODOS].[PERÍODOS]" caption="PERÍODOS" numFmtId="0" hierarchy="1" level="1">
      <sharedItems count="7">
        <s v="1º"/>
        <s v="2º"/>
        <s v="3º"/>
        <s v="4º"/>
        <s v="5º"/>
        <s v="6º"/>
        <s v="ACC"/>
      </sharedItems>
    </cacheField>
    <cacheField name="Unsupported0" numFmtId="0" hierarchy="38" level="32767">
      <extLst>
        <ext xmlns:x14="http://schemas.microsoft.com/office/spreadsheetml/2009/9/main" uri="{63CAB8AC-B538-458d-9737-405883B0398D}">
          <x14:cacheField ignore="1"/>
        </ext>
      </extLst>
    </cacheField>
  </cacheFields>
  <cacheHierarchies count="39">
    <cacheHierarchy uniqueName="[TB_Enfermagem2].[CURSO]" caption="CURSO" attribute="1" defaultMemberUniqueName="[TB_Enfermagem2].[CURSO].[All]" allUniqueName="[TB_Enfermagem2].[CURSO].[All]" dimensionUniqueName="[TB_Enfermagem2]" displayFolder="" count="0" memberValueDatatype="130" unbalanced="0"/>
    <cacheHierarchy uniqueName="[TB_Enfermagem2].[PERÍODOS]" caption="PERÍODOS" attribute="1" defaultMemberUniqueName="[TB_Enfermagem2].[PERÍODOS].[All]" allUniqueName="[TB_Enfermagem2].[PERÍODOS].[All]" dimensionUniqueName="[TB_Enfermagem2]" displayFolder="" count="2" memberValueDatatype="130" unbalanced="0">
      <fieldsUsage count="2">
        <fieldUsage x="-1"/>
        <fieldUsage x="1"/>
      </fieldsUsage>
    </cacheHierarchy>
    <cacheHierarchy uniqueName="[TB_Enfermagem2].[ORDEM]" caption="ORDEM" attribute="1" defaultMemberUniqueName="[TB_Enfermagem2].[ORDEM].[All]" allUniqueName="[TB_Enfermagem2].[ORDEM].[All]" dimensionUniqueName="[TB_Enfermagem2]" displayFolder="" count="0" memberValueDatatype="20" unbalanced="0"/>
    <cacheHierarchy uniqueName="[TB_Enfermagem2].[NOME DISCIPLINA]" caption="NOME DISCIPLINA" attribute="1" defaultMemberUniqueName="[TB_Enfermagem2].[NOME DISCIPLINA].[All]" allUniqueName="[TB_Enfermagem2].[NOME DISCIPLINA].[All]" dimensionUniqueName="[TB_Enfermagem2]" displayFolder="" count="0" memberValueDatatype="130" unbalanced="0"/>
    <cacheHierarchy uniqueName="[TB_Enfermagem2].[REDUZIDO]" caption="REDUZIDO" attribute="1" defaultMemberUniqueName="[TB_Enfermagem2].[REDUZIDO].[All]" allUniqueName="[TB_Enfermagem2].[REDUZIDO].[All]" dimensionUniqueName="[TB_Enfermagem2]" displayFolder="" count="0" memberValueDatatype="130" unbalanced="0"/>
    <cacheHierarchy uniqueName="[TB_Enfermagem2].[CH TOTAL]" caption="CH TOTAL" attribute="1" defaultMemberUniqueName="[TB_Enfermagem2].[CH TOTAL].[All]" allUniqueName="[TB_Enfermagem2].[CH TOTAL].[All]" dimensionUniqueName="[TB_Enfermagem2]" displayFolder="" count="0" memberValueDatatype="20" unbalanced="0"/>
    <cacheHierarchy uniqueName="[TB_Enfermagem2].[TIPO COMPONENTE]" caption="TIPO COMPONENTE" attribute="1" defaultMemberUniqueName="[TB_Enfermagem2].[TIPO COMPONENTE].[All]" allUniqueName="[TB_Enfermagem2].[TIPO COMPONENTE].[All]" dimensionUniqueName="[TB_Enfermagem2]" displayFolder="" count="0" memberValueDatatype="130" unbalanced="0"/>
    <cacheHierarchy uniqueName="[TB_Enfermagem2].[CH TEÓRICA]" caption="CH TEÓRICA" attribute="1" defaultMemberUniqueName="[TB_Enfermagem2].[CH TEÓRICA].[All]" allUniqueName="[TB_Enfermagem2].[CH TEÓRICA].[All]" dimensionUniqueName="[TB_Enfermagem2]" displayFolder="" count="0" memberValueDatatype="20" unbalanced="0"/>
    <cacheHierarchy uniqueName="[TB_Enfermagem2].[CH PRÁTICA]" caption="CH PRÁTICA" attribute="1" defaultMemberUniqueName="[TB_Enfermagem2].[CH PRÁTICA].[All]" allUniqueName="[TB_Enfermagem2].[CH PRÁTICA].[All]" dimensionUniqueName="[TB_Enfermagem2]" displayFolder="" count="0" memberValueDatatype="20" unbalanced="0"/>
    <cacheHierarchy uniqueName="[TB_Enfermagem2].[CH ESTÁGIO]" caption="CH ESTÁGIO" attribute="1" defaultMemberUniqueName="[TB_Enfermagem2].[CH ESTÁGIO].[All]" allUniqueName="[TB_Enfermagem2].[CH ESTÁGIO].[All]" dimensionUniqueName="[TB_Enfermagem2]" displayFolder="" count="0" memberValueDatatype="20" unbalanced="0"/>
    <cacheHierarchy uniqueName="[TB_Enfermagem2].[CH EXTENSÃO]" caption="CH EXTENSÃO" attribute="1" defaultMemberUniqueName="[TB_Enfermagem2].[CH EXTENSÃO].[All]" allUniqueName="[TB_Enfermagem2].[CH EXTENSÃO].[All]" dimensionUniqueName="[TB_Enfermagem2]" displayFolder="" count="0" memberValueDatatype="20" unbalanced="0"/>
    <cacheHierarchy uniqueName="[TB_Enfermagem2].[CH ONLINE]" caption="CH ONLINE" attribute="1" defaultMemberUniqueName="[TB_Enfermagem2].[CH ONLINE].[All]" allUniqueName="[TB_Enfermagem2].[CH ONLINE].[All]" dimensionUniqueName="[TB_Enfermagem2]" displayFolder="" count="0" memberValueDatatype="20" unbalanced="0"/>
    <cacheHierarchy uniqueName="[TB_Enfermagem2].[TIPIFICAÇÃO]" caption="TIPIFICAÇÃO" attribute="1" defaultMemberUniqueName="[TB_Enfermagem2].[TIPIFICAÇÃO].[All]" allUniqueName="[TB_Enfermagem2].[TIPIFICAÇÃO].[All]" dimensionUniqueName="[TB_Enfermagem2]" displayFolder="" count="0" memberValueDatatype="130" unbalanced="0"/>
    <cacheHierarchy uniqueName="[TB_Enfermagem2].[CRÉDITOS]" caption="CRÉDITOS" attribute="1" defaultMemberUniqueName="[TB_Enfermagem2].[CRÉDITOS].[All]" allUniqueName="[TB_Enfermagem2].[CRÉDITOS].[All]" dimensionUniqueName="[TB_Enfermagem2]" displayFolder="" count="0" memberValueDatatype="20" unbalanced="0"/>
    <cacheHierarchy uniqueName="[TB_Enfermagem2].[DIAS PRESENCIAL]" caption="DIAS PRESENCIAL" attribute="1" defaultMemberUniqueName="[TB_Enfermagem2].[DIAS PRESENCIAL].[All]" allUniqueName="[TB_Enfermagem2].[DIAS PRESENCIAL].[All]" dimensionUniqueName="[TB_Enfermagem2]" displayFolder="" count="0" memberValueDatatype="5" unbalanced="0"/>
    <cacheHierarchy uniqueName="[TB_Enfermagem2].[ALUNOS POR TURMA OU GRUPOS]" caption="ALUNOS POR TURMA OU GRUPOS" attribute="1" defaultMemberUniqueName="[TB_Enfermagem2].[ALUNOS POR TURMA OU GRUPOS].[All]" allUniqueName="[TB_Enfermagem2].[ALUNOS POR TURMA OU GRUPOS].[All]" dimensionUniqueName="[TB_Enfermagem2]" displayFolder="" count="0" memberValueDatatype="130" unbalanced="0"/>
    <cacheHierarchy uniqueName="[TB_Enfermagem2].[TIPO DE OFERTA]" caption="TIPO DE OFERTA" attribute="1" defaultMemberUniqueName="[TB_Enfermagem2].[TIPO DE OFERTA].[All]" allUniqueName="[TB_Enfermagem2].[TIPO DE OFERTA].[All]" dimensionUniqueName="[TB_Enfermagem2]" displayFolder="" count="0" memberValueDatatype="130" unbalanced="0"/>
    <cacheHierarchy uniqueName="[TB_Enfermagem2].[PRESENCIAL]" caption="PRESENCIAL" attribute="1" defaultMemberUniqueName="[TB_Enfermagem2].[PRESENCIAL].[All]" allUniqueName="[TB_Enfermagem2].[PRESENCIAL].[All]" dimensionUniqueName="[TB_Enfermagem2]" displayFolder="" count="0" memberValueDatatype="130" unbalanced="0"/>
    <cacheHierarchy uniqueName="[TB_Enfermagem2].[SÍNCRONO]" caption="SÍNCRONO" attribute="1" defaultMemberUniqueName="[TB_Enfermagem2].[SÍNCRONO].[All]" allUniqueName="[TB_Enfermagem2].[SÍNCRONO].[All]" dimensionUniqueName="[TB_Enfermagem2]" displayFolder="" count="0" memberValueDatatype="130" unbalanced="0"/>
    <cacheHierarchy uniqueName="[TB_Enfermagem2].[ASSÍNCRONO]" caption="ASSÍNCRONO" attribute="1" defaultMemberUniqueName="[TB_Enfermagem2].[ASSÍNCRONO].[All]" allUniqueName="[TB_Enfermagem2].[ASSÍNCRONO].[All]" dimensionUniqueName="[TB_Enfermagem2]" displayFolder="" count="0" memberValueDatatype="130" unbalanced="0"/>
    <cacheHierarchy uniqueName="[TB_Enfermagem2].[CRÉDITOS PAGO PROFESSOR]" caption="CRÉDITOS PAGO PROFESSOR" attribute="1" defaultMemberUniqueName="[TB_Enfermagem2].[CRÉDITOS PAGO PROFESSOR].[All]" allUniqueName="[TB_Enfermagem2].[CRÉDITOS PAGO PROFESSOR].[All]" dimensionUniqueName="[TB_Enfermagem2]" displayFolder="" count="0" memberValueDatatype="20" unbalanced="0"/>
    <cacheHierarchy uniqueName="[TB_Enfermagem2].[CRÉDITOS PAGOS ON.S]" caption="CRÉDITOS PAGOS ON.S" attribute="1" defaultMemberUniqueName="[TB_Enfermagem2].[CRÉDITOS PAGOS ON.S].[All]" allUniqueName="[TB_Enfermagem2].[CRÉDITOS PAGOS ON.S].[All]" dimensionUniqueName="[TB_Enfermagem2]" displayFolder="" count="0" memberValueDatatype="20" unbalanced="0"/>
    <cacheHierarchy uniqueName="[TB_Enfermagem2].[CRÉDITOS PAGO TUTOR]" caption="CRÉDITOS PAGO TUTOR" attribute="1" defaultMemberUniqueName="[TB_Enfermagem2].[CRÉDITOS PAGO TUTOR].[All]" allUniqueName="[TB_Enfermagem2].[CRÉDITOS PAGO TUTOR].[All]" dimensionUniqueName="[TB_Enfermagem2]" displayFolder="" count="0" memberValueDatatype="20" unbalanced="0"/>
    <cacheHierarchy uniqueName="[TB_Enfermagem2].[CRÉDITOS OFF]" caption="CRÉDITOS OFF" attribute="1" defaultMemberUniqueName="[TB_Enfermagem2].[CRÉDITOS OFF].[All]" allUniqueName="[TB_Enfermagem2].[CRÉDITOS OFF].[All]" dimensionUniqueName="[TB_Enfermagem2]" displayFolder="" count="0" memberValueDatatype="20" unbalanced="0"/>
    <cacheHierarchy uniqueName="[TB_Enfermagem2].[HABILITAÇÃO]" caption="HABILITAÇÃO" attribute="1" defaultMemberUniqueName="[TB_Enfermagem2].[HABILITAÇÃO].[All]" allUniqueName="[TB_Enfermagem2].[HABILITAÇÃO].[All]" dimensionUniqueName="[TB_Enfermagem2]" displayFolder="" count="0" memberValueDatatype="130" unbalanced="0"/>
    <cacheHierarchy uniqueName="[TB_Enfermagem2].[PRESENCIAL2]" caption="PRESENCIAL2" attribute="1" defaultMemberUniqueName="[TB_Enfermagem2].[PRESENCIAL2].[All]" allUniqueName="[TB_Enfermagem2].[PRESENCIAL2].[All]" dimensionUniqueName="[TB_Enfermagem2]" displayFolder="" count="0" memberValueDatatype="130" unbalanced="0"/>
    <cacheHierarchy uniqueName="[TB_Enfermagem2].[DIAS DE PRESENCIAL MOD.: PRESENCIAL]" caption="DIAS DE PRESENCIAL MOD.: PRESENCIAL" attribute="1" defaultMemberUniqueName="[TB_Enfermagem2].[DIAS DE PRESENCIAL MOD.: PRESENCIAL].[All]" allUniqueName="[TB_Enfermagem2].[DIAS DE PRESENCIAL MOD.: PRESENCIAL].[All]" dimensionUniqueName="[TB_Enfermagem2]" displayFolder="" count="0" memberValueDatatype="130" unbalanced="0"/>
    <cacheHierarchy uniqueName="[TB_Enfermagem2].[SEMI]" caption="SEMI" attribute="1" defaultMemberUniqueName="[TB_Enfermagem2].[SEMI].[All]" allUniqueName="[TB_Enfermagem2].[SEMI].[All]" dimensionUniqueName="[TB_Enfermagem2]" displayFolder="" count="0" memberValueDatatype="130" unbalanced="0"/>
    <cacheHierarchy uniqueName="[TB_Enfermagem2].[DIAS DE PRESENCIAL MOD.: SEMI]" caption="DIAS DE PRESENCIAL MOD.: SEMI" attribute="1" defaultMemberUniqueName="[TB_Enfermagem2].[DIAS DE PRESENCIAL MOD.: SEMI].[All]" allUniqueName="[TB_Enfermagem2].[DIAS DE PRESENCIAL MOD.: SEMI].[All]" dimensionUniqueName="[TB_Enfermagem2]" displayFolder="" count="0" memberValueDatatype="130" unbalanced="0"/>
    <cacheHierarchy uniqueName="[TB_Enfermagem2].[100%]" caption="100%" attribute="1" defaultMemberUniqueName="[TB_Enfermagem2].[100%].[All]" allUniqueName="[TB_Enfermagem2].[100%].[All]" dimensionUniqueName="[TB_Enfermagem2]" displayFolder="" count="0" memberValueDatatype="130" unbalanced="0"/>
    <cacheHierarchy uniqueName="[Measures].[__XL_Count TB_Enfermagem2]" caption="__XL_Count TB_Enfermagem2" measure="1" displayFolder="" measureGroup="TB_Enfermagem2" count="0" hidden="1"/>
    <cacheHierarchy uniqueName="[Measures].[__No measures defined]" caption="__No measures defined" measure="1" displayFolder="" count="0" hidden="1"/>
    <cacheHierarchy uniqueName="[Measures].[Soma de CH TOTAL]" caption="Soma de CH TOTAL" measure="1" displayFolder="" measureGroup="TB_Enfermagem2" count="0" oneField="1" hidden="1">
      <fieldsUsage count="1">
        <fieldUsage x="0"/>
      </fieldsUsage>
      <extLst>
        <ext xmlns:x15="http://schemas.microsoft.com/office/spreadsheetml/2010/11/main" uri="{B97F6D7D-B522-45F9-BDA1-12C45D357490}">
          <x15:cacheHierarchy aggregatedColumn="5"/>
        </ext>
      </extLst>
    </cacheHierarchy>
    <cacheHierarchy uniqueName="[Measures].[Soma de CH ONLINE]" caption="Soma de CH ONLINE" measure="1" displayFolder="" measureGroup="TB_Enfermagem2" count="0" hidden="1">
      <extLst>
        <ext xmlns:x15="http://schemas.microsoft.com/office/spreadsheetml/2010/11/main" uri="{B97F6D7D-B522-45F9-BDA1-12C45D357490}">
          <x15:cacheHierarchy aggregatedColumn="11"/>
        </ext>
      </extLst>
    </cacheHierarchy>
    <cacheHierarchy uniqueName="[Measures].[Soma de CH TEÓRICA]" caption="Soma de CH TEÓRICA" measure="1" displayFolder="" measureGroup="TB_Enfermagem2" count="0" hidden="1">
      <extLst>
        <ext xmlns:x15="http://schemas.microsoft.com/office/spreadsheetml/2010/11/main" uri="{B97F6D7D-B522-45F9-BDA1-12C45D357490}">
          <x15:cacheHierarchy aggregatedColumn="7"/>
        </ext>
      </extLst>
    </cacheHierarchy>
    <cacheHierarchy uniqueName="[Measures].[Soma de CH PRÁTICA]" caption="Soma de CH PRÁTICA" measure="1" displayFolder="" measureGroup="TB_Enfermagem2" count="0" hidden="1">
      <extLst>
        <ext xmlns:x15="http://schemas.microsoft.com/office/spreadsheetml/2010/11/main" uri="{B97F6D7D-B522-45F9-BDA1-12C45D357490}">
          <x15:cacheHierarchy aggregatedColumn="8"/>
        </ext>
      </extLst>
    </cacheHierarchy>
    <cacheHierarchy uniqueName="[Measures].[Soma de CH ESTÁGIO]" caption="Soma de CH ESTÁGIO" measure="1" displayFolder="" measureGroup="TB_Enfermagem2" count="0" hidden="1">
      <extLst>
        <ext xmlns:x15="http://schemas.microsoft.com/office/spreadsheetml/2010/11/main" uri="{B97F6D7D-B522-45F9-BDA1-12C45D357490}">
          <x15:cacheHierarchy aggregatedColumn="9"/>
        </ext>
      </extLst>
    </cacheHierarchy>
    <cacheHierarchy uniqueName="[Measures].[Soma de CH EXTENSÃO]" caption="Soma de CH EXTENSÃO" measure="1" displayFolder="" measureGroup="TB_Enfermagem2" count="0" hidden="1">
      <extLst>
        <ext xmlns:x15="http://schemas.microsoft.com/office/spreadsheetml/2010/11/main" uri="{B97F6D7D-B522-45F9-BDA1-12C45D357490}">
          <x15:cacheHierarchy aggregatedColumn="10"/>
        </ext>
      </extLst>
    </cacheHierarchy>
    <cacheHierarchy uniqueName="Unsupported0" caption="CURSO" measure="1" count="0">
      <extLst>
        <ext xmlns:x14="http://schemas.microsoft.com/office/spreadsheetml/2009/9/main" uri="{8CF416AD-EC4C-4aba-99F5-12A058AE0983}">
          <x14:cacheHierarchy ignore="1"/>
        </ext>
      </extLst>
    </cacheHierarchy>
  </cacheHierarchies>
  <kpis count="0"/>
  <dimensions count="2">
    <dimension measure="1" name="Measures" uniqueName="[Measures]" caption="Measures"/>
    <dimension name="TB_Enfermagem2" uniqueName="[TB_Enfermagem2]" caption="TB_Enfermagem2"/>
  </dimensions>
  <measureGroups count="1">
    <measureGroup name="TB_Enfermagem2" caption="TB_Enfermagem2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OnLoad="1" refreshedBy="Sybele Marcia Starling" refreshedDate="46261.67091296296" backgroundQuery="1" createdVersion="8" refreshedVersion="8" minRefreshableVersion="3" recordCount="0" supportSubquery="1" supportAdvancedDrill="1" xr:uid="{274C5598-EE88-4C56-BB81-64C72F1DE837}">
  <cacheSource type="external" connectionId="1"/>
  <cacheFields count="2">
    <cacheField name="[TB_Enfermagem2].[CURSO].[CURSO]" caption="CURSO" numFmtId="0" level="1">
      <sharedItems count="1">
        <s v="RADIOLOGIA"/>
      </sharedItems>
    </cacheField>
    <cacheField name="[Measures].[Soma de CH TOTAL]" caption="Soma de CH TOTAL" numFmtId="0" hierarchy="32" level="32767"/>
  </cacheFields>
  <cacheHierarchies count="38">
    <cacheHierarchy uniqueName="[TB_Enfermagem2].[CURSO]" caption="CURSO" attribute="1" defaultMemberUniqueName="[TB_Enfermagem2].[CURSO].[All]" allUniqueName="[TB_Enfermagem2].[CURSO].[All]" dimensionUniqueName="[TB_Enfermagem2]" displayFolder="" count="2" memberValueDatatype="130" unbalanced="0">
      <fieldsUsage count="2">
        <fieldUsage x="-1"/>
        <fieldUsage x="0"/>
      </fieldsUsage>
    </cacheHierarchy>
    <cacheHierarchy uniqueName="[TB_Enfermagem2].[PERÍODOS]" caption="PERÍODOS" attribute="1" defaultMemberUniqueName="[TB_Enfermagem2].[PERÍODOS].[All]" allUniqueName="[TB_Enfermagem2].[PERÍODOS].[All]" dimensionUniqueName="[TB_Enfermagem2]" displayFolder="" count="0" memberValueDatatype="130" unbalanced="0"/>
    <cacheHierarchy uniqueName="[TB_Enfermagem2].[ORDEM]" caption="ORDEM" attribute="1" defaultMemberUniqueName="[TB_Enfermagem2].[ORDEM].[All]" allUniqueName="[TB_Enfermagem2].[ORDEM].[All]" dimensionUniqueName="[TB_Enfermagem2]" displayFolder="" count="0" memberValueDatatype="20" unbalanced="0"/>
    <cacheHierarchy uniqueName="[TB_Enfermagem2].[NOME DISCIPLINA]" caption="NOME DISCIPLINA" attribute="1" defaultMemberUniqueName="[TB_Enfermagem2].[NOME DISCIPLINA].[All]" allUniqueName="[TB_Enfermagem2].[NOME DISCIPLINA].[All]" dimensionUniqueName="[TB_Enfermagem2]" displayFolder="" count="0" memberValueDatatype="130" unbalanced="0"/>
    <cacheHierarchy uniqueName="[TB_Enfermagem2].[REDUZIDO]" caption="REDUZIDO" attribute="1" defaultMemberUniqueName="[TB_Enfermagem2].[REDUZIDO].[All]" allUniqueName="[TB_Enfermagem2].[REDUZIDO].[All]" dimensionUniqueName="[TB_Enfermagem2]" displayFolder="" count="0" memberValueDatatype="130" unbalanced="0"/>
    <cacheHierarchy uniqueName="[TB_Enfermagem2].[CH TOTAL]" caption="CH TOTAL" attribute="1" defaultMemberUniqueName="[TB_Enfermagem2].[CH TOTAL].[All]" allUniqueName="[TB_Enfermagem2].[CH TOTAL].[All]" dimensionUniqueName="[TB_Enfermagem2]" displayFolder="" count="0" memberValueDatatype="20" unbalanced="0"/>
    <cacheHierarchy uniqueName="[TB_Enfermagem2].[TIPO COMPONENTE]" caption="TIPO COMPONENTE" attribute="1" defaultMemberUniqueName="[TB_Enfermagem2].[TIPO COMPONENTE].[All]" allUniqueName="[TB_Enfermagem2].[TIPO COMPONENTE].[All]" dimensionUniqueName="[TB_Enfermagem2]" displayFolder="" count="0" memberValueDatatype="130" unbalanced="0"/>
    <cacheHierarchy uniqueName="[TB_Enfermagem2].[CH TEÓRICA]" caption="CH TEÓRICA" attribute="1" defaultMemberUniqueName="[TB_Enfermagem2].[CH TEÓRICA].[All]" allUniqueName="[TB_Enfermagem2].[CH TEÓRICA].[All]" dimensionUniqueName="[TB_Enfermagem2]" displayFolder="" count="0" memberValueDatatype="20" unbalanced="0"/>
    <cacheHierarchy uniqueName="[TB_Enfermagem2].[CH PRÁTICA]" caption="CH PRÁTICA" attribute="1" defaultMemberUniqueName="[TB_Enfermagem2].[CH PRÁTICA].[All]" allUniqueName="[TB_Enfermagem2].[CH PRÁTICA].[All]" dimensionUniqueName="[TB_Enfermagem2]" displayFolder="" count="0" memberValueDatatype="20" unbalanced="0"/>
    <cacheHierarchy uniqueName="[TB_Enfermagem2].[CH ESTÁGIO]" caption="CH ESTÁGIO" attribute="1" defaultMemberUniqueName="[TB_Enfermagem2].[CH ESTÁGIO].[All]" allUniqueName="[TB_Enfermagem2].[CH ESTÁGIO].[All]" dimensionUniqueName="[TB_Enfermagem2]" displayFolder="" count="0" memberValueDatatype="20" unbalanced="0"/>
    <cacheHierarchy uniqueName="[TB_Enfermagem2].[CH EXTENSÃO]" caption="CH EXTENSÃO" attribute="1" defaultMemberUniqueName="[TB_Enfermagem2].[CH EXTENSÃO].[All]" allUniqueName="[TB_Enfermagem2].[CH EXTENSÃO].[All]" dimensionUniqueName="[TB_Enfermagem2]" displayFolder="" count="0" memberValueDatatype="20" unbalanced="0"/>
    <cacheHierarchy uniqueName="[TB_Enfermagem2].[CH ONLINE]" caption="CH ONLINE" attribute="1" defaultMemberUniqueName="[TB_Enfermagem2].[CH ONLINE].[All]" allUniqueName="[TB_Enfermagem2].[CH ONLINE].[All]" dimensionUniqueName="[TB_Enfermagem2]" displayFolder="" count="0" memberValueDatatype="20" unbalanced="0"/>
    <cacheHierarchy uniqueName="[TB_Enfermagem2].[TIPIFICAÇÃO]" caption="TIPIFICAÇÃO" attribute="1" defaultMemberUniqueName="[TB_Enfermagem2].[TIPIFICAÇÃO].[All]" allUniqueName="[TB_Enfermagem2].[TIPIFICAÇÃO].[All]" dimensionUniqueName="[TB_Enfermagem2]" displayFolder="" count="0" memberValueDatatype="130" unbalanced="0"/>
    <cacheHierarchy uniqueName="[TB_Enfermagem2].[CRÉDITOS]" caption="CRÉDITOS" attribute="1" defaultMemberUniqueName="[TB_Enfermagem2].[CRÉDITOS].[All]" allUniqueName="[TB_Enfermagem2].[CRÉDITOS].[All]" dimensionUniqueName="[TB_Enfermagem2]" displayFolder="" count="0" memberValueDatatype="20" unbalanced="0"/>
    <cacheHierarchy uniqueName="[TB_Enfermagem2].[DIAS PRESENCIAL]" caption="DIAS PRESENCIAL" attribute="1" defaultMemberUniqueName="[TB_Enfermagem2].[DIAS PRESENCIAL].[All]" allUniqueName="[TB_Enfermagem2].[DIAS PRESENCIAL].[All]" dimensionUniqueName="[TB_Enfermagem2]" displayFolder="" count="0" memberValueDatatype="5" unbalanced="0"/>
    <cacheHierarchy uniqueName="[TB_Enfermagem2].[ALUNOS POR TURMA OU GRUPOS]" caption="ALUNOS POR TURMA OU GRUPOS" attribute="1" defaultMemberUniqueName="[TB_Enfermagem2].[ALUNOS POR TURMA OU GRUPOS].[All]" allUniqueName="[TB_Enfermagem2].[ALUNOS POR TURMA OU GRUPOS].[All]" dimensionUniqueName="[TB_Enfermagem2]" displayFolder="" count="0" memberValueDatatype="130" unbalanced="0"/>
    <cacheHierarchy uniqueName="[TB_Enfermagem2].[TIPO DE OFERTA]" caption="TIPO DE OFERTA" attribute="1" defaultMemberUniqueName="[TB_Enfermagem2].[TIPO DE OFERTA].[All]" allUniqueName="[TB_Enfermagem2].[TIPO DE OFERTA].[All]" dimensionUniqueName="[TB_Enfermagem2]" displayFolder="" count="0" memberValueDatatype="130" unbalanced="0"/>
    <cacheHierarchy uniqueName="[TB_Enfermagem2].[PRESENCIAL]" caption="PRESENCIAL" attribute="1" defaultMemberUniqueName="[TB_Enfermagem2].[PRESENCIAL].[All]" allUniqueName="[TB_Enfermagem2].[PRESENCIAL].[All]" dimensionUniqueName="[TB_Enfermagem2]" displayFolder="" count="0" memberValueDatatype="130" unbalanced="0"/>
    <cacheHierarchy uniqueName="[TB_Enfermagem2].[SÍNCRONO]" caption="SÍNCRONO" attribute="1" defaultMemberUniqueName="[TB_Enfermagem2].[SÍNCRONO].[All]" allUniqueName="[TB_Enfermagem2].[SÍNCRONO].[All]" dimensionUniqueName="[TB_Enfermagem2]" displayFolder="" count="0" memberValueDatatype="130" unbalanced="0"/>
    <cacheHierarchy uniqueName="[TB_Enfermagem2].[ASSÍNCRONO]" caption="ASSÍNCRONO" attribute="1" defaultMemberUniqueName="[TB_Enfermagem2].[ASSÍNCRONO].[All]" allUniqueName="[TB_Enfermagem2].[ASSÍNCRONO].[All]" dimensionUniqueName="[TB_Enfermagem2]" displayFolder="" count="0" memberValueDatatype="130" unbalanced="0"/>
    <cacheHierarchy uniqueName="[TB_Enfermagem2].[CRÉDITOS PAGO PROFESSOR]" caption="CRÉDITOS PAGO PROFESSOR" attribute="1" defaultMemberUniqueName="[TB_Enfermagem2].[CRÉDITOS PAGO PROFESSOR].[All]" allUniqueName="[TB_Enfermagem2].[CRÉDITOS PAGO PROFESSOR].[All]" dimensionUniqueName="[TB_Enfermagem2]" displayFolder="" count="0" memberValueDatatype="20" unbalanced="0"/>
    <cacheHierarchy uniqueName="[TB_Enfermagem2].[CRÉDITOS PAGOS ON.S]" caption="CRÉDITOS PAGOS ON.S" attribute="1" defaultMemberUniqueName="[TB_Enfermagem2].[CRÉDITOS PAGOS ON.S].[All]" allUniqueName="[TB_Enfermagem2].[CRÉDITOS PAGOS ON.S].[All]" dimensionUniqueName="[TB_Enfermagem2]" displayFolder="" count="0" memberValueDatatype="20" unbalanced="0"/>
    <cacheHierarchy uniqueName="[TB_Enfermagem2].[CRÉDITOS PAGO TUTOR]" caption="CRÉDITOS PAGO TUTOR" attribute="1" defaultMemberUniqueName="[TB_Enfermagem2].[CRÉDITOS PAGO TUTOR].[All]" allUniqueName="[TB_Enfermagem2].[CRÉDITOS PAGO TUTOR].[All]" dimensionUniqueName="[TB_Enfermagem2]" displayFolder="" count="0" memberValueDatatype="20" unbalanced="0"/>
    <cacheHierarchy uniqueName="[TB_Enfermagem2].[CRÉDITOS OFF]" caption="CRÉDITOS OFF" attribute="1" defaultMemberUniqueName="[TB_Enfermagem2].[CRÉDITOS OFF].[All]" allUniqueName="[TB_Enfermagem2].[CRÉDITOS OFF].[All]" dimensionUniqueName="[TB_Enfermagem2]" displayFolder="" count="0" memberValueDatatype="20" unbalanced="0"/>
    <cacheHierarchy uniqueName="[TB_Enfermagem2].[HABILITAÇÃO]" caption="HABILITAÇÃO" attribute="1" defaultMemberUniqueName="[TB_Enfermagem2].[HABILITAÇÃO].[All]" allUniqueName="[TB_Enfermagem2].[HABILITAÇÃO].[All]" dimensionUniqueName="[TB_Enfermagem2]" displayFolder="" count="0" memberValueDatatype="130" unbalanced="0"/>
    <cacheHierarchy uniqueName="[TB_Enfermagem2].[PRESENCIAL2]" caption="PRESENCIAL2" attribute="1" defaultMemberUniqueName="[TB_Enfermagem2].[PRESENCIAL2].[All]" allUniqueName="[TB_Enfermagem2].[PRESENCIAL2].[All]" dimensionUniqueName="[TB_Enfermagem2]" displayFolder="" count="0" memberValueDatatype="130" unbalanced="0"/>
    <cacheHierarchy uniqueName="[TB_Enfermagem2].[DIAS DE PRESENCIAL MOD.: PRESENCIAL]" caption="DIAS DE PRESENCIAL MOD.: PRESENCIAL" attribute="1" defaultMemberUniqueName="[TB_Enfermagem2].[DIAS DE PRESENCIAL MOD.: PRESENCIAL].[All]" allUniqueName="[TB_Enfermagem2].[DIAS DE PRESENCIAL MOD.: PRESENCIAL].[All]" dimensionUniqueName="[TB_Enfermagem2]" displayFolder="" count="0" memberValueDatatype="130" unbalanced="0"/>
    <cacheHierarchy uniqueName="[TB_Enfermagem2].[SEMI]" caption="SEMI" attribute="1" defaultMemberUniqueName="[TB_Enfermagem2].[SEMI].[All]" allUniqueName="[TB_Enfermagem2].[SEMI].[All]" dimensionUniqueName="[TB_Enfermagem2]" displayFolder="" count="0" memberValueDatatype="130" unbalanced="0"/>
    <cacheHierarchy uniqueName="[TB_Enfermagem2].[DIAS DE PRESENCIAL MOD.: SEMI]" caption="DIAS DE PRESENCIAL MOD.: SEMI" attribute="1" defaultMemberUniqueName="[TB_Enfermagem2].[DIAS DE PRESENCIAL MOD.: SEMI].[All]" allUniqueName="[TB_Enfermagem2].[DIAS DE PRESENCIAL MOD.: SEMI].[All]" dimensionUniqueName="[TB_Enfermagem2]" displayFolder="" count="0" memberValueDatatype="130" unbalanced="0"/>
    <cacheHierarchy uniqueName="[TB_Enfermagem2].[100%]" caption="100%" attribute="1" defaultMemberUniqueName="[TB_Enfermagem2].[100%].[All]" allUniqueName="[TB_Enfermagem2].[100%].[All]" dimensionUniqueName="[TB_Enfermagem2]" displayFolder="" count="0" memberValueDatatype="130" unbalanced="0"/>
    <cacheHierarchy uniqueName="[Measures].[__XL_Count TB_Enfermagem2]" caption="__XL_Count TB_Enfermagem2" measure="1" displayFolder="" measureGroup="TB_Enfermagem2" count="0" hidden="1"/>
    <cacheHierarchy uniqueName="[Measures].[__No measures defined]" caption="__No measures defined" measure="1" displayFolder="" count="0" hidden="1"/>
    <cacheHierarchy uniqueName="[Measures].[Soma de CH TOTAL]" caption="Soma de CH TOTAL" measure="1" displayFolder="" measureGroup="TB_Enfermagem2" count="0" oneField="1" hidden="1">
      <fieldsUsage count="1">
        <fieldUsage x="1"/>
      </fieldsUsage>
      <extLst>
        <ext xmlns:x15="http://schemas.microsoft.com/office/spreadsheetml/2010/11/main" uri="{B97F6D7D-B522-45F9-BDA1-12C45D357490}">
          <x15:cacheHierarchy aggregatedColumn="5"/>
        </ext>
      </extLst>
    </cacheHierarchy>
    <cacheHierarchy uniqueName="[Measures].[Soma de CH ONLINE]" caption="Soma de CH ONLINE" measure="1" displayFolder="" measureGroup="TB_Enfermagem2" count="0" hidden="1">
      <extLst>
        <ext xmlns:x15="http://schemas.microsoft.com/office/spreadsheetml/2010/11/main" uri="{B97F6D7D-B522-45F9-BDA1-12C45D357490}">
          <x15:cacheHierarchy aggregatedColumn="11"/>
        </ext>
      </extLst>
    </cacheHierarchy>
    <cacheHierarchy uniqueName="[Measures].[Soma de CH TEÓRICA]" caption="Soma de CH TEÓRICA" measure="1" displayFolder="" measureGroup="TB_Enfermagem2" count="0" hidden="1">
      <extLst>
        <ext xmlns:x15="http://schemas.microsoft.com/office/spreadsheetml/2010/11/main" uri="{B97F6D7D-B522-45F9-BDA1-12C45D357490}">
          <x15:cacheHierarchy aggregatedColumn="7"/>
        </ext>
      </extLst>
    </cacheHierarchy>
    <cacheHierarchy uniqueName="[Measures].[Soma de CH PRÁTICA]" caption="Soma de CH PRÁTICA" measure="1" displayFolder="" measureGroup="TB_Enfermagem2" count="0" hidden="1">
      <extLst>
        <ext xmlns:x15="http://schemas.microsoft.com/office/spreadsheetml/2010/11/main" uri="{B97F6D7D-B522-45F9-BDA1-12C45D357490}">
          <x15:cacheHierarchy aggregatedColumn="8"/>
        </ext>
      </extLst>
    </cacheHierarchy>
    <cacheHierarchy uniqueName="[Measures].[Soma de CH ESTÁGIO]" caption="Soma de CH ESTÁGIO" measure="1" displayFolder="" measureGroup="TB_Enfermagem2" count="0" hidden="1">
      <extLst>
        <ext xmlns:x15="http://schemas.microsoft.com/office/spreadsheetml/2010/11/main" uri="{B97F6D7D-B522-45F9-BDA1-12C45D357490}">
          <x15:cacheHierarchy aggregatedColumn="9"/>
        </ext>
      </extLst>
    </cacheHierarchy>
    <cacheHierarchy uniqueName="[Measures].[Soma de CH EXTENSÃO]" caption="Soma de CH EXTENSÃO" measure="1" displayFolder="" measureGroup="TB_Enfermagem2" count="0" hidden="1">
      <extLst>
        <ext xmlns:x15="http://schemas.microsoft.com/office/spreadsheetml/2010/11/main" uri="{B97F6D7D-B522-45F9-BDA1-12C45D357490}">
          <x15:cacheHierarchy aggregatedColumn="10"/>
        </ext>
      </extLst>
    </cacheHierarchy>
  </cacheHierarchies>
  <kpis count="0"/>
  <dimensions count="2">
    <dimension measure="1" name="Measures" uniqueName="[Measures]" caption="Measures"/>
    <dimension name="TB_Enfermagem2" uniqueName="[TB_Enfermagem2]" caption="TB_Enfermagem2"/>
  </dimensions>
  <measureGroups count="1">
    <measureGroup name="TB_Enfermagem2" caption="TB_Enfermagem2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OnLoad="1" refreshedBy="Sybele Marcia Starling" refreshedDate="46261.670914120368" backgroundQuery="1" createdVersion="8" refreshedVersion="8" minRefreshableVersion="3" recordCount="0" supportSubquery="1" supportAdvancedDrill="1" xr:uid="{2A01D57E-972E-44BD-9247-5F12BA739D0D}">
  <cacheSource type="external" connectionId="1"/>
  <cacheFields count="3">
    <cacheField name="[Measures].[Soma de CH TOTAL]" caption="Soma de CH TOTAL" numFmtId="0" hierarchy="32" level="32767"/>
    <cacheField name="[TB_Enfermagem2].[TIPIFICAÇÃO].[TIPIFICAÇÃO]" caption="TIPIFICAÇÃO" numFmtId="0" hierarchy="12" level="1">
      <sharedItems count="6">
        <s v="ACC"/>
        <s v="EST"/>
        <s v="EXT"/>
        <s v="HB"/>
        <s v="ON.A"/>
        <s v="PR"/>
      </sharedItems>
    </cacheField>
    <cacheField name="Unsupported0" numFmtId="0" hierarchy="38" level="32767">
      <extLst>
        <ext xmlns:x14="http://schemas.microsoft.com/office/spreadsheetml/2009/9/main" uri="{63CAB8AC-B538-458d-9737-405883B0398D}">
          <x14:cacheField ignore="1"/>
        </ext>
      </extLst>
    </cacheField>
  </cacheFields>
  <cacheHierarchies count="39">
    <cacheHierarchy uniqueName="[TB_Enfermagem2].[CURSO]" caption="CURSO" attribute="1" defaultMemberUniqueName="[TB_Enfermagem2].[CURSO].[All]" allUniqueName="[TB_Enfermagem2].[CURSO].[All]" dimensionUniqueName="[TB_Enfermagem2]" displayFolder="" count="0" memberValueDatatype="130" unbalanced="0"/>
    <cacheHierarchy uniqueName="[TB_Enfermagem2].[PERÍODOS]" caption="PERÍODOS" attribute="1" defaultMemberUniqueName="[TB_Enfermagem2].[PERÍODOS].[All]" allUniqueName="[TB_Enfermagem2].[PERÍODOS].[All]" dimensionUniqueName="[TB_Enfermagem2]" displayFolder="" count="0" memberValueDatatype="130" unbalanced="0"/>
    <cacheHierarchy uniqueName="[TB_Enfermagem2].[ORDEM]" caption="ORDEM" attribute="1" defaultMemberUniqueName="[TB_Enfermagem2].[ORDEM].[All]" allUniqueName="[TB_Enfermagem2].[ORDEM].[All]" dimensionUniqueName="[TB_Enfermagem2]" displayFolder="" count="0" memberValueDatatype="20" unbalanced="0"/>
    <cacheHierarchy uniqueName="[TB_Enfermagem2].[NOME DISCIPLINA]" caption="NOME DISCIPLINA" attribute="1" defaultMemberUniqueName="[TB_Enfermagem2].[NOME DISCIPLINA].[All]" allUniqueName="[TB_Enfermagem2].[NOME DISCIPLINA].[All]" dimensionUniqueName="[TB_Enfermagem2]" displayFolder="" count="0" memberValueDatatype="130" unbalanced="0"/>
    <cacheHierarchy uniqueName="[TB_Enfermagem2].[REDUZIDO]" caption="REDUZIDO" attribute="1" defaultMemberUniqueName="[TB_Enfermagem2].[REDUZIDO].[All]" allUniqueName="[TB_Enfermagem2].[REDUZIDO].[All]" dimensionUniqueName="[TB_Enfermagem2]" displayFolder="" count="0" memberValueDatatype="130" unbalanced="0"/>
    <cacheHierarchy uniqueName="[TB_Enfermagem2].[CH TOTAL]" caption="CH TOTAL" attribute="1" defaultMemberUniqueName="[TB_Enfermagem2].[CH TOTAL].[All]" allUniqueName="[TB_Enfermagem2].[CH TOTAL].[All]" dimensionUniqueName="[TB_Enfermagem2]" displayFolder="" count="0" memberValueDatatype="20" unbalanced="0"/>
    <cacheHierarchy uniqueName="[TB_Enfermagem2].[TIPO COMPONENTE]" caption="TIPO COMPONENTE" attribute="1" defaultMemberUniqueName="[TB_Enfermagem2].[TIPO COMPONENTE].[All]" allUniqueName="[TB_Enfermagem2].[TIPO COMPONENTE].[All]" dimensionUniqueName="[TB_Enfermagem2]" displayFolder="" count="0" memberValueDatatype="130" unbalanced="0"/>
    <cacheHierarchy uniqueName="[TB_Enfermagem2].[CH TEÓRICA]" caption="CH TEÓRICA" attribute="1" defaultMemberUniqueName="[TB_Enfermagem2].[CH TEÓRICA].[All]" allUniqueName="[TB_Enfermagem2].[CH TEÓRICA].[All]" dimensionUniqueName="[TB_Enfermagem2]" displayFolder="" count="0" memberValueDatatype="20" unbalanced="0"/>
    <cacheHierarchy uniqueName="[TB_Enfermagem2].[CH PRÁTICA]" caption="CH PRÁTICA" attribute="1" defaultMemberUniqueName="[TB_Enfermagem2].[CH PRÁTICA].[All]" allUniqueName="[TB_Enfermagem2].[CH PRÁTICA].[All]" dimensionUniqueName="[TB_Enfermagem2]" displayFolder="" count="0" memberValueDatatype="20" unbalanced="0"/>
    <cacheHierarchy uniqueName="[TB_Enfermagem2].[CH ESTÁGIO]" caption="CH ESTÁGIO" attribute="1" defaultMemberUniqueName="[TB_Enfermagem2].[CH ESTÁGIO].[All]" allUniqueName="[TB_Enfermagem2].[CH ESTÁGIO].[All]" dimensionUniqueName="[TB_Enfermagem2]" displayFolder="" count="0" memberValueDatatype="20" unbalanced="0"/>
    <cacheHierarchy uniqueName="[TB_Enfermagem2].[CH EXTENSÃO]" caption="CH EXTENSÃO" attribute="1" defaultMemberUniqueName="[TB_Enfermagem2].[CH EXTENSÃO].[All]" allUniqueName="[TB_Enfermagem2].[CH EXTENSÃO].[All]" dimensionUniqueName="[TB_Enfermagem2]" displayFolder="" count="0" memberValueDatatype="20" unbalanced="0"/>
    <cacheHierarchy uniqueName="[TB_Enfermagem2].[CH ONLINE]" caption="CH ONLINE" attribute="1" defaultMemberUniqueName="[TB_Enfermagem2].[CH ONLINE].[All]" allUniqueName="[TB_Enfermagem2].[CH ONLINE].[All]" dimensionUniqueName="[TB_Enfermagem2]" displayFolder="" count="0" memberValueDatatype="20" unbalanced="0"/>
    <cacheHierarchy uniqueName="[TB_Enfermagem2].[TIPIFICAÇÃO]" caption="TIPIFICAÇÃO" attribute="1" defaultMemberUniqueName="[TB_Enfermagem2].[TIPIFICAÇÃO].[All]" allUniqueName="[TB_Enfermagem2].[TIPIFICAÇÃO].[All]" dimensionUniqueName="[TB_Enfermagem2]" displayFolder="" count="2" memberValueDatatype="130" unbalanced="0">
      <fieldsUsage count="2">
        <fieldUsage x="-1"/>
        <fieldUsage x="1"/>
      </fieldsUsage>
    </cacheHierarchy>
    <cacheHierarchy uniqueName="[TB_Enfermagem2].[CRÉDITOS]" caption="CRÉDITOS" attribute="1" defaultMemberUniqueName="[TB_Enfermagem2].[CRÉDITOS].[All]" allUniqueName="[TB_Enfermagem2].[CRÉDITOS].[All]" dimensionUniqueName="[TB_Enfermagem2]" displayFolder="" count="0" memberValueDatatype="20" unbalanced="0"/>
    <cacheHierarchy uniqueName="[TB_Enfermagem2].[DIAS PRESENCIAL]" caption="DIAS PRESENCIAL" attribute="1" defaultMemberUniqueName="[TB_Enfermagem2].[DIAS PRESENCIAL].[All]" allUniqueName="[TB_Enfermagem2].[DIAS PRESENCIAL].[All]" dimensionUniqueName="[TB_Enfermagem2]" displayFolder="" count="0" memberValueDatatype="5" unbalanced="0"/>
    <cacheHierarchy uniqueName="[TB_Enfermagem2].[ALUNOS POR TURMA OU GRUPOS]" caption="ALUNOS POR TURMA OU GRUPOS" attribute="1" defaultMemberUniqueName="[TB_Enfermagem2].[ALUNOS POR TURMA OU GRUPOS].[All]" allUniqueName="[TB_Enfermagem2].[ALUNOS POR TURMA OU GRUPOS].[All]" dimensionUniqueName="[TB_Enfermagem2]" displayFolder="" count="0" memberValueDatatype="130" unbalanced="0"/>
    <cacheHierarchy uniqueName="[TB_Enfermagem2].[TIPO DE OFERTA]" caption="TIPO DE OFERTA" attribute="1" defaultMemberUniqueName="[TB_Enfermagem2].[TIPO DE OFERTA].[All]" allUniqueName="[TB_Enfermagem2].[TIPO DE OFERTA].[All]" dimensionUniqueName="[TB_Enfermagem2]" displayFolder="" count="0" memberValueDatatype="130" unbalanced="0"/>
    <cacheHierarchy uniqueName="[TB_Enfermagem2].[PRESENCIAL]" caption="PRESENCIAL" attribute="1" defaultMemberUniqueName="[TB_Enfermagem2].[PRESENCIAL].[All]" allUniqueName="[TB_Enfermagem2].[PRESENCIAL].[All]" dimensionUniqueName="[TB_Enfermagem2]" displayFolder="" count="0" memberValueDatatype="130" unbalanced="0"/>
    <cacheHierarchy uniqueName="[TB_Enfermagem2].[SÍNCRONO]" caption="SÍNCRONO" attribute="1" defaultMemberUniqueName="[TB_Enfermagem2].[SÍNCRONO].[All]" allUniqueName="[TB_Enfermagem2].[SÍNCRONO].[All]" dimensionUniqueName="[TB_Enfermagem2]" displayFolder="" count="0" memberValueDatatype="130" unbalanced="0"/>
    <cacheHierarchy uniqueName="[TB_Enfermagem2].[ASSÍNCRONO]" caption="ASSÍNCRONO" attribute="1" defaultMemberUniqueName="[TB_Enfermagem2].[ASSÍNCRONO].[All]" allUniqueName="[TB_Enfermagem2].[ASSÍNCRONO].[All]" dimensionUniqueName="[TB_Enfermagem2]" displayFolder="" count="0" memberValueDatatype="130" unbalanced="0"/>
    <cacheHierarchy uniqueName="[TB_Enfermagem2].[CRÉDITOS PAGO PROFESSOR]" caption="CRÉDITOS PAGO PROFESSOR" attribute="1" defaultMemberUniqueName="[TB_Enfermagem2].[CRÉDITOS PAGO PROFESSOR].[All]" allUniqueName="[TB_Enfermagem2].[CRÉDITOS PAGO PROFESSOR].[All]" dimensionUniqueName="[TB_Enfermagem2]" displayFolder="" count="0" memberValueDatatype="20" unbalanced="0"/>
    <cacheHierarchy uniqueName="[TB_Enfermagem2].[CRÉDITOS PAGOS ON.S]" caption="CRÉDITOS PAGOS ON.S" attribute="1" defaultMemberUniqueName="[TB_Enfermagem2].[CRÉDITOS PAGOS ON.S].[All]" allUniqueName="[TB_Enfermagem2].[CRÉDITOS PAGOS ON.S].[All]" dimensionUniqueName="[TB_Enfermagem2]" displayFolder="" count="0" memberValueDatatype="20" unbalanced="0"/>
    <cacheHierarchy uniqueName="[TB_Enfermagem2].[CRÉDITOS PAGO TUTOR]" caption="CRÉDITOS PAGO TUTOR" attribute="1" defaultMemberUniqueName="[TB_Enfermagem2].[CRÉDITOS PAGO TUTOR].[All]" allUniqueName="[TB_Enfermagem2].[CRÉDITOS PAGO TUTOR].[All]" dimensionUniqueName="[TB_Enfermagem2]" displayFolder="" count="0" memberValueDatatype="20" unbalanced="0"/>
    <cacheHierarchy uniqueName="[TB_Enfermagem2].[CRÉDITOS OFF]" caption="CRÉDITOS OFF" attribute="1" defaultMemberUniqueName="[TB_Enfermagem2].[CRÉDITOS OFF].[All]" allUniqueName="[TB_Enfermagem2].[CRÉDITOS OFF].[All]" dimensionUniqueName="[TB_Enfermagem2]" displayFolder="" count="0" memberValueDatatype="20" unbalanced="0"/>
    <cacheHierarchy uniqueName="[TB_Enfermagem2].[HABILITAÇÃO]" caption="HABILITAÇÃO" attribute="1" defaultMemberUniqueName="[TB_Enfermagem2].[HABILITAÇÃO].[All]" allUniqueName="[TB_Enfermagem2].[HABILITAÇÃO].[All]" dimensionUniqueName="[TB_Enfermagem2]" displayFolder="" count="0" memberValueDatatype="130" unbalanced="0"/>
    <cacheHierarchy uniqueName="[TB_Enfermagem2].[PRESENCIAL2]" caption="PRESENCIAL2" attribute="1" defaultMemberUniqueName="[TB_Enfermagem2].[PRESENCIAL2].[All]" allUniqueName="[TB_Enfermagem2].[PRESENCIAL2].[All]" dimensionUniqueName="[TB_Enfermagem2]" displayFolder="" count="0" memberValueDatatype="130" unbalanced="0"/>
    <cacheHierarchy uniqueName="[TB_Enfermagem2].[DIAS DE PRESENCIAL MOD.: PRESENCIAL]" caption="DIAS DE PRESENCIAL MOD.: PRESENCIAL" attribute="1" defaultMemberUniqueName="[TB_Enfermagem2].[DIAS DE PRESENCIAL MOD.: PRESENCIAL].[All]" allUniqueName="[TB_Enfermagem2].[DIAS DE PRESENCIAL MOD.: PRESENCIAL].[All]" dimensionUniqueName="[TB_Enfermagem2]" displayFolder="" count="0" memberValueDatatype="130" unbalanced="0"/>
    <cacheHierarchy uniqueName="[TB_Enfermagem2].[SEMI]" caption="SEMI" attribute="1" defaultMemberUniqueName="[TB_Enfermagem2].[SEMI].[All]" allUniqueName="[TB_Enfermagem2].[SEMI].[All]" dimensionUniqueName="[TB_Enfermagem2]" displayFolder="" count="0" memberValueDatatype="130" unbalanced="0"/>
    <cacheHierarchy uniqueName="[TB_Enfermagem2].[DIAS DE PRESENCIAL MOD.: SEMI]" caption="DIAS DE PRESENCIAL MOD.: SEMI" attribute="1" defaultMemberUniqueName="[TB_Enfermagem2].[DIAS DE PRESENCIAL MOD.: SEMI].[All]" allUniqueName="[TB_Enfermagem2].[DIAS DE PRESENCIAL MOD.: SEMI].[All]" dimensionUniqueName="[TB_Enfermagem2]" displayFolder="" count="0" memberValueDatatype="130" unbalanced="0"/>
    <cacheHierarchy uniqueName="[TB_Enfermagem2].[100%]" caption="100%" attribute="1" defaultMemberUniqueName="[TB_Enfermagem2].[100%].[All]" allUniqueName="[TB_Enfermagem2].[100%].[All]" dimensionUniqueName="[TB_Enfermagem2]" displayFolder="" count="0" memberValueDatatype="130" unbalanced="0"/>
    <cacheHierarchy uniqueName="[Measures].[__XL_Count TB_Enfermagem2]" caption="__XL_Count TB_Enfermagem2" measure="1" displayFolder="" measureGroup="TB_Enfermagem2" count="0" hidden="1"/>
    <cacheHierarchy uniqueName="[Measures].[__No measures defined]" caption="__No measures defined" measure="1" displayFolder="" count="0" hidden="1"/>
    <cacheHierarchy uniqueName="[Measures].[Soma de CH TOTAL]" caption="Soma de CH TOTAL" measure="1" displayFolder="" measureGroup="TB_Enfermagem2" count="0" oneField="1" hidden="1">
      <fieldsUsage count="1">
        <fieldUsage x="0"/>
      </fieldsUsage>
      <extLst>
        <ext xmlns:x15="http://schemas.microsoft.com/office/spreadsheetml/2010/11/main" uri="{B97F6D7D-B522-45F9-BDA1-12C45D357490}">
          <x15:cacheHierarchy aggregatedColumn="5"/>
        </ext>
      </extLst>
    </cacheHierarchy>
    <cacheHierarchy uniqueName="[Measures].[Soma de CH ONLINE]" caption="Soma de CH ONLINE" measure="1" displayFolder="" measureGroup="TB_Enfermagem2" count="0" hidden="1">
      <extLst>
        <ext xmlns:x15="http://schemas.microsoft.com/office/spreadsheetml/2010/11/main" uri="{B97F6D7D-B522-45F9-BDA1-12C45D357490}">
          <x15:cacheHierarchy aggregatedColumn="11"/>
        </ext>
      </extLst>
    </cacheHierarchy>
    <cacheHierarchy uniqueName="[Measures].[Soma de CH TEÓRICA]" caption="Soma de CH TEÓRICA" measure="1" displayFolder="" measureGroup="TB_Enfermagem2" count="0" hidden="1">
      <extLst>
        <ext xmlns:x15="http://schemas.microsoft.com/office/spreadsheetml/2010/11/main" uri="{B97F6D7D-B522-45F9-BDA1-12C45D357490}">
          <x15:cacheHierarchy aggregatedColumn="7"/>
        </ext>
      </extLst>
    </cacheHierarchy>
    <cacheHierarchy uniqueName="[Measures].[Soma de CH PRÁTICA]" caption="Soma de CH PRÁTICA" measure="1" displayFolder="" measureGroup="TB_Enfermagem2" count="0" hidden="1">
      <extLst>
        <ext xmlns:x15="http://schemas.microsoft.com/office/spreadsheetml/2010/11/main" uri="{B97F6D7D-B522-45F9-BDA1-12C45D357490}">
          <x15:cacheHierarchy aggregatedColumn="8"/>
        </ext>
      </extLst>
    </cacheHierarchy>
    <cacheHierarchy uniqueName="[Measures].[Soma de CH ESTÁGIO]" caption="Soma de CH ESTÁGIO" measure="1" displayFolder="" measureGroup="TB_Enfermagem2" count="0" hidden="1">
      <extLst>
        <ext xmlns:x15="http://schemas.microsoft.com/office/spreadsheetml/2010/11/main" uri="{B97F6D7D-B522-45F9-BDA1-12C45D357490}">
          <x15:cacheHierarchy aggregatedColumn="9"/>
        </ext>
      </extLst>
    </cacheHierarchy>
    <cacheHierarchy uniqueName="[Measures].[Soma de CH EXTENSÃO]" caption="Soma de CH EXTENSÃO" measure="1" displayFolder="" measureGroup="TB_Enfermagem2" count="0" hidden="1">
      <extLst>
        <ext xmlns:x15="http://schemas.microsoft.com/office/spreadsheetml/2010/11/main" uri="{B97F6D7D-B522-45F9-BDA1-12C45D357490}">
          <x15:cacheHierarchy aggregatedColumn="10"/>
        </ext>
      </extLst>
    </cacheHierarchy>
    <cacheHierarchy uniqueName="Unsupported0" caption="CURSO" measure="1" count="0">
      <extLst>
        <ext xmlns:x14="http://schemas.microsoft.com/office/spreadsheetml/2009/9/main" uri="{8CF416AD-EC4C-4aba-99F5-12A058AE0983}">
          <x14:cacheHierarchy ignore="1"/>
        </ext>
      </extLst>
    </cacheHierarchy>
  </cacheHierarchies>
  <kpis count="0"/>
  <dimensions count="2">
    <dimension measure="1" name="Measures" uniqueName="[Measures]" caption="Measures"/>
    <dimension name="TB_Enfermagem2" uniqueName="[TB_Enfermagem2]" caption="TB_Enfermagem2"/>
  </dimensions>
  <measureGroups count="1">
    <measureGroup name="TB_Enfermagem2" caption="TB_Enfermagem2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OnLoad="1" refreshedBy="Sybele Marcia Starling" refreshedDate="46261.670915393515" backgroundQuery="1" createdVersion="8" refreshedVersion="8" minRefreshableVersion="3" recordCount="0" supportSubquery="1" supportAdvancedDrill="1" xr:uid="{39993C28-971C-430A-A011-49E45F47174B}">
  <cacheSource type="external" connectionId="1"/>
  <cacheFields count="6">
    <cacheField name="[Measures].[Soma de CH TEÓRICA]" caption="Soma de CH TEÓRICA" numFmtId="0" hierarchy="34" level="32767"/>
    <cacheField name="[Measures].[Soma de CH PRÁTICA]" caption="Soma de CH PRÁTICA" numFmtId="0" hierarchy="35" level="32767"/>
    <cacheField name="[Measures].[Soma de CH ESTÁGIO]" caption="Soma de CH ESTÁGIO" numFmtId="0" hierarchy="36" level="32767"/>
    <cacheField name="[Measures].[Soma de CH EXTENSÃO]" caption="Soma de CH EXTENSÃO" numFmtId="0" hierarchy="37" level="32767"/>
    <cacheField name="[Measures].[Soma de CH ONLINE]" caption="Soma de CH ONLINE" numFmtId="0" hierarchy="33" level="32767"/>
    <cacheField name="[Measures].[Soma de CH TOTAL]" caption="Soma de CH TOTAL" numFmtId="0" hierarchy="32" level="32767"/>
  </cacheFields>
  <cacheHierarchies count="38">
    <cacheHierarchy uniqueName="[TB_Enfermagem2].[CURSO]" caption="CURSO" attribute="1" defaultMemberUniqueName="[TB_Enfermagem2].[CURSO].[All]" allUniqueName="[TB_Enfermagem2].[CURSO].[All]" dimensionUniqueName="[TB_Enfermagem2]" displayFolder="" count="0" memberValueDatatype="130" unbalanced="0"/>
    <cacheHierarchy uniqueName="[TB_Enfermagem2].[PERÍODOS]" caption="PERÍODOS" attribute="1" defaultMemberUniqueName="[TB_Enfermagem2].[PERÍODOS].[All]" allUniqueName="[TB_Enfermagem2].[PERÍODOS].[All]" dimensionUniqueName="[TB_Enfermagem2]" displayFolder="" count="0" memberValueDatatype="130" unbalanced="0"/>
    <cacheHierarchy uniqueName="[TB_Enfermagem2].[ORDEM]" caption="ORDEM" attribute="1" defaultMemberUniqueName="[TB_Enfermagem2].[ORDEM].[All]" allUniqueName="[TB_Enfermagem2].[ORDEM].[All]" dimensionUniqueName="[TB_Enfermagem2]" displayFolder="" count="0" memberValueDatatype="20" unbalanced="0"/>
    <cacheHierarchy uniqueName="[TB_Enfermagem2].[NOME DISCIPLINA]" caption="NOME DISCIPLINA" attribute="1" defaultMemberUniqueName="[TB_Enfermagem2].[NOME DISCIPLINA].[All]" allUniqueName="[TB_Enfermagem2].[NOME DISCIPLINA].[All]" dimensionUniqueName="[TB_Enfermagem2]" displayFolder="" count="0" memberValueDatatype="130" unbalanced="0"/>
    <cacheHierarchy uniqueName="[TB_Enfermagem2].[REDUZIDO]" caption="REDUZIDO" attribute="1" defaultMemberUniqueName="[TB_Enfermagem2].[REDUZIDO].[All]" allUniqueName="[TB_Enfermagem2].[REDUZIDO].[All]" dimensionUniqueName="[TB_Enfermagem2]" displayFolder="" count="0" memberValueDatatype="130" unbalanced="0"/>
    <cacheHierarchy uniqueName="[TB_Enfermagem2].[CH TOTAL]" caption="CH TOTAL" attribute="1" defaultMemberUniqueName="[TB_Enfermagem2].[CH TOTAL].[All]" allUniqueName="[TB_Enfermagem2].[CH TOTAL].[All]" dimensionUniqueName="[TB_Enfermagem2]" displayFolder="" count="0" memberValueDatatype="20" unbalanced="0"/>
    <cacheHierarchy uniqueName="[TB_Enfermagem2].[TIPO COMPONENTE]" caption="TIPO COMPONENTE" attribute="1" defaultMemberUniqueName="[TB_Enfermagem2].[TIPO COMPONENTE].[All]" allUniqueName="[TB_Enfermagem2].[TIPO COMPONENTE].[All]" dimensionUniqueName="[TB_Enfermagem2]" displayFolder="" count="0" memberValueDatatype="130" unbalanced="0"/>
    <cacheHierarchy uniqueName="[TB_Enfermagem2].[CH TEÓRICA]" caption="CH TEÓRICA" attribute="1" defaultMemberUniqueName="[TB_Enfermagem2].[CH TEÓRICA].[All]" allUniqueName="[TB_Enfermagem2].[CH TEÓRICA].[All]" dimensionUniqueName="[TB_Enfermagem2]" displayFolder="" count="0" memberValueDatatype="20" unbalanced="0"/>
    <cacheHierarchy uniqueName="[TB_Enfermagem2].[CH PRÁTICA]" caption="CH PRÁTICA" attribute="1" defaultMemberUniqueName="[TB_Enfermagem2].[CH PRÁTICA].[All]" allUniqueName="[TB_Enfermagem2].[CH PRÁTICA].[All]" dimensionUniqueName="[TB_Enfermagem2]" displayFolder="" count="0" memberValueDatatype="20" unbalanced="0"/>
    <cacheHierarchy uniqueName="[TB_Enfermagem2].[CH ESTÁGIO]" caption="CH ESTÁGIO" attribute="1" defaultMemberUniqueName="[TB_Enfermagem2].[CH ESTÁGIO].[All]" allUniqueName="[TB_Enfermagem2].[CH ESTÁGIO].[All]" dimensionUniqueName="[TB_Enfermagem2]" displayFolder="" count="0" memberValueDatatype="20" unbalanced="0"/>
    <cacheHierarchy uniqueName="[TB_Enfermagem2].[CH EXTENSÃO]" caption="CH EXTENSÃO" attribute="1" defaultMemberUniqueName="[TB_Enfermagem2].[CH EXTENSÃO].[All]" allUniqueName="[TB_Enfermagem2].[CH EXTENSÃO].[All]" dimensionUniqueName="[TB_Enfermagem2]" displayFolder="" count="0" memberValueDatatype="20" unbalanced="0"/>
    <cacheHierarchy uniqueName="[TB_Enfermagem2].[CH ONLINE]" caption="CH ONLINE" attribute="1" defaultMemberUniqueName="[TB_Enfermagem2].[CH ONLINE].[All]" allUniqueName="[TB_Enfermagem2].[CH ONLINE].[All]" dimensionUniqueName="[TB_Enfermagem2]" displayFolder="" count="0" memberValueDatatype="20" unbalanced="0"/>
    <cacheHierarchy uniqueName="[TB_Enfermagem2].[TIPIFICAÇÃO]" caption="TIPIFICAÇÃO" attribute="1" defaultMemberUniqueName="[TB_Enfermagem2].[TIPIFICAÇÃO].[All]" allUniqueName="[TB_Enfermagem2].[TIPIFICAÇÃO].[All]" dimensionUniqueName="[TB_Enfermagem2]" displayFolder="" count="0" memberValueDatatype="130" unbalanced="0"/>
    <cacheHierarchy uniqueName="[TB_Enfermagem2].[CRÉDITOS]" caption="CRÉDITOS" attribute="1" defaultMemberUniqueName="[TB_Enfermagem2].[CRÉDITOS].[All]" allUniqueName="[TB_Enfermagem2].[CRÉDITOS].[All]" dimensionUniqueName="[TB_Enfermagem2]" displayFolder="" count="0" memberValueDatatype="20" unbalanced="0"/>
    <cacheHierarchy uniqueName="[TB_Enfermagem2].[DIAS PRESENCIAL]" caption="DIAS PRESENCIAL" attribute="1" defaultMemberUniqueName="[TB_Enfermagem2].[DIAS PRESENCIAL].[All]" allUniqueName="[TB_Enfermagem2].[DIAS PRESENCIAL].[All]" dimensionUniqueName="[TB_Enfermagem2]" displayFolder="" count="0" memberValueDatatype="5" unbalanced="0"/>
    <cacheHierarchy uniqueName="[TB_Enfermagem2].[ALUNOS POR TURMA OU GRUPOS]" caption="ALUNOS POR TURMA OU GRUPOS" attribute="1" defaultMemberUniqueName="[TB_Enfermagem2].[ALUNOS POR TURMA OU GRUPOS].[All]" allUniqueName="[TB_Enfermagem2].[ALUNOS POR TURMA OU GRUPOS].[All]" dimensionUniqueName="[TB_Enfermagem2]" displayFolder="" count="0" memberValueDatatype="130" unbalanced="0"/>
    <cacheHierarchy uniqueName="[TB_Enfermagem2].[TIPO DE OFERTA]" caption="TIPO DE OFERTA" attribute="1" defaultMemberUniqueName="[TB_Enfermagem2].[TIPO DE OFERTA].[All]" allUniqueName="[TB_Enfermagem2].[TIPO DE OFERTA].[All]" dimensionUniqueName="[TB_Enfermagem2]" displayFolder="" count="0" memberValueDatatype="130" unbalanced="0"/>
    <cacheHierarchy uniqueName="[TB_Enfermagem2].[PRESENCIAL]" caption="PRESENCIAL" attribute="1" defaultMemberUniqueName="[TB_Enfermagem2].[PRESENCIAL].[All]" allUniqueName="[TB_Enfermagem2].[PRESENCIAL].[All]" dimensionUniqueName="[TB_Enfermagem2]" displayFolder="" count="0" memberValueDatatype="130" unbalanced="0"/>
    <cacheHierarchy uniqueName="[TB_Enfermagem2].[SÍNCRONO]" caption="SÍNCRONO" attribute="1" defaultMemberUniqueName="[TB_Enfermagem2].[SÍNCRONO].[All]" allUniqueName="[TB_Enfermagem2].[SÍNCRONO].[All]" dimensionUniqueName="[TB_Enfermagem2]" displayFolder="" count="0" memberValueDatatype="130" unbalanced="0"/>
    <cacheHierarchy uniqueName="[TB_Enfermagem2].[ASSÍNCRONO]" caption="ASSÍNCRONO" attribute="1" defaultMemberUniqueName="[TB_Enfermagem2].[ASSÍNCRONO].[All]" allUniqueName="[TB_Enfermagem2].[ASSÍNCRONO].[All]" dimensionUniqueName="[TB_Enfermagem2]" displayFolder="" count="0" memberValueDatatype="130" unbalanced="0"/>
    <cacheHierarchy uniqueName="[TB_Enfermagem2].[CRÉDITOS PAGO PROFESSOR]" caption="CRÉDITOS PAGO PROFESSOR" attribute="1" defaultMemberUniqueName="[TB_Enfermagem2].[CRÉDITOS PAGO PROFESSOR].[All]" allUniqueName="[TB_Enfermagem2].[CRÉDITOS PAGO PROFESSOR].[All]" dimensionUniqueName="[TB_Enfermagem2]" displayFolder="" count="0" memberValueDatatype="20" unbalanced="0"/>
    <cacheHierarchy uniqueName="[TB_Enfermagem2].[CRÉDITOS PAGOS ON.S]" caption="CRÉDITOS PAGOS ON.S" attribute="1" defaultMemberUniqueName="[TB_Enfermagem2].[CRÉDITOS PAGOS ON.S].[All]" allUniqueName="[TB_Enfermagem2].[CRÉDITOS PAGOS ON.S].[All]" dimensionUniqueName="[TB_Enfermagem2]" displayFolder="" count="0" memberValueDatatype="20" unbalanced="0"/>
    <cacheHierarchy uniqueName="[TB_Enfermagem2].[CRÉDITOS PAGO TUTOR]" caption="CRÉDITOS PAGO TUTOR" attribute="1" defaultMemberUniqueName="[TB_Enfermagem2].[CRÉDITOS PAGO TUTOR].[All]" allUniqueName="[TB_Enfermagem2].[CRÉDITOS PAGO TUTOR].[All]" dimensionUniqueName="[TB_Enfermagem2]" displayFolder="" count="0" memberValueDatatype="20" unbalanced="0"/>
    <cacheHierarchy uniqueName="[TB_Enfermagem2].[CRÉDITOS OFF]" caption="CRÉDITOS OFF" attribute="1" defaultMemberUniqueName="[TB_Enfermagem2].[CRÉDITOS OFF].[All]" allUniqueName="[TB_Enfermagem2].[CRÉDITOS OFF].[All]" dimensionUniqueName="[TB_Enfermagem2]" displayFolder="" count="0" memberValueDatatype="20" unbalanced="0"/>
    <cacheHierarchy uniqueName="[TB_Enfermagem2].[HABILITAÇÃO]" caption="HABILITAÇÃO" attribute="1" defaultMemberUniqueName="[TB_Enfermagem2].[HABILITAÇÃO].[All]" allUniqueName="[TB_Enfermagem2].[HABILITAÇÃO].[All]" dimensionUniqueName="[TB_Enfermagem2]" displayFolder="" count="0" memberValueDatatype="130" unbalanced="0"/>
    <cacheHierarchy uniqueName="[TB_Enfermagem2].[PRESENCIAL2]" caption="PRESENCIAL2" attribute="1" defaultMemberUniqueName="[TB_Enfermagem2].[PRESENCIAL2].[All]" allUniqueName="[TB_Enfermagem2].[PRESENCIAL2].[All]" dimensionUniqueName="[TB_Enfermagem2]" displayFolder="" count="0" memberValueDatatype="130" unbalanced="0"/>
    <cacheHierarchy uniqueName="[TB_Enfermagem2].[DIAS DE PRESENCIAL MOD.: PRESENCIAL]" caption="DIAS DE PRESENCIAL MOD.: PRESENCIAL" attribute="1" defaultMemberUniqueName="[TB_Enfermagem2].[DIAS DE PRESENCIAL MOD.: PRESENCIAL].[All]" allUniqueName="[TB_Enfermagem2].[DIAS DE PRESENCIAL MOD.: PRESENCIAL].[All]" dimensionUniqueName="[TB_Enfermagem2]" displayFolder="" count="0" memberValueDatatype="130" unbalanced="0"/>
    <cacheHierarchy uniqueName="[TB_Enfermagem2].[SEMI]" caption="SEMI" attribute="1" defaultMemberUniqueName="[TB_Enfermagem2].[SEMI].[All]" allUniqueName="[TB_Enfermagem2].[SEMI].[All]" dimensionUniqueName="[TB_Enfermagem2]" displayFolder="" count="0" memberValueDatatype="130" unbalanced="0"/>
    <cacheHierarchy uniqueName="[TB_Enfermagem2].[DIAS DE PRESENCIAL MOD.: SEMI]" caption="DIAS DE PRESENCIAL MOD.: SEMI" attribute="1" defaultMemberUniqueName="[TB_Enfermagem2].[DIAS DE PRESENCIAL MOD.: SEMI].[All]" allUniqueName="[TB_Enfermagem2].[DIAS DE PRESENCIAL MOD.: SEMI].[All]" dimensionUniqueName="[TB_Enfermagem2]" displayFolder="" count="0" memberValueDatatype="130" unbalanced="0"/>
    <cacheHierarchy uniqueName="[TB_Enfermagem2].[100%]" caption="100%" attribute="1" defaultMemberUniqueName="[TB_Enfermagem2].[100%].[All]" allUniqueName="[TB_Enfermagem2].[100%].[All]" dimensionUniqueName="[TB_Enfermagem2]" displayFolder="" count="0" memberValueDatatype="130" unbalanced="0"/>
    <cacheHierarchy uniqueName="[Measures].[__XL_Count TB_Enfermagem2]" caption="__XL_Count TB_Enfermagem2" measure="1" displayFolder="" measureGroup="TB_Enfermagem2" count="0" hidden="1"/>
    <cacheHierarchy uniqueName="[Measures].[__No measures defined]" caption="__No measures defined" measure="1" displayFolder="" count="0" hidden="1"/>
    <cacheHierarchy uniqueName="[Measures].[Soma de CH TOTAL]" caption="Soma de CH TOTAL" measure="1" displayFolder="" measureGroup="TB_Enfermagem2" count="0" oneField="1" hidden="1">
      <fieldsUsage count="1">
        <fieldUsage x="5"/>
      </fieldsUsage>
      <extLst>
        <ext xmlns:x15="http://schemas.microsoft.com/office/spreadsheetml/2010/11/main" uri="{B97F6D7D-B522-45F9-BDA1-12C45D357490}">
          <x15:cacheHierarchy aggregatedColumn="5"/>
        </ext>
      </extLst>
    </cacheHierarchy>
    <cacheHierarchy uniqueName="[Measures].[Soma de CH ONLINE]" caption="Soma de CH ONLINE" measure="1" displayFolder="" measureGroup="TB_Enfermagem2" count="0" oneField="1" hidden="1">
      <fieldsUsage count="1">
        <fieldUsage x="4"/>
      </fieldsUsage>
      <extLst>
        <ext xmlns:x15="http://schemas.microsoft.com/office/spreadsheetml/2010/11/main" uri="{B97F6D7D-B522-45F9-BDA1-12C45D357490}">
          <x15:cacheHierarchy aggregatedColumn="11"/>
        </ext>
      </extLst>
    </cacheHierarchy>
    <cacheHierarchy uniqueName="[Measures].[Soma de CH TEÓRICA]" caption="Soma de CH TEÓRICA" measure="1" displayFolder="" measureGroup="TB_Enfermagem2" count="0" oneField="1" hidden="1">
      <fieldsUsage count="1">
        <fieldUsage x="0"/>
      </fieldsUsage>
      <extLst>
        <ext xmlns:x15="http://schemas.microsoft.com/office/spreadsheetml/2010/11/main" uri="{B97F6D7D-B522-45F9-BDA1-12C45D357490}">
          <x15:cacheHierarchy aggregatedColumn="7"/>
        </ext>
      </extLst>
    </cacheHierarchy>
    <cacheHierarchy uniqueName="[Measures].[Soma de CH PRÁTICA]" caption="Soma de CH PRÁTICA" measure="1" displayFolder="" measureGroup="TB_Enfermagem2" count="0" oneField="1" hidden="1">
      <fieldsUsage count="1">
        <fieldUsage x="1"/>
      </fieldsUsage>
      <extLst>
        <ext xmlns:x15="http://schemas.microsoft.com/office/spreadsheetml/2010/11/main" uri="{B97F6D7D-B522-45F9-BDA1-12C45D357490}">
          <x15:cacheHierarchy aggregatedColumn="8"/>
        </ext>
      </extLst>
    </cacheHierarchy>
    <cacheHierarchy uniqueName="[Measures].[Soma de CH ESTÁGIO]" caption="Soma de CH ESTÁGIO" measure="1" displayFolder="" measureGroup="TB_Enfermagem2" count="0" oneField="1" hidden="1">
      <fieldsUsage count="1">
        <fieldUsage x="2"/>
      </fieldsUsage>
      <extLst>
        <ext xmlns:x15="http://schemas.microsoft.com/office/spreadsheetml/2010/11/main" uri="{B97F6D7D-B522-45F9-BDA1-12C45D357490}">
          <x15:cacheHierarchy aggregatedColumn="9"/>
        </ext>
      </extLst>
    </cacheHierarchy>
    <cacheHierarchy uniqueName="[Measures].[Soma de CH EXTENSÃO]" caption="Soma de CH EXTENSÃO" measure="1" displayFolder="" measureGroup="TB_Enfermagem2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10"/>
        </ext>
      </extLst>
    </cacheHierarchy>
  </cacheHierarchies>
  <kpis count="0"/>
  <dimensions count="2">
    <dimension measure="1" name="Measures" uniqueName="[Measures]" caption="Measures"/>
    <dimension name="TB_Enfermagem2" uniqueName="[TB_Enfermagem2]" caption="TB_Enfermagem2"/>
  </dimensions>
  <measureGroups count="1">
    <measureGroup name="TB_Enfermagem2" caption="TB_Enfermagem2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FE7F0F3-4A02-44FD-8F85-69816EB3D9BB}" name="Tabela dinâmica1" cacheId="13" applyNumberFormats="0" applyBorderFormats="0" applyFontFormats="0" applyPatternFormats="0" applyAlignmentFormats="0" applyWidthHeightFormats="1" dataCaption="Valores" updatedVersion="8" minRefreshableVersion="3" subtotalHiddenItems="1" itemPrintTitles="1" createdVersion="8" indent="0" compact="0" compactData="0" multipleFieldFilters="0">
  <location ref="B4:C6" firstHeaderRow="1" firstDataRow="1" firstDataCol="1"/>
  <pivotFields count="2">
    <pivotField axis="axisRow" compact="0" allDrilled="1" outline="0" subtotalTop="0" showAll="0" dataSourceSort="1" defaultSubtotal="0" defaultAttributeDrillState="1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1">
    <field x="0"/>
  </rowFields>
  <rowItems count="2">
    <i>
      <x/>
    </i>
    <i t="grand">
      <x/>
    </i>
  </rowItems>
  <colItems count="1">
    <i/>
  </colItems>
  <dataFields count="1">
    <dataField name="CH TOTAL" fld="1" baseField="0" baseItem="0"/>
  </dataFields>
  <formats count="10">
    <format dxfId="75">
      <pivotArea type="all" dataOnly="0" outline="0" fieldPosition="0"/>
    </format>
    <format dxfId="74">
      <pivotArea outline="0" collapsedLevelsAreSubtotals="1" fieldPosition="0"/>
    </format>
    <format dxfId="73">
      <pivotArea field="0" type="button" dataOnly="0" labelOnly="1" outline="0" axis="axisRow" fieldPosition="0"/>
    </format>
    <format dxfId="72">
      <pivotArea dataOnly="0" labelOnly="1" outline="0" fieldPosition="0">
        <references count="1">
          <reference field="0" count="0"/>
        </references>
      </pivotArea>
    </format>
    <format dxfId="71">
      <pivotArea dataOnly="0" labelOnly="1" grandRow="1" outline="0" fieldPosition="0"/>
    </format>
    <format dxfId="70">
      <pivotArea dataOnly="0" labelOnly="1" outline="0" axis="axisValues" fieldPosition="0"/>
    </format>
    <format dxfId="69">
      <pivotArea field="0" type="button" dataOnly="0" labelOnly="1" outline="0" axis="axisRow" fieldPosition="0"/>
    </format>
    <format dxfId="68">
      <pivotArea dataOnly="0" labelOnly="1" outline="0" axis="axisValues" fieldPosition="0"/>
    </format>
    <format dxfId="67">
      <pivotArea field="0" type="button" dataOnly="0" labelOnly="1" outline="0" axis="axisRow" fieldPosition="0"/>
    </format>
    <format dxfId="66">
      <pivotArea dataOnly="0" labelOnly="1" outline="0" axis="axisValues" fieldPosition="0"/>
    </format>
  </formats>
  <pivotHierarchies count="38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 caption="CH TOTAL"/>
    <pivotHierarchy dragToData="1"/>
    <pivotHierarchy dragToData="1"/>
    <pivotHierarchy dragToData="1"/>
    <pivotHierarchy dragToData="1"/>
    <pivotHierarchy dragToData="1"/>
  </pivotHierarchies>
  <pivotTableStyleInfo name="PivotStyleLight1" showRowHeaders="1" showColHeaders="1" showRowStripes="0" showColStripes="0" showLastColumn="1"/>
  <rowHierarchiesUsage count="1">
    <rowHierarchyUsage hierarchyUsage="0"/>
  </rowHierarchiesUsage>
  <extLst>
    <ext xmlns:x14="http://schemas.microsoft.com/office/spreadsheetml/2009/9/main" uri="{962EF5D1-5CA2-4c93-8EF4-DBF5C05439D2}">
      <x14:pivotTableDefinition xmlns:xm="http://schemas.microsoft.com/office/excel/2006/main" fillDownLabelsDefault="1" calculatedMembersInFilters="1" hideValuesRow="1"/>
    </ext>
    <ext xmlns:x15="http://schemas.microsoft.com/office/spreadsheetml/2010/11/main" uri="{E67621CE-5B39-4880-91FE-76760E9C1902}">
      <x15:pivotTableUISettings sourceDataName="WorksheetConnection_Modelo Frame 5 anos.xlsx!TB_Enfermagem2">
        <x15:activeTabTopLevelEntity name="[TB_Enfermagem2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40D1996-B288-4D9A-BF5F-9C6BBABCBFC7}" name="Tabela dinâmica6" cacheId="19" dataOnRows="1" applyNumberFormats="0" applyBorderFormats="0" applyFontFormats="0" applyPatternFormats="0" applyAlignmentFormats="0" applyWidthHeightFormats="1" dataCaption="Valores" updatedVersion="8" minRefreshableVersion="3" subtotalHiddenItems="1" rowGrandTotals="0" colGrandTotals="0" itemPrintTitles="1" createdVersion="8" indent="0" compact="0" compactData="0" multipleFieldFilters="0">
  <location ref="Z4:AA10" firstHeaderRow="1" firstDataRow="1" firstDataCol="1"/>
  <pivotFields count="6">
    <pivotField dataField="1"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1">
    <field x="-2"/>
  </rowFields>
  <rowItems count="6">
    <i>
      <x/>
    </i>
    <i i="1">
      <x v="1"/>
    </i>
    <i i="2">
      <x v="2"/>
    </i>
    <i i="3">
      <x v="3"/>
    </i>
    <i i="4">
      <x v="4"/>
    </i>
    <i i="5">
      <x v="5"/>
    </i>
  </rowItems>
  <colItems count="1">
    <i/>
  </colItems>
  <dataFields count="6">
    <dataField name="CH TEÓRICA" fld="0" baseField="0" baseItem="0"/>
    <dataField name="CH PRÁTICA" fld="1" baseField="0" baseItem="0"/>
    <dataField name="CH ESTÁGIO" fld="2" baseField="0" baseItem="0"/>
    <dataField name="CH EXTENSÃO" fld="3" baseField="0" baseItem="0"/>
    <dataField name="CH ONLINE" fld="4" baseField="0" baseItem="0"/>
    <dataField name="CH TOTAL" fld="5" baseField="0" baseItem="0"/>
  </dataFields>
  <formats count="16">
    <format dxfId="91">
      <pivotArea type="all" dataOnly="0" outline="0" fieldPosition="0"/>
    </format>
    <format dxfId="90">
      <pivotArea outline="0" collapsedLevelsAreSubtotals="1" fieldPosition="0"/>
    </format>
    <format dxfId="89">
      <pivotArea dataOnly="0" labelOnly="1" grandRow="1" outline="0" fieldPosition="0"/>
    </format>
    <format dxfId="88">
      <pivotArea dataOnly="0" labelOnly="1" outline="0" axis="axisValues" fieldPosition="0"/>
    </format>
    <format dxfId="87">
      <pivotArea dataOnly="0" labelOnly="1" outline="0" axis="axisValues" fieldPosition="0"/>
    </format>
    <format dxfId="86">
      <pivotArea dataOnly="0" labelOnly="1" outline="0" axis="axisValues" fieldPosition="0"/>
    </format>
    <format dxfId="85">
      <pivotArea dataOnly="0" labelOnly="1" outline="0" axis="axisValues" fieldPosition="0"/>
    </format>
    <format dxfId="84">
      <pivotArea dataOnly="0" labelOnly="1" outline="0" axis="axisValues" fieldPosition="0"/>
    </format>
    <format dxfId="83">
      <pivotArea field="-2" type="button" dataOnly="0" labelOnly="1" outline="0" axis="axisRow" fieldPosition="0"/>
    </format>
    <format dxfId="82">
      <pivotArea dataOnly="0" labelOnly="1" grandCol="1" outline="0" axis="axisCol" fieldPosition="0"/>
    </format>
    <format dxfId="81">
      <pivotArea field="-2" type="button" dataOnly="0" labelOnly="1" outline="0" axis="axisRow" fieldPosition="0"/>
    </format>
    <format dxfId="80">
      <pivotArea dataOnly="0" labelOnly="1" grandCol="1" outline="0" axis="axisCol" fieldPosition="0"/>
    </format>
    <format dxfId="79">
      <pivotArea outline="0" fieldPosition="0">
        <references count="1">
          <reference field="4294967294" count="1" selected="0">
            <x v="5"/>
          </reference>
        </references>
      </pivotArea>
    </format>
    <format dxfId="78">
      <pivotArea dataOnly="0" labelOnly="1" outline="0" fieldPosition="0">
        <references count="1">
          <reference field="4294967294" count="1">
            <x v="5"/>
          </reference>
        </references>
      </pivotArea>
    </format>
    <format dxfId="77">
      <pivotArea outline="0" fieldPosition="0">
        <references count="1">
          <reference field="4294967294" count="1" selected="0">
            <x v="5"/>
          </reference>
        </references>
      </pivotArea>
    </format>
    <format dxfId="76">
      <pivotArea dataOnly="0" labelOnly="1" outline="0" fieldPosition="0">
        <references count="1">
          <reference field="4294967294" count="1">
            <x v="5"/>
          </reference>
        </references>
      </pivotArea>
    </format>
  </formats>
  <pivotHierarchies count="38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 caption="CH TOTAL"/>
    <pivotHierarchy dragToData="1" caption="CH ONLINE"/>
    <pivotHierarchy dragToData="1" caption="CH TEÓRICA"/>
    <pivotHierarchy dragToData="1" caption="CH PRÁTICA"/>
    <pivotHierarchy dragToData="1" caption="CH ESTÁGIO"/>
    <pivotHierarchy dragToData="1" caption="CH EXTENSÃO"/>
  </pivotHierarchies>
  <pivotTableStyleInfo name="PivotStyleLight1" showRowHeaders="1" showColHeaders="1" showRowStripes="0" showColStripes="0" showLastColumn="1"/>
  <rowHierarchiesUsage count="1">
    <rowHierarchyUsage hierarchyUsage="-2"/>
  </rowHierarchiesUsage>
  <extLst>
    <ext xmlns:x14="http://schemas.microsoft.com/office/spreadsheetml/2009/9/main" uri="{962EF5D1-5CA2-4c93-8EF4-DBF5C05439D2}">
      <x14:pivotTableDefinition xmlns:xm="http://schemas.microsoft.com/office/excel/2006/main" fillDownLabelsDefault="1" calculatedMembersInFilters="1" hideValuesRow="1"/>
    </ext>
    <ext xmlns:x15="http://schemas.microsoft.com/office/spreadsheetml/2010/11/main" uri="{E67621CE-5B39-4880-91FE-76760E9C1902}">
      <x15:pivotTableUISettings sourceDataName="WorksheetConnection_Modelo Frame 5 anos.xlsx!TB_Enfermagem2">
        <x15:activeTabTopLevelEntity name="[TB_Enfermagem2]"/>
        <x15:activeTabTopLevelEntity name="TB_Enfernagem1" type="1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E6EE708-AB5E-4DB7-AAEF-332980D421BA}" name="Tabela dinâmica5" cacheId="7" applyNumberFormats="0" applyBorderFormats="0" applyFontFormats="0" applyPatternFormats="0" applyAlignmentFormats="0" applyWidthHeightFormats="1" dataCaption="Valores" updatedVersion="8" minRefreshableVersion="3" subtotalHiddenItems="1" itemPrintTitles="1" createdVersion="8" indent="0" compact="0" compactData="0" multipleFieldFilters="0">
  <location ref="S4:U11" firstHeaderRow="0" firstDataRow="1" firstDataCol="1"/>
  <pivotFields count="3">
    <pivotField dataField="1"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allDrilled="1" outline="0" subtotalTop="0" showAll="0" dataSourceSort="1" defaultSubtotal="0" defaultAttributeDrillState="1">
      <items count="6">
        <item x="0"/>
        <item x="1"/>
        <item x="2"/>
        <item x="3"/>
        <item x="4"/>
        <item x="5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ubtotalTop="0" dragToRow="0" dragToCol="0" dragToPage="0" dragToData="0" dragOff="0" showAll="0" topAutoShow="0" includeNewItemsInFilter="1" itemPageCount="0" rankBy="0" defaultSubtotal="0">
      <extLst>
        <ext xmlns:x14="http://schemas.microsoft.com/office/spreadsheetml/2009/9/main" uri="{2946ED86-A175-432a-8AC1-64E0C546D7DE}">
          <x14:pivotField ignore="1"/>
        </ext>
      </extLst>
    </pivotField>
  </pivotFields>
  <rowFields count="1">
    <field x="1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Fields count="1">
    <field x="-2"/>
  </colFields>
  <colItems count="2">
    <i>
      <x/>
    </i>
    <i i="1">
      <x v="1"/>
    </i>
  </colItems>
  <dataFields count="2">
    <dataField name="CH TOTAL" fld="0" baseField="0" baseItem="0"/>
    <dataField name="%" fld="2" baseField="1" baseItem="0">
      <extLst>
        <ext xmlns:x14="http://schemas.microsoft.com/office/spreadsheetml/2009/9/main" uri="{E15A36E0-9728-4e99-A89B-3F7291B0FE68}">
          <x14:dataField sourceField="0" uniqueName="[__Xl2].[Measures].[Soma de CH TOTAL]"/>
        </ext>
      </extLst>
    </dataField>
  </dataFields>
  <formats count="14">
    <format dxfId="105">
      <pivotArea type="all" dataOnly="0" outline="0" fieldPosition="0"/>
    </format>
    <format dxfId="104">
      <pivotArea outline="0" collapsedLevelsAreSubtotals="1" fieldPosition="0"/>
    </format>
    <format dxfId="103">
      <pivotArea dataOnly="0" labelOnly="1" grandRow="1" outline="0" fieldPosition="0"/>
    </format>
    <format dxfId="102">
      <pivotArea dataOnly="0" labelOnly="1" outline="0" axis="axisValues" fieldPosition="0"/>
    </format>
    <format dxfId="101">
      <pivotArea dataOnly="0" labelOnly="1" outline="0" axis="axisValues" fieldPosition="0"/>
    </format>
    <format dxfId="100">
      <pivotArea dataOnly="0" labelOnly="1" outline="0" axis="axisValues" fieldPosition="0"/>
    </format>
    <format dxfId="99">
      <pivotArea field="1" type="button" dataOnly="0" labelOnly="1" outline="0" axis="axisRow" fieldPosition="0"/>
    </format>
    <format dxfId="98">
      <pivotArea dataOnly="0" labelOnly="1" outline="0" axis="axisValues" fieldPosition="0"/>
    </format>
    <format dxfId="97">
      <pivotArea field="1" type="button" dataOnly="0" labelOnly="1" outline="0" axis="axisRow" fieldPosition="0"/>
    </format>
    <format dxfId="96">
      <pivotArea dataOnly="0" labelOnly="1" outline="0" axis="axisValues" fieldPosition="0"/>
    </format>
    <format dxfId="95">
      <pivotArea field="1" type="button" dataOnly="0" labelOnly="1" outline="0" axis="axisRow" fieldPosition="0"/>
    </format>
    <format dxfId="94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93">
      <pivotArea field="1" type="button" dataOnly="0" labelOnly="1" outline="0" axis="axisRow" fieldPosition="0"/>
    </format>
    <format dxfId="92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pivotHierarchies count="39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 caption="%"/>
    <pivotHierarchy dragToData="1"/>
    <pivotHierarchy dragToData="1"/>
    <pivotHierarchy dragToData="1"/>
    <pivotHierarchy dragToData="1"/>
    <pivotHierarchy dragToData="1"/>
    <pivotHierarchy dragToRow="0" dragToCol="0" dragToPage="0" dragToData="1" dragOff="0" includeNewItemsInFilter="1">
      <extLst>
        <ext xmlns:x14="http://schemas.microsoft.com/office/spreadsheetml/2009/9/main" uri="{F1805F06-0CD3-4483-9156-8803C3D141DF}">
          <x14:pivotHierarchy ignore="1"/>
        </ext>
      </extLst>
    </pivotHierarchy>
  </pivotHierarchies>
  <pivotTableStyleInfo name="PivotStyleLight1" showRowHeaders="1" showColHeaders="1" showRowStripes="0" showColStripes="0" showLastColumn="1"/>
  <rowHierarchiesUsage count="1">
    <rowHierarchyUsage hierarchyUsage="6"/>
  </rowHierarchiesUsage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fillDownLabelsDefault="1" calculatedMembersInFilters="1" hideValuesRow="1"/>
    </ext>
    <ext xmlns:x15="http://schemas.microsoft.com/office/spreadsheetml/2010/11/main" uri="{E67621CE-5B39-4880-91FE-76760E9C1902}">
      <x15:pivotTableUISettings sourceDataName="WorksheetConnection_Modelo Frame 5 anos.xlsx!TB_Enfermagem2">
        <x15:activeTabTopLevelEntity name="[TB_Enfermagem2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81C78E9-4504-401A-8B55-3D0607C150FC}" name="Tabela dinâmica3" cacheId="10" applyNumberFormats="0" applyBorderFormats="0" applyFontFormats="0" applyPatternFormats="0" applyAlignmentFormats="0" applyWidthHeightFormats="1" dataCaption="Valores" updatedVersion="8" minRefreshableVersion="3" subtotalHiddenItems="1" itemPrintTitles="1" createdVersion="8" indent="0" compact="0" compactData="0" multipleFieldFilters="0">
  <location ref="G4:I12" firstHeaderRow="0" firstDataRow="1" firstDataCol="1"/>
  <pivotFields count="3">
    <pivotField dataField="1"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allDrilled="1" outline="0" subtotalTop="0" showAll="0" dataSourceSort="1" defaultSubtotal="0" defaultAttributeDrillState="1">
      <items count="7">
        <item x="0"/>
        <item x="1"/>
        <item x="2"/>
        <item x="3"/>
        <item x="4"/>
        <item x="5"/>
        <item x="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ubtotalTop="0" dragToRow="0" dragToCol="0" dragToPage="0" dragToData="0" dragOff="0" showAll="0" topAutoShow="0" includeNewItemsInFilter="1" itemPageCount="0" rankBy="0" defaultSubtotal="0">
      <extLst>
        <ext xmlns:x14="http://schemas.microsoft.com/office/spreadsheetml/2009/9/main" uri="{2946ED86-A175-432a-8AC1-64E0C546D7DE}">
          <x14:pivotField ignore="1"/>
        </ext>
      </extLst>
    </pivotField>
  </pivotFields>
  <rowFields count="1">
    <field x="1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-2"/>
  </colFields>
  <colItems count="2">
    <i>
      <x/>
    </i>
    <i i="1">
      <x v="1"/>
    </i>
  </colItems>
  <dataFields count="2">
    <dataField name="CH TOTAL" fld="0" baseField="0" baseItem="0"/>
    <dataField name="%" fld="2" showDataAs="percentOfTotal" baseField="1" baseItem="0" numFmtId="10">
      <extLst>
        <ext xmlns:x14="http://schemas.microsoft.com/office/spreadsheetml/2009/9/main" uri="{E15A36E0-9728-4e99-A89B-3F7291B0FE68}">
          <x14:dataField sourceField="0" uniqueName="[__Xl2].[Measures].[Soma de CH TOTAL]"/>
        </ext>
      </extLst>
    </dataField>
  </dataFields>
  <formats count="13">
    <format dxfId="118">
      <pivotArea type="all" dataOnly="0" outline="0" fieldPosition="0"/>
    </format>
    <format dxfId="117">
      <pivotArea outline="0" collapsedLevelsAreSubtotals="1" fieldPosition="0"/>
    </format>
    <format dxfId="116">
      <pivotArea dataOnly="0" labelOnly="1" grandRow="1" outline="0" fieldPosition="0"/>
    </format>
    <format dxfId="115">
      <pivotArea dataOnly="0" labelOnly="1" outline="0" axis="axisValues" fieldPosition="0"/>
    </format>
    <format dxfId="114">
      <pivotArea dataOnly="0" labelOnly="1" outline="0" axis="axisValues" fieldPosition="0"/>
    </format>
    <format dxfId="113">
      <pivotArea dataOnly="0" labelOnly="1" outline="0" axis="axisValues" fieldPosition="0"/>
    </format>
    <format dxfId="112">
      <pivotArea field="1" type="button" dataOnly="0" labelOnly="1" outline="0" axis="axisRow" fieldPosition="0"/>
    </format>
    <format dxfId="111">
      <pivotArea dataOnly="0" labelOnly="1" outline="0" axis="axisValues" fieldPosition="0"/>
    </format>
    <format dxfId="110">
      <pivotArea field="1" type="button" dataOnly="0" labelOnly="1" outline="0" axis="axisRow" fieldPosition="0"/>
    </format>
    <format dxfId="109">
      <pivotArea dataOnly="0" labelOnly="1" outline="0" axis="axisValues" fieldPosition="0"/>
    </format>
    <format dxfId="108">
      <pivotArea outline="0" fieldPosition="0">
        <references count="1">
          <reference field="4294967294" count="1">
            <x v="1"/>
          </reference>
        </references>
      </pivotArea>
    </format>
    <format dxfId="107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106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pivotHierarchies count="39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 caption="CH TOTAL"/>
    <pivotHierarchy dragToData="1"/>
    <pivotHierarchy dragToData="1"/>
    <pivotHierarchy dragToData="1"/>
    <pivotHierarchy dragToData="1"/>
    <pivotHierarchy dragToData="1"/>
    <pivotHierarchy dragToRow="0" dragToCol="0" dragToPage="0" dragToData="1" dragOff="0" includeNewItemsInFilter="1">
      <extLst>
        <ext xmlns:x14="http://schemas.microsoft.com/office/spreadsheetml/2009/9/main" uri="{F1805F06-0CD3-4483-9156-8803C3D141DF}">
          <x14:pivotHierarchy ignore="1"/>
        </ext>
      </extLst>
    </pivotHierarchy>
  </pivotHierarchies>
  <pivotTableStyleInfo name="PivotStyleLight1" showRowHeaders="1" showColHeaders="1" showRowStripes="0" showColStripes="0" showLastColumn="1"/>
  <rowHierarchiesUsage count="1">
    <rowHierarchyUsage hierarchyUsage="1"/>
  </rowHierarchiesUsage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fillDownLabelsDefault="1" calculatedMembersInFilters="1" hideValuesRow="1"/>
    </ext>
    <ext xmlns:x15="http://schemas.microsoft.com/office/spreadsheetml/2010/11/main" uri="{E67621CE-5B39-4880-91FE-76760E9C1902}">
      <x15:pivotTableUISettings sourceDataName="WorksheetConnection_Modelo Frame 5 anos.xlsx!TB_Enfermagem2">
        <x15:activeTabTopLevelEntity name="[TB_Enfermagem2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1DFF65-B1E4-491B-A699-A023A1BCA7C9}" name="Tabela dinâmica2" cacheId="16" applyNumberFormats="0" applyBorderFormats="0" applyFontFormats="0" applyPatternFormats="0" applyAlignmentFormats="0" applyWidthHeightFormats="1" dataCaption="Valores" updatedVersion="8" minRefreshableVersion="3" subtotalHiddenItems="1" itemPrintTitles="1" createdVersion="8" indent="0" compact="0" compactData="0" multipleFieldFilters="0">
  <location ref="M4:O11" firstHeaderRow="0" firstDataRow="1" firstDataCol="1"/>
  <pivotFields count="3">
    <pivotField dataField="1"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allDrilled="1" outline="0" subtotalTop="0" showAll="0" dataSourceSort="1" defaultSubtotal="0" defaultAttributeDrillState="1">
      <items count="6">
        <item x="0"/>
        <item x="1"/>
        <item x="2"/>
        <item x="3"/>
        <item x="4"/>
        <item x="5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ubtotalTop="0" dragToRow="0" dragToCol="0" dragToPage="0" dragToData="0" dragOff="0" showAll="0" topAutoShow="0" includeNewItemsInFilter="1" itemPageCount="0" rankBy="0" defaultSubtotal="0">
      <extLst>
        <ext xmlns:x14="http://schemas.microsoft.com/office/spreadsheetml/2009/9/main" uri="{2946ED86-A175-432a-8AC1-64E0C546D7DE}">
          <x14:pivotField ignore="1"/>
        </ext>
      </extLst>
    </pivotField>
  </pivotFields>
  <rowFields count="1">
    <field x="1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Fields count="1">
    <field x="-2"/>
  </colFields>
  <colItems count="2">
    <i>
      <x/>
    </i>
    <i i="1">
      <x v="1"/>
    </i>
  </colItems>
  <dataFields count="2">
    <dataField name="CH TOTAL" fld="0" baseField="0" baseItem="0"/>
    <dataField name="%" fld="2" showDataAs="percentOfTotal" baseField="1" baseItem="6" numFmtId="10">
      <extLst>
        <ext xmlns:x14="http://schemas.microsoft.com/office/spreadsheetml/2009/9/main" uri="{E15A36E0-9728-4e99-A89B-3F7291B0FE68}">
          <x14:dataField sourceField="0" uniqueName="[__Xl2].[Measures].[Soma de CH TOTAL]"/>
        </ext>
      </extLst>
    </dataField>
  </dataFields>
  <formats count="13">
    <format dxfId="131">
      <pivotArea type="all" dataOnly="0" outline="0" fieldPosition="0"/>
    </format>
    <format dxfId="130">
      <pivotArea outline="0" collapsedLevelsAreSubtotals="1" fieldPosition="0"/>
    </format>
    <format dxfId="129">
      <pivotArea dataOnly="0" labelOnly="1" grandRow="1" outline="0" fieldPosition="0"/>
    </format>
    <format dxfId="128">
      <pivotArea dataOnly="0" labelOnly="1" outline="0" axis="axisValues" fieldPosition="0"/>
    </format>
    <format dxfId="127">
      <pivotArea dataOnly="0" labelOnly="1" outline="0" axis="axisValues" fieldPosition="0"/>
    </format>
    <format dxfId="126">
      <pivotArea dataOnly="0" labelOnly="1" outline="0" axis="axisValues" fieldPosition="0"/>
    </format>
    <format dxfId="125">
      <pivotArea field="1" type="button" dataOnly="0" labelOnly="1" outline="0" axis="axisRow" fieldPosition="0"/>
    </format>
    <format dxfId="124">
      <pivotArea field="1" type="button" dataOnly="0" labelOnly="1" outline="0" axis="axisRow" fieldPosition="0"/>
    </format>
    <format dxfId="123">
      <pivotArea outline="0" fieldPosition="0">
        <references count="1">
          <reference field="4294967294" count="1">
            <x v="1"/>
          </reference>
        </references>
      </pivotArea>
    </format>
    <format dxfId="122">
      <pivotArea field="1" type="button" dataOnly="0" labelOnly="1" outline="0" axis="axisRow" fieldPosition="0"/>
    </format>
    <format dxfId="121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120">
      <pivotArea field="1" type="button" dataOnly="0" labelOnly="1" outline="0" axis="axisRow" fieldPosition="0"/>
    </format>
    <format dxfId="119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pivotHierarchies count="39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 caption="CH TOTAL"/>
    <pivotHierarchy dragToData="1"/>
    <pivotHierarchy dragToData="1"/>
    <pivotHierarchy dragToData="1"/>
    <pivotHierarchy dragToData="1"/>
    <pivotHierarchy dragToData="1"/>
    <pivotHierarchy dragToRow="0" dragToCol="0" dragToPage="0" dragToData="1" dragOff="0" includeNewItemsInFilter="1">
      <extLst>
        <ext xmlns:x14="http://schemas.microsoft.com/office/spreadsheetml/2009/9/main" uri="{F1805F06-0CD3-4483-9156-8803C3D141DF}">
          <x14:pivotHierarchy ignore="1"/>
        </ext>
      </extLst>
    </pivotHierarchy>
  </pivotHierarchies>
  <pivotTableStyleInfo name="PivotStyleLight1" showRowHeaders="1" showColHeaders="1" showRowStripes="0" showColStripes="0" showLastColumn="1"/>
  <rowHierarchiesUsage count="1">
    <rowHierarchyUsage hierarchyUsage="12"/>
  </rowHierarchiesUsage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fillDownLabelsDefault="1" calculatedMembersInFilters="1" hideValuesRow="1"/>
    </ext>
    <ext xmlns:x15="http://schemas.microsoft.com/office/spreadsheetml/2010/11/main" uri="{E67621CE-5B39-4880-91FE-76760E9C1902}">
      <x15:pivotTableUISettings sourceDataName="WorksheetConnection_Modelo Frame 5 anos.xlsx!TB_Enfermagem2">
        <x15:activeTabTopLevelEntity name="[TB_Enfermagem2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2D93CF8-A92A-43FB-B5E5-D2C51F5D8FB5}" name="TB_Radiologia1" displayName="TB_Radiologia1" ref="B8:AB53" totalsRowShown="0" headerRowDxfId="162" headerRowBorderDxfId="161" tableBorderDxfId="160" totalsRowBorderDxfId="159">
  <autoFilter ref="B8:AB53" xr:uid="{37744430-4BF4-42BB-8534-264134029CCC}"/>
  <tableColumns count="27">
    <tableColumn id="14" xr3:uid="{FD418400-381F-4EA4-A4CF-44B0F3231FAC}" name="CURSO" dataDxfId="158">
      <calculatedColumnFormula>$J$2</calculatedColumnFormula>
    </tableColumn>
    <tableColumn id="1" xr3:uid="{4948B1AC-A738-4EF9-A941-E3FDFD978C56}" name="PERÍODOS" dataDxfId="157"/>
    <tableColumn id="3" xr3:uid="{7A38AE33-8F0A-496B-9FD0-9D9535CC1959}" name="ORDEM" dataDxfId="156"/>
    <tableColumn id="4" xr3:uid="{DC1BEAB0-35B4-4A2C-832D-AD6880139B00}" name="NOME DISCIPLINA" dataDxfId="155"/>
    <tableColumn id="28" xr3:uid="{F80E0A8E-FE5A-4960-BA41-20660172C66F}" name="REDUZIDO" dataDxfId="154"/>
    <tableColumn id="5" xr3:uid="{CE42359A-BB6B-4778-9F44-4FE4E0C330DE}" name="CH TOTAL" dataDxfId="153"/>
    <tableColumn id="6" xr3:uid="{C1FD54B8-C468-47BE-8238-C11C4944AD88}" name="TIPO COMPONENTE" dataDxfId="152"/>
    <tableColumn id="7" xr3:uid="{6740C073-48A6-42FE-B5DC-F493F5271C3E}" name="CH TEÓRICA" dataDxfId="151"/>
    <tableColumn id="8" xr3:uid="{F81EECB8-0CBF-4512-A257-D4C2A13F0CC6}" name="CH PRÁTICA" dataDxfId="150"/>
    <tableColumn id="12" xr3:uid="{CEA31A4F-18E4-40C9-82F8-9A17527ADD06}" name="CH ESTÁGIO" dataDxfId="149"/>
    <tableColumn id="13" xr3:uid="{50F62324-24DD-45CA-8404-AFC02CC64973}" name="CH EXTENSÃO" dataDxfId="148"/>
    <tableColumn id="9" xr3:uid="{CDDF8D4A-D2A8-4E4B-A3D3-D6FED68A43EA}" name="CH ONLINE" dataDxfId="147"/>
    <tableColumn id="10" xr3:uid="{17C4C7EE-94BE-4A4D-96BE-A63F0711B535}" name="TIPIFICAÇÃO" dataDxfId="146"/>
    <tableColumn id="11" xr3:uid="{C85AF8C5-E727-4796-9022-FA6F95C98B7A}" name="CRÉDITOS" dataDxfId="145">
      <calculatedColumnFormula>TB_Radiologia1[[#This Row],[CH TOTAL]]/Cursos!$E$3</calculatedColumnFormula>
    </tableColumn>
    <tableColumn id="18" xr3:uid="{35841E54-DCDF-49C6-AD25-7C895CE53733}" name="DIAS PRESENCIAL" dataDxfId="144">
      <calculatedColumnFormula array="1">IF(AND(TB_Radiologia1[[#This Row],[TIPIFICAÇÃO]]="TCC",TB_Radiologia1[[#This Row],[TIPO DE OFERTA]]="PRESENCIAL"),SUM(TB_Radiologia1[[#This Row],[CH TEÓRICA]:[CH PRÁTICA]]/66),IF(TB_Radiologia1[[#This Row],[TIPIFICAÇÃO]]="EST",1,IF(AND(IF(OR(TB_Radiologia1[[#This Row],[TIPIFICAÇÃO]]="HB",TB_Radiologia1[[#This Row],[TIPIFICAÇÃO]]="PR"),SUM(TB_Radiologia1[[#This Row],[CH TEÓRICA]:[CH PRÁTICA]])/66,IF(TB_Radiologia1[[#This Row],[TIPIFICAÇÃO]]="EXT",0.5,0))&gt;0.6,IF(OR(TB_Radiologia1[[#This Row],[TIPIFICAÇÃO]]="HB",TB_Radiologia1[[#This Row],[TIPIFICAÇÃO]]="PR"),SUM(TB_Radiologia1[[#This Row],[CH TEÓRICA]:[CH PRÁTICA]])/66,IF(TB_Radiologia1[[#This Row],[TIPIFICAÇÃO]]="EXT",0.5,0))&lt;0.8),1,IF(OR(TB_Radiologia1[[#This Row],[TIPIFICAÇÃO]]="HB",TB_Radiologia1[[#This Row],[TIPIFICAÇÃO]]="PR"),SUM(TB_Radiologia1[[#This Row],[CH TEÓRICA]:[CH PRÁTICA]])/66,IF(TB_Radiologia1[[#This Row],[TIPIFICAÇÃO]]="EXT",0.5,0)))))</calculatedColumnFormula>
    </tableColumn>
    <tableColumn id="2" xr3:uid="{68822B56-E5DD-4211-81AC-5CAB3FA525ED}" name="ALUNOS POR TURMA OU GRUPOS" dataDxfId="143"/>
    <tableColumn id="19" xr3:uid="{24E78ABE-9D19-4725-BAAC-326E685FF365}" name="TIPO DE OFERTA" dataDxfId="142"/>
    <tableColumn id="16" xr3:uid="{FCF0B758-29ED-4713-9FA1-A4E6384BF6A2}" name="CRÉDITOS PAGO PROFESSOR" dataDxfId="141">
      <calculatedColumnFormula array="1">ROUNDUP(IFERROR(_xlfn.IFS(TB_Radiologia1[[#This Row],[TIPIFICAÇÃO]]="ON.A",0,AND(TB_Radiologia1[[#This Row],[TIPIFICAÇÃO]]="EST",TB_Radiologia1[[#This Row],[TIPO DE OFERTA]]="PRESENCIAL"),0,AND(TB_Radiologia1[[#This Row],[TIPIFICAÇÃO]]="PR",OR(TB_Radiologia1[[#This Row],[TIPO DE OFERTA]]="PRESENCIAL",TB_Radiologia1[[#This Row],[TIPO DE OFERTA]]="SEMI-PRESENCIAL")),TB_Radiologia1[[#This Row],[CH TEÓRICA]]+TB_Radiologia1[[#This Row],[CH PRÁTICA]],AND(TB_Radiologia1[[#This Row],[TIPIFICAÇÃO]]="HB",TB_Radiologia1[[#This Row],[TIPO DE OFERTA]]="PRESENCIAL"),TB_Radiologia1[[#This Row],[CH TEÓRICA]]+TB_Radiologia1[[#This Row],[CH PRÁTICA]],AND(TB_Radiologia1[[#This Row],[TIPIFICAÇÃO]]="EXT",OR(TB_Radiologia1[[#This Row],[TIPO DE OFERTA]]="PRESENCIAL",TB_Radiologia1[[#This Row],[TIPO DE OFERTA]]="SEMI-PRESENCIAL")),33,AND(TB_Radiologia1[[#This Row],[TIPIFICAÇÃO]]="TCC",TB_Radiologia1[[#This Row],[TIPO DE OFERTA]]="PRESENCIAL"),SUM(TB_Radiologia1[[#This Row],[CH TEÓRICA]],TB_Radiologia1[[#This Row],[CH PRÁTICA]]))/Cursos!$E$3,0),0)</calculatedColumnFormula>
    </tableColumn>
    <tableColumn id="26" xr3:uid="{9B5F4EFD-02E1-4F9C-8BCD-B0B2B90EFB7A}" name="CRÉDITOS PAGOS ON.S" dataDxfId="140">
      <calculatedColumnFormula>IF(TB_Radiologia1[[#This Row],[TIPIFICAÇÃO]]="ON.S",ROUNDUP(TB_Radiologia1[[#This Row],[CH TEÓRICA]]/Cursos!$E$3,0),0)</calculatedColumnFormula>
    </tableColumn>
    <tableColumn id="25" xr3:uid="{211DFD91-7D67-4C1D-8A37-6A08E35B643B}" name="CRÉDITOS PAGO TUTOR" dataDxfId="139">
      <calculatedColumnFormula array="1">IFERROR(_xlfn.IFS(TB_Radiologia1[[#This Row],[TIPIFICAÇÃO]]="ON.A",1,TB_Radiologia1[[#This Row],[TIPIFICAÇÃO]]="PR",0,TB_Radiologia1[[#This Row],[TIPIFICAÇÃO]]="HB",0,AND(TB_Radiologia1[[#This Row],[TIPIFICAÇÃO]]="EXT",OR(TB_Radiologia1[[#This Row],[TIPO DE OFERTA]]="SEMI-PRESENCIAL",TB_Radiologia1[[#This Row],[TIPO DE OFERTA]]="EAD 100%")),1),0)</calculatedColumnFormula>
    </tableColumn>
    <tableColumn id="17" xr3:uid="{7C66C5BC-6BD0-43BE-8A09-DDEB285EBB19}" name="CRÉDITOS OFF" dataDxfId="138">
      <calculatedColumnFormula array="1">ROUNDUP(IFERROR(_xlfn.IFS(TB_Radiologia1[[#This Row],[TIPIFICAÇÃO]]="ON.A",0,TB_Radiologia1[[#This Row],[TIPIFICAÇÃO]]="PR",0,TB_Radiologia1[[#This Row],[TIPIFICAÇÃO]]="HB",TB_Radiologia1[[#This Row],[CH ONLINE]],TB_Radiologia1[[#This Row],[TIPIFICAÇÃO]]="ON.S",0,AND(TB_Radiologia1[[#This Row],[TIPIFICAÇÃO]]="EXT",TB_Radiologia1[[#This Row],[TIPO DE OFERTA]]="PRESENCIAL"),TB_Radiologia1[[#This Row],[CRÉDITOS]]-TB_Radiologia1[[#This Row],[CRÉDITOS PAGO PROFESSOR]])/Cursos!$E$3,0),0)</calculatedColumnFormula>
    </tableColumn>
    <tableColumn id="15" xr3:uid="{11E96278-3077-482C-885C-2DD8FBF8497A}" name="HABILITAÇÃO" dataDxfId="137"/>
    <tableColumn id="20" xr3:uid="{40E73452-2B3F-4D65-8E7E-2183142CE6AF}" name="PRESENCIAL" dataDxfId="136"/>
    <tableColumn id="21" xr3:uid="{A9EF0060-9D2C-4695-93EA-B14E57BFB5EF}" name="DIAS DE PRESENCIAL MOD.: PRESENCIAL" dataDxfId="135"/>
    <tableColumn id="22" xr3:uid="{A61D5405-63F7-4E6C-ABBD-A5C1FEE87BA7}" name="SEMI" dataDxfId="134"/>
    <tableColumn id="23" xr3:uid="{D71C6DD1-49F4-4865-9139-5A7DC5738990}" name="DIAS DE PRESENCIAL MOD.: SEMI" dataDxfId="133"/>
    <tableColumn id="24" xr3:uid="{199C8B21-0478-4E7A-B2A4-EE759804A1EF}" name="100%" dataDxfId="13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3A1932C-F57F-4323-8B06-FDF804A10DF5}" name="TB_Radiologia2" displayName="TB_Radiologia2" ref="B8:AE47" totalsRowShown="0" headerRowDxfId="196" headerRowBorderDxfId="195" tableBorderDxfId="194" totalsRowBorderDxfId="193">
  <autoFilter ref="B8:AE47" xr:uid="{37744430-4BF4-42BB-8534-264134029CCC}"/>
  <tableColumns count="30">
    <tableColumn id="14" xr3:uid="{991922AB-AA77-4A99-A7EA-E377C3E02F89}" name="CURSO" dataDxfId="192">
      <calculatedColumnFormula>$J$2</calculatedColumnFormula>
    </tableColumn>
    <tableColumn id="1" xr3:uid="{9E02EE9C-9C72-410F-84A0-506E243DA85C}" name="PERÍODOS" dataDxfId="191"/>
    <tableColumn id="3" xr3:uid="{6CFC8C9A-38A8-45DC-8477-9C65B6C0407C}" name="ORDEM" dataDxfId="190"/>
    <tableColumn id="4" xr3:uid="{7E1AB5F3-8403-4F70-AEC7-DFCFD6E5F271}" name="NOME DISCIPLINA" dataDxfId="189"/>
    <tableColumn id="28" xr3:uid="{0042575C-540C-4866-8EC6-6963748A9147}" name="REDUZIDO" dataDxfId="188"/>
    <tableColumn id="5" xr3:uid="{36ADF85C-D715-41FE-9685-F28E1A93F1DF}" name="CH TOTAL" dataDxfId="187">
      <calculatedColumnFormula>SUM(TB_Radiologia2[[#This Row],[CH TEÓRICA]:[CH ONLINE]])</calculatedColumnFormula>
    </tableColumn>
    <tableColumn id="6" xr3:uid="{1723DDF9-A29A-4177-A485-1803349DA191}" name="TIPO COMPONENTE" dataDxfId="186"/>
    <tableColumn id="7" xr3:uid="{0455499F-DD43-4E67-B430-16F9712F22BD}" name="CH TEÓRICA" dataDxfId="185"/>
    <tableColumn id="8" xr3:uid="{236B3813-E6CD-41BE-8D4A-4E95FD5F3483}" name="CH PRÁTICA" dataDxfId="184"/>
    <tableColumn id="12" xr3:uid="{14D3588E-EF3E-4EF5-B31D-E7A10FC28403}" name="CH ESTÁGIO" dataDxfId="183"/>
    <tableColumn id="13" xr3:uid="{BDE87A9A-91B4-4843-AEA7-F91489CCA180}" name="CH EXTENSÃO" dataDxfId="182"/>
    <tableColumn id="9" xr3:uid="{8BDE0388-6A3D-4110-B798-EC36F8A2A419}" name="CH ONLINE" dataDxfId="181"/>
    <tableColumn id="10" xr3:uid="{6F0FDA90-CCF6-4D8F-9D9D-E53117DBBE94}" name="TIPIFICAÇÃO" dataDxfId="180"/>
    <tableColumn id="11" xr3:uid="{B6C84E6E-6D74-4908-916B-74F8690D68E8}" name="CRÉDITOS" dataDxfId="179">
      <calculatedColumnFormula>ROUNDUP(TB_Radiologia2[[#This Row],[CH TOTAL]]/Cursos!$E$3,0)</calculatedColumnFormula>
    </tableColumn>
    <tableColumn id="18" xr3:uid="{709E7735-B8FC-4CBB-87C6-8997A9AC64E9}" name="DIAS PRESENCIAL" dataDxfId="178"/>
    <tableColumn id="2" xr3:uid="{6A72418D-F7BE-4CAA-8B42-319582439114}" name="ALUNOS POR TURMA OU GRUPOS" dataDxfId="177"/>
    <tableColumn id="19" xr3:uid="{A928EFC2-C3EC-4882-B780-88789AF517DB}" name="TIPO DE OFERTA" dataDxfId="176"/>
    <tableColumn id="27" xr3:uid="{D4771B32-CC25-4C13-AED4-20387C21B0D6}" name="PRESENCIAL" dataDxfId="175"/>
    <tableColumn id="29" xr3:uid="{3E8F3C06-79D2-4C29-943A-CB33E9440F99}" name="SÍNCRONO" dataDxfId="174"/>
    <tableColumn id="30" xr3:uid="{BF407132-992A-4F21-BB71-8563574CA41B}" name="ASSÍNCRONO" dataDxfId="173"/>
    <tableColumn id="16" xr3:uid="{56D1778A-31B5-4834-A6CC-2EA75DA604CD}" name="CRÉDITOS PAGO PROFESSOR" dataDxfId="172">
      <calculatedColumnFormula array="1">ROUNDUP(IFERROR(_xlfn.IFS(TB_Radiologia2[[#This Row],[TIPIFICAÇÃO]]="ON.A",0,AND(TB_Radiologia2[[#This Row],[TIPIFICAÇÃO]]="EST",TB_Radiologia2[[#This Row],[TIPO DE OFERTA]]="PRESENCIAL"),0,AND(TB_Radiologia2[[#This Row],[TIPIFICAÇÃO]]="PR",OR(TB_Radiologia2[[#This Row],[TIPO DE OFERTA]]="PRESENCIAL",TB_Radiologia2[[#This Row],[TIPO DE OFERTA]]="SEMI-PRESENCIAL")),TB_Radiologia2[[#This Row],[CH TEÓRICA]]+TB_Radiologia2[[#This Row],[CH PRÁTICA]],AND(TB_Radiologia2[[#This Row],[TIPIFICAÇÃO]]="HB",TB_Radiologia2[[#This Row],[TIPO DE OFERTA]]="PRESENCIAL"),TB_Radiologia2[[#This Row],[CH TEÓRICA]]+TB_Radiologia2[[#This Row],[CH PRÁTICA]],AND(TB_Radiologia2[[#This Row],[TIPIFICAÇÃO]]="EXT",OR(TB_Radiologia2[[#This Row],[TIPO DE OFERTA]]="PRESENCIAL",TB_Radiologia2[[#This Row],[TIPO DE OFERTA]]="SEMI-PRESENCIAL")),33,AND(TB_Radiologia2[[#This Row],[TIPIFICAÇÃO]]="TCC",TB_Radiologia2[[#This Row],[TIPO DE OFERTA]]="PRESENCIAL"),SUM(TB_Radiologia2[[#This Row],[CH TEÓRICA]],TB_Radiologia2[[#This Row],[CH PRÁTICA]]))/Cursos!$E$3,0),0)</calculatedColumnFormula>
    </tableColumn>
    <tableColumn id="26" xr3:uid="{55178771-6D7A-486E-BD76-5EE54B28A529}" name="CRÉDITOS PAGOS ON.S" dataDxfId="171">
      <calculatedColumnFormula>IF(TB_Radiologia2[[#This Row],[TIPIFICAÇÃO]]="ON.S",ROUNDUP(TB_Radiologia2[[#This Row],[CH TEÓRICA]]/Cursos!$E$3,0),0)</calculatedColumnFormula>
    </tableColumn>
    <tableColumn id="25" xr3:uid="{C08F8A54-C179-4539-A004-462252D8599C}" name="CRÉDITOS PAGO TUTOR" dataDxfId="170">
      <calculatedColumnFormula array="1">IFERROR(_xlfn.IFS(TB_Radiologia2[[#This Row],[TIPIFICAÇÃO]]="ON.A",1,TB_Radiologia2[[#This Row],[TIPIFICAÇÃO]]="PR",0,TB_Radiologia2[[#This Row],[TIPIFICAÇÃO]]="HB",0,AND(TB_Radiologia2[[#This Row],[TIPIFICAÇÃO]]="EXT",OR(TB_Radiologia2[[#This Row],[TIPO DE OFERTA]]="SEMI-PRESENCIAL",TB_Radiologia2[[#This Row],[TIPO DE OFERTA]]="EAD 100%")),1),0)</calculatedColumnFormula>
    </tableColumn>
    <tableColumn id="17" xr3:uid="{5337EB56-3D29-4B24-A469-1E497342B3F7}" name="CRÉDITOS OFF" dataDxfId="169">
      <calculatedColumnFormula array="1">ROUNDUP(IFERROR(_xlfn.IFS(TB_Radiologia2[[#This Row],[TIPIFICAÇÃO]]="ON.A",0,TB_Radiologia2[[#This Row],[TIPIFICAÇÃO]]="PR",0,TB_Radiologia2[[#This Row],[TIPIFICAÇÃO]]="HB",TB_Radiologia2[[#This Row],[CH ONLINE]],TB_Radiologia2[[#This Row],[TIPIFICAÇÃO]]="ON.S",0,AND(TB_Radiologia2[[#This Row],[TIPIFICAÇÃO]]="EXT",TB_Radiologia2[[#This Row],[TIPO DE OFERTA]]="PRESENCIAL"),TB_Radiologia2[[#This Row],[CRÉDITOS]]-TB_Radiologia2[[#This Row],[CRÉDITOS PAGO PROFESSOR]])/Cursos!$E$3,0),0)</calculatedColumnFormula>
    </tableColumn>
    <tableColumn id="15" xr3:uid="{A2309C31-76E5-4762-85E6-60BB0C9315E3}" name="HABILITAÇÃO" dataDxfId="168"/>
    <tableColumn id="20" xr3:uid="{319A1561-A881-44DE-BCBC-EF8E8D991686}" name="PRESENCIAL2" dataDxfId="167"/>
    <tableColumn id="21" xr3:uid="{7697F58E-C5E4-4B4F-B55F-CF43C83A5EB4}" name="DIAS DE PRESENCIAL MOD.: PRESENCIAL" dataDxfId="166"/>
    <tableColumn id="22" xr3:uid="{EFDA8A69-AF7C-47D3-9BD9-8AC6EEA46E1A}" name="SEMI" dataDxfId="165"/>
    <tableColumn id="23" xr3:uid="{C8CAC052-4788-498C-B393-54DA35F64816}" name="DIAS DE PRESENCIAL MOD.: SEMI" dataDxfId="164"/>
    <tableColumn id="24" xr3:uid="{CE18554E-9CFB-4027-9F4A-9A5DE267E5FC}" name="100%" dataDxfId="163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Personalizada 1">
      <a:dk1>
        <a:srgbClr val="212322"/>
      </a:dk1>
      <a:lt1>
        <a:srgbClr val="D9D9D6"/>
      </a:lt1>
      <a:dk2>
        <a:srgbClr val="75787B"/>
      </a:dk2>
      <a:lt2>
        <a:srgbClr val="FFFFFF"/>
      </a:lt2>
      <a:accent1>
        <a:srgbClr val="D31C5B"/>
      </a:accent1>
      <a:accent2>
        <a:srgbClr val="D9D9D6"/>
      </a:accent2>
      <a:accent3>
        <a:srgbClr val="75787B"/>
      </a:accent3>
      <a:accent4>
        <a:srgbClr val="212322"/>
      </a:accent4>
      <a:accent5>
        <a:srgbClr val="0057B7"/>
      </a:accent5>
      <a:accent6>
        <a:srgbClr val="A4DBE8"/>
      </a:accent6>
      <a:hlink>
        <a:srgbClr val="E34676"/>
      </a:hlink>
      <a:folHlink>
        <a:srgbClr val="FDD3DA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5" Type="http://schemas.openxmlformats.org/officeDocument/2006/relationships/pivotTable" Target="../pivotTables/pivotTable5.xml"/><Relationship Id="rId4" Type="http://schemas.openxmlformats.org/officeDocument/2006/relationships/pivotTable" Target="../pivotTables/pivot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EE21E-6481-4E4C-9782-F9B678FA1D9A}">
  <dimension ref="B2:H33"/>
  <sheetViews>
    <sheetView workbookViewId="0">
      <pane xSplit="1" ySplit="2" topLeftCell="E3" activePane="bottomRight" state="frozen"/>
      <selection pane="topRight" activeCell="B1" sqref="B1"/>
      <selection pane="bottomLeft" activeCell="A3" sqref="A3"/>
      <selection pane="bottomRight" activeCell="E4" sqref="E4"/>
    </sheetView>
  </sheetViews>
  <sheetFormatPr defaultRowHeight="15" x14ac:dyDescent="0.25"/>
  <cols>
    <col min="1" max="1" width="1.28515625" customWidth="1"/>
    <col min="2" max="2" width="36" bestFit="1" customWidth="1"/>
    <col min="5" max="5" width="23.5703125" style="9" bestFit="1" customWidth="1"/>
    <col min="8" max="8" width="12.42578125" style="1" bestFit="1" customWidth="1"/>
  </cols>
  <sheetData>
    <row r="2" spans="2:8" x14ac:dyDescent="0.25">
      <c r="B2" s="5" t="s">
        <v>0</v>
      </c>
      <c r="E2" s="5" t="s">
        <v>1</v>
      </c>
      <c r="H2" s="5" t="s">
        <v>2</v>
      </c>
    </row>
    <row r="3" spans="2:8" x14ac:dyDescent="0.25">
      <c r="B3" s="6" t="s">
        <v>3</v>
      </c>
      <c r="E3" s="9">
        <v>16.5</v>
      </c>
      <c r="H3" s="1" t="s">
        <v>4</v>
      </c>
    </row>
    <row r="4" spans="2:8" x14ac:dyDescent="0.25">
      <c r="B4" s="6" t="s">
        <v>5</v>
      </c>
      <c r="H4" s="1" t="s">
        <v>6</v>
      </c>
    </row>
    <row r="5" spans="2:8" x14ac:dyDescent="0.25">
      <c r="B5" s="6" t="s">
        <v>7</v>
      </c>
      <c r="H5" s="1" t="s">
        <v>8</v>
      </c>
    </row>
    <row r="6" spans="2:8" x14ac:dyDescent="0.25">
      <c r="B6" s="6" t="s">
        <v>9</v>
      </c>
      <c r="H6" s="1" t="s">
        <v>10</v>
      </c>
    </row>
    <row r="7" spans="2:8" x14ac:dyDescent="0.25">
      <c r="B7" s="6" t="s">
        <v>11</v>
      </c>
      <c r="H7" s="1" t="s">
        <v>12</v>
      </c>
    </row>
    <row r="8" spans="2:8" x14ac:dyDescent="0.25">
      <c r="B8" s="6" t="s">
        <v>13</v>
      </c>
      <c r="H8" s="1" t="s">
        <v>14</v>
      </c>
    </row>
    <row r="9" spans="2:8" x14ac:dyDescent="0.25">
      <c r="B9" s="6" t="s">
        <v>15</v>
      </c>
      <c r="H9" s="1" t="s">
        <v>16</v>
      </c>
    </row>
    <row r="10" spans="2:8" x14ac:dyDescent="0.25">
      <c r="B10" s="6" t="s">
        <v>17</v>
      </c>
      <c r="H10" s="1" t="s">
        <v>18</v>
      </c>
    </row>
    <row r="11" spans="2:8" x14ac:dyDescent="0.25">
      <c r="B11" s="6" t="s">
        <v>19</v>
      </c>
    </row>
    <row r="12" spans="2:8" x14ac:dyDescent="0.25">
      <c r="B12" s="6" t="s">
        <v>20</v>
      </c>
    </row>
    <row r="13" spans="2:8" x14ac:dyDescent="0.25">
      <c r="B13" s="6" t="s">
        <v>21</v>
      </c>
    </row>
    <row r="14" spans="2:8" x14ac:dyDescent="0.25">
      <c r="B14" s="6" t="s">
        <v>22</v>
      </c>
    </row>
    <row r="15" spans="2:8" x14ac:dyDescent="0.25">
      <c r="B15" s="6" t="s">
        <v>23</v>
      </c>
    </row>
    <row r="16" spans="2:8" x14ac:dyDescent="0.25">
      <c r="B16" s="6" t="s">
        <v>24</v>
      </c>
    </row>
    <row r="17" spans="2:2" x14ac:dyDescent="0.25">
      <c r="B17" s="6" t="s">
        <v>25</v>
      </c>
    </row>
    <row r="18" spans="2:2" x14ac:dyDescent="0.25">
      <c r="B18" s="6" t="s">
        <v>26</v>
      </c>
    </row>
    <row r="19" spans="2:2" x14ac:dyDescent="0.25">
      <c r="B19" s="6" t="s">
        <v>27</v>
      </c>
    </row>
    <row r="20" spans="2:2" x14ac:dyDescent="0.25">
      <c r="B20" s="6" t="s">
        <v>28</v>
      </c>
    </row>
    <row r="21" spans="2:2" x14ac:dyDescent="0.25">
      <c r="B21" s="6" t="s">
        <v>29</v>
      </c>
    </row>
    <row r="22" spans="2:2" x14ac:dyDescent="0.25">
      <c r="B22" s="6" t="s">
        <v>30</v>
      </c>
    </row>
    <row r="23" spans="2:2" x14ac:dyDescent="0.25">
      <c r="B23" s="6" t="s">
        <v>31</v>
      </c>
    </row>
    <row r="24" spans="2:2" x14ac:dyDescent="0.25">
      <c r="B24" s="6" t="s">
        <v>32</v>
      </c>
    </row>
    <row r="25" spans="2:2" x14ac:dyDescent="0.25">
      <c r="B25" s="6" t="s">
        <v>33</v>
      </c>
    </row>
    <row r="26" spans="2:2" x14ac:dyDescent="0.25">
      <c r="B26" s="6" t="s">
        <v>34</v>
      </c>
    </row>
    <row r="27" spans="2:2" x14ac:dyDescent="0.25">
      <c r="B27" s="6" t="s">
        <v>35</v>
      </c>
    </row>
    <row r="28" spans="2:2" x14ac:dyDescent="0.25">
      <c r="B28" s="6" t="s">
        <v>36</v>
      </c>
    </row>
    <row r="29" spans="2:2" x14ac:dyDescent="0.25">
      <c r="B29" s="6" t="s">
        <v>37</v>
      </c>
    </row>
    <row r="30" spans="2:2" x14ac:dyDescent="0.25">
      <c r="B30" s="6" t="s">
        <v>38</v>
      </c>
    </row>
    <row r="31" spans="2:2" x14ac:dyDescent="0.25">
      <c r="B31" s="6" t="s">
        <v>39</v>
      </c>
    </row>
    <row r="32" spans="2:2" x14ac:dyDescent="0.25">
      <c r="B32" s="6" t="s">
        <v>40</v>
      </c>
    </row>
    <row r="33" spans="2:2" x14ac:dyDescent="0.25">
      <c r="B33" s="6" t="s">
        <v>41</v>
      </c>
    </row>
  </sheetData>
  <autoFilter ref="B2:B33" xr:uid="{2C8EE21E-6481-4E4C-9782-F9B678FA1D9A}">
    <sortState xmlns:xlrd2="http://schemas.microsoft.com/office/spreadsheetml/2017/richdata2" ref="B3:B33">
      <sortCondition ref="B2:B33"/>
    </sortState>
  </autoFilter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66327-9DB1-4DFC-8D2C-306FF8B74928}">
  <dimension ref="B1:AC63"/>
  <sheetViews>
    <sheetView showGridLines="0" zoomScale="80" zoomScaleNormal="80" workbookViewId="0">
      <pane xSplit="4" ySplit="8" topLeftCell="F45" activePane="bottomRight" state="frozen"/>
      <selection pane="topRight" activeCell="D1" sqref="D1"/>
      <selection pane="bottomLeft" activeCell="A9" sqref="A9"/>
      <selection pane="bottomRight" activeCell="N55" sqref="N55:N56"/>
    </sheetView>
  </sheetViews>
  <sheetFormatPr defaultRowHeight="15" outlineLevelCol="1" x14ac:dyDescent="0.25"/>
  <cols>
    <col min="1" max="1" width="1.42578125" customWidth="1"/>
    <col min="2" max="2" width="16.7109375" style="1" hidden="1" customWidth="1" outlineLevel="1"/>
    <col min="3" max="3" width="16.28515625" style="1" bestFit="1" customWidth="1" collapsed="1"/>
    <col min="4" max="4" width="13.85546875" style="1" bestFit="1" customWidth="1"/>
    <col min="5" max="5" width="68.42578125" style="9" bestFit="1" customWidth="1"/>
    <col min="6" max="6" width="16.5703125" style="9" bestFit="1" customWidth="1"/>
    <col min="7" max="7" width="15.7109375" style="4" bestFit="1" customWidth="1"/>
    <col min="8" max="8" width="20" style="1" bestFit="1" customWidth="1"/>
    <col min="9" max="9" width="17.7109375" style="1" bestFit="1" customWidth="1"/>
    <col min="10" max="10" width="17.42578125" style="1" bestFit="1" customWidth="1"/>
    <col min="11" max="11" width="17.85546875" style="1" bestFit="1" customWidth="1"/>
    <col min="12" max="12" width="19.5703125" style="1" bestFit="1" customWidth="1"/>
    <col min="13" max="13" width="16.7109375" style="1" bestFit="1" customWidth="1"/>
    <col min="14" max="14" width="17.85546875" bestFit="1" customWidth="1"/>
    <col min="15" max="15" width="15.85546875" bestFit="1" customWidth="1"/>
    <col min="16" max="16" width="22.7109375" bestFit="1" customWidth="1"/>
    <col min="17" max="17" width="14.42578125" hidden="1" customWidth="1" outlineLevel="1"/>
    <col min="18" max="18" width="16.7109375" hidden="1" customWidth="1" outlineLevel="1"/>
    <col min="19" max="19" width="22.42578125" hidden="1" customWidth="1" outlineLevel="1"/>
    <col min="20" max="20" width="19.42578125" hidden="1" customWidth="1" outlineLevel="1"/>
    <col min="21" max="21" width="17" hidden="1" customWidth="1" outlineLevel="1"/>
    <col min="22" max="22" width="16.28515625" hidden="1" customWidth="1" outlineLevel="1"/>
    <col min="23" max="23" width="21.140625" hidden="1" customWidth="1" outlineLevel="1"/>
    <col min="24" max="24" width="10.85546875" hidden="1" customWidth="1" outlineLevel="1"/>
    <col min="25" max="25" width="16.5703125" hidden="1" customWidth="1" outlineLevel="1"/>
    <col min="26" max="26" width="8.7109375" hidden="1" customWidth="1" outlineLevel="1"/>
    <col min="27" max="27" width="12.85546875" hidden="1" customWidth="1" outlineLevel="1"/>
    <col min="28" max="28" width="8.85546875" hidden="1" customWidth="1" outlineLevel="1" collapsed="1"/>
    <col min="29" max="29" width="9.140625" collapsed="1"/>
  </cols>
  <sheetData>
    <row r="1" spans="2:28" x14ac:dyDescent="0.25">
      <c r="E1" s="1"/>
      <c r="F1" s="1"/>
      <c r="G1" s="9"/>
      <c r="N1" s="1"/>
    </row>
    <row r="2" spans="2:28" x14ac:dyDescent="0.25">
      <c r="E2" s="1"/>
      <c r="F2" s="1"/>
      <c r="G2" s="9"/>
      <c r="I2" s="8" t="s">
        <v>42</v>
      </c>
      <c r="J2" s="97" t="s">
        <v>39</v>
      </c>
      <c r="K2" s="98"/>
      <c r="L2" s="98"/>
      <c r="M2" s="98"/>
      <c r="N2" s="99"/>
    </row>
    <row r="3" spans="2:28" ht="15.75" thickBot="1" x14ac:dyDescent="0.3">
      <c r="E3" s="1"/>
      <c r="F3" s="1"/>
      <c r="G3" s="1"/>
      <c r="H3" s="9"/>
      <c r="I3" s="4"/>
      <c r="N3" s="1"/>
      <c r="O3" s="1"/>
      <c r="P3" s="1"/>
      <c r="Q3" s="1"/>
      <c r="R3" s="1"/>
      <c r="S3" s="1"/>
      <c r="T3" s="1"/>
    </row>
    <row r="4" spans="2:28" ht="19.149999999999999" customHeight="1" x14ac:dyDescent="0.25">
      <c r="E4" s="26" t="s">
        <v>43</v>
      </c>
      <c r="F4" s="31"/>
      <c r="G4" s="30">
        <f>G56</f>
        <v>2600</v>
      </c>
      <c r="H4" s="31"/>
      <c r="I4" s="31"/>
      <c r="J4" s="31"/>
      <c r="K4" s="31"/>
      <c r="L4" s="31"/>
      <c r="M4" s="31"/>
      <c r="N4" s="32"/>
    </row>
    <row r="5" spans="2:28" ht="19.149999999999999" customHeight="1" x14ac:dyDescent="0.25">
      <c r="E5" s="27" t="s">
        <v>44</v>
      </c>
      <c r="F5" s="1"/>
      <c r="G5" s="29">
        <f>K56</f>
        <v>488</v>
      </c>
      <c r="N5" s="33"/>
      <c r="Q5" s="100" t="s">
        <v>45</v>
      </c>
    </row>
    <row r="6" spans="2:28" ht="19.149999999999999" customHeight="1" thickBot="1" x14ac:dyDescent="0.3">
      <c r="E6" s="28" t="s">
        <v>18</v>
      </c>
      <c r="F6" s="35"/>
      <c r="G6" s="34">
        <f>G53</f>
        <v>74</v>
      </c>
      <c r="H6" s="35"/>
      <c r="I6" s="35"/>
      <c r="J6" s="35"/>
      <c r="K6" s="35"/>
      <c r="L6" s="35"/>
      <c r="M6" s="35"/>
      <c r="N6" s="36"/>
      <c r="Q6" s="100"/>
    </row>
    <row r="7" spans="2:28" x14ac:dyDescent="0.25">
      <c r="M7" s="2"/>
      <c r="Q7" s="100"/>
    </row>
    <row r="8" spans="2:28" s="3" customFormat="1" ht="43.5" customHeight="1" x14ac:dyDescent="0.25">
      <c r="B8" s="23" t="s">
        <v>46</v>
      </c>
      <c r="C8" s="23" t="s">
        <v>47</v>
      </c>
      <c r="D8" s="23" t="s">
        <v>48</v>
      </c>
      <c r="E8" s="23" t="s">
        <v>49</v>
      </c>
      <c r="F8" s="23" t="s">
        <v>50</v>
      </c>
      <c r="G8" s="24" t="s">
        <v>51</v>
      </c>
      <c r="H8" s="23" t="s">
        <v>52</v>
      </c>
      <c r="I8" s="23" t="s">
        <v>53</v>
      </c>
      <c r="J8" s="23" t="s">
        <v>54</v>
      </c>
      <c r="K8" s="23" t="s">
        <v>55</v>
      </c>
      <c r="L8" s="23" t="s">
        <v>56</v>
      </c>
      <c r="M8" s="23" t="s">
        <v>57</v>
      </c>
      <c r="N8" s="25" t="s">
        <v>58</v>
      </c>
      <c r="O8" s="25" t="s">
        <v>59</v>
      </c>
      <c r="P8" s="51" t="s">
        <v>60</v>
      </c>
      <c r="Q8" s="11" t="s">
        <v>61</v>
      </c>
      <c r="R8" s="11" t="s">
        <v>62</v>
      </c>
      <c r="S8" s="14" t="s">
        <v>63</v>
      </c>
      <c r="T8" s="14" t="s">
        <v>64</v>
      </c>
      <c r="U8" s="14" t="s">
        <v>65</v>
      </c>
      <c r="V8" s="14" t="s">
        <v>66</v>
      </c>
      <c r="W8" s="14" t="s">
        <v>67</v>
      </c>
      <c r="X8" s="17" t="s">
        <v>68</v>
      </c>
      <c r="Y8" s="17" t="s">
        <v>69</v>
      </c>
      <c r="Z8" s="17" t="s">
        <v>70</v>
      </c>
      <c r="AA8" s="17" t="s">
        <v>71</v>
      </c>
      <c r="AB8" s="17" t="s">
        <v>72</v>
      </c>
    </row>
    <row r="9" spans="2:28" x14ac:dyDescent="0.25">
      <c r="B9" s="7" t="str">
        <f t="shared" ref="B9:B51" si="0">$J$2</f>
        <v>RADIOLOGIA</v>
      </c>
      <c r="C9" s="7" t="s">
        <v>73</v>
      </c>
      <c r="D9" s="80">
        <v>1</v>
      </c>
      <c r="E9" s="76" t="s">
        <v>74</v>
      </c>
      <c r="F9" s="21" t="s">
        <v>75</v>
      </c>
      <c r="G9" s="80">
        <f>SUM(TB_Radiologia1[[#This Row],[CH TEÓRICA]:[CH ONLINE]])</f>
        <v>66</v>
      </c>
      <c r="H9" s="76" t="s">
        <v>76</v>
      </c>
      <c r="I9" s="80">
        <v>0</v>
      </c>
      <c r="J9" s="80">
        <v>0</v>
      </c>
      <c r="K9" s="80">
        <v>0</v>
      </c>
      <c r="L9" s="80">
        <v>0</v>
      </c>
      <c r="M9" s="80">
        <v>66</v>
      </c>
      <c r="N9" s="80" t="s">
        <v>4</v>
      </c>
      <c r="O9" s="42">
        <f>ROUNDUP(TB_Radiologia1[[#This Row],[CH TOTAL]]/Cursos!$E$3,0)</f>
        <v>4</v>
      </c>
      <c r="P9" s="52" cm="1">
        <f t="array" ref="P9">IF(AND(TB_Radiologia1[[#This Row],[TIPIFICAÇÃO]]="TCC",TB_Radiologia1[[#This Row],[TIPO DE OFERTA]]="PRESENCIAL"),SUM(TB_Radiologia1[[#This Row],[CH TEÓRICA]:[CH PRÁTICA]]/66),IF(TB_Radiologia1[[#This Row],[TIPIFICAÇÃO]]="EST",1,IF(AND(IF(OR(TB_Radiologia1[[#This Row],[TIPIFICAÇÃO]]="HB",TB_Radiologia1[[#This Row],[TIPIFICAÇÃO]]="PR"),SUM(TB_Radiologia1[[#This Row],[CH TEÓRICA]:[CH PRÁTICA]])/66,IF(TB_Radiologia1[[#This Row],[TIPIFICAÇÃO]]="EXT",0.5,0))&gt;0.6,IF(OR(TB_Radiologia1[[#This Row],[TIPIFICAÇÃO]]="HB",TB_Radiologia1[[#This Row],[TIPIFICAÇÃO]]="PR"),SUM(TB_Radiologia1[[#This Row],[CH TEÓRICA]:[CH PRÁTICA]])/66,IF(TB_Radiologia1[[#This Row],[TIPIFICAÇÃO]]="EXT",0.5,0))&lt;0.8),1,IF(OR(TB_Radiologia1[[#This Row],[TIPIFICAÇÃO]]="HB",TB_Radiologia1[[#This Row],[TIPIFICAÇÃO]]="PR"),SUM(TB_Radiologia1[[#This Row],[CH TEÓRICA]:[CH PRÁTICA]])/66,IF(TB_Radiologia1[[#This Row],[TIPIFICAÇÃO]]="EXT",0.5,0)))))</f>
        <v>0</v>
      </c>
      <c r="Q9" s="44"/>
      <c r="R9" s="12" t="s">
        <v>68</v>
      </c>
      <c r="S9" s="10" cm="1">
        <f t="array" ref="S9">ROUNDUP(IFERROR(_xlfn.IFS(TB_Radiologia1[[#This Row],[TIPIFICAÇÃO]]="ON.A",0,AND(TB_Radiologia1[[#This Row],[TIPIFICAÇÃO]]="EST",TB_Radiologia1[[#This Row],[TIPO DE OFERTA]]="PRESENCIAL"),0,AND(TB_Radiologia1[[#This Row],[TIPIFICAÇÃO]]="PR",OR(TB_Radiologia1[[#This Row],[TIPO DE OFERTA]]="PRESENCIAL",TB_Radiologia1[[#This Row],[TIPO DE OFERTA]]="SEMI-PRESENCIAL")),TB_Radiologia1[[#This Row],[CH TEÓRICA]]+TB_Radiologia1[[#This Row],[CH PRÁTICA]],AND(TB_Radiologia1[[#This Row],[TIPIFICAÇÃO]]="HB",TB_Radiologia1[[#This Row],[TIPO DE OFERTA]]="PRESENCIAL"),TB_Radiologia1[[#This Row],[CH TEÓRICA]]+TB_Radiologia1[[#This Row],[CH PRÁTICA]],AND(TB_Radiologia1[[#This Row],[TIPIFICAÇÃO]]="EXT",OR(TB_Radiologia1[[#This Row],[TIPO DE OFERTA]]="PRESENCIAL",TB_Radiologia1[[#This Row],[TIPO DE OFERTA]]="SEMI-PRESENCIAL")),33,AND(TB_Radiologia1[[#This Row],[TIPIFICAÇÃO]]="TCC",TB_Radiologia1[[#This Row],[TIPO DE OFERTA]]="PRESENCIAL"),SUM(TB_Radiologia1[[#This Row],[CH TEÓRICA]],TB_Radiologia1[[#This Row],[CH PRÁTICA]]))/Cursos!$E$3,0),0)</f>
        <v>0</v>
      </c>
      <c r="T9" s="10">
        <f>IF(TB_Radiologia1[[#This Row],[TIPIFICAÇÃO]]="ON.S",ROUNDUP(TB_Radiologia1[[#This Row],[CH TEÓRICA]]/Cursos!$E$3,0),0)</f>
        <v>0</v>
      </c>
      <c r="U9" s="10" cm="1">
        <f t="array" ref="U9">IFERROR(_xlfn.IFS(TB_Radiologia1[[#This Row],[TIPIFICAÇÃO]]="ON.A",1,TB_Radiologia1[[#This Row],[TIPIFICAÇÃO]]="PR",0,TB_Radiologia1[[#This Row],[TIPIFICAÇÃO]]="HB",0,AND(TB_Radiologia1[[#This Row],[TIPIFICAÇÃO]]="EXT",OR(TB_Radiologia1[[#This Row],[TIPO DE OFERTA]]="SEMI-PRESENCIAL",TB_Radiologia1[[#This Row],[TIPO DE OFERTA]]="EAD 100%")),1),0)</f>
        <v>1</v>
      </c>
      <c r="V9" s="10" cm="1">
        <f t="array" ref="V9">ROUNDUP(IFERROR(_xlfn.IFS(TB_Radiologia1[[#This Row],[TIPIFICAÇÃO]]="ON.A",0,TB_Radiologia1[[#This Row],[TIPIFICAÇÃO]]="PR",0,TB_Radiologia1[[#This Row],[TIPIFICAÇÃO]]="HB",TB_Radiologia1[[#This Row],[CH ONLINE]],TB_Radiologia1[[#This Row],[TIPIFICAÇÃO]]="ON.S",0,AND(TB_Radiologia1[[#This Row],[TIPIFICAÇÃO]]="EXT",TB_Radiologia1[[#This Row],[TIPO DE OFERTA]]="PRESENCIAL"),TB_Radiologia1[[#This Row],[CRÉDITOS]]-TB_Radiologia1[[#This Row],[CRÉDITOS PAGO PROFESSOR]])/Cursos!$E$3,0),0)</f>
        <v>0</v>
      </c>
      <c r="W9" s="13" t="s">
        <v>77</v>
      </c>
      <c r="X9" s="15"/>
      <c r="Y9" s="15"/>
      <c r="Z9" s="15"/>
      <c r="AA9" s="15"/>
      <c r="AB9" s="15"/>
    </row>
    <row r="10" spans="2:28" x14ac:dyDescent="0.25">
      <c r="B10" s="7" t="str">
        <f t="shared" si="0"/>
        <v>RADIOLOGIA</v>
      </c>
      <c r="C10" s="7" t="s">
        <v>73</v>
      </c>
      <c r="D10" s="80">
        <v>2</v>
      </c>
      <c r="E10" s="76" t="s">
        <v>78</v>
      </c>
      <c r="F10" s="21" t="s">
        <v>79</v>
      </c>
      <c r="G10" s="80">
        <f>SUM(TB_Radiologia1[[#This Row],[CH TEÓRICA]:[CH ONLINE]])</f>
        <v>33</v>
      </c>
      <c r="H10" s="76" t="s">
        <v>80</v>
      </c>
      <c r="I10" s="80">
        <v>33</v>
      </c>
      <c r="J10" s="80">
        <v>0</v>
      </c>
      <c r="K10" s="80">
        <v>0</v>
      </c>
      <c r="L10" s="80">
        <v>0</v>
      </c>
      <c r="M10" s="80">
        <v>0</v>
      </c>
      <c r="N10" s="80" t="s">
        <v>8</v>
      </c>
      <c r="O10" s="42">
        <f>ROUNDUP(TB_Radiologia1[[#This Row],[CH TOTAL]]/Cursos!$E$3,0)</f>
        <v>2</v>
      </c>
      <c r="P10" s="52" cm="1">
        <f t="array" ref="P10">IF(AND(TB_Radiologia1[[#This Row],[TIPIFICAÇÃO]]="TCC",TB_Radiologia1[[#This Row],[TIPO DE OFERTA]]="PRESENCIAL"),SUM(TB_Radiologia1[[#This Row],[CH TEÓRICA]:[CH PRÁTICA]]/66),IF(TB_Radiologia1[[#This Row],[TIPIFICAÇÃO]]="EST",1,IF(AND(IF(OR(TB_Radiologia1[[#This Row],[TIPIFICAÇÃO]]="HB",TB_Radiologia1[[#This Row],[TIPIFICAÇÃO]]="PR"),SUM(TB_Radiologia1[[#This Row],[CH TEÓRICA]:[CH PRÁTICA]])/66,IF(TB_Radiologia1[[#This Row],[TIPIFICAÇÃO]]="EXT",0.5,0))&gt;0.6,IF(OR(TB_Radiologia1[[#This Row],[TIPIFICAÇÃO]]="HB",TB_Radiologia1[[#This Row],[TIPIFICAÇÃO]]="PR"),SUM(TB_Radiologia1[[#This Row],[CH TEÓRICA]:[CH PRÁTICA]])/66,IF(TB_Radiologia1[[#This Row],[TIPIFICAÇÃO]]="EXT",0.5,0))&lt;0.8),1,IF(OR(TB_Radiologia1[[#This Row],[TIPIFICAÇÃO]]="HB",TB_Radiologia1[[#This Row],[TIPIFICAÇÃO]]="PR"),SUM(TB_Radiologia1[[#This Row],[CH TEÓRICA]:[CH PRÁTICA]])/66,IF(TB_Radiologia1[[#This Row],[TIPIFICAÇÃO]]="EXT",0.5,0)))))</f>
        <v>0.5</v>
      </c>
      <c r="Q10" s="44"/>
      <c r="R10" s="12" t="s">
        <v>68</v>
      </c>
      <c r="S10" s="10" cm="1">
        <f t="array" ref="S10">ROUNDUP(IFERROR(_xlfn.IFS(TB_Radiologia1[[#This Row],[TIPIFICAÇÃO]]="ON.A",0,AND(TB_Radiologia1[[#This Row],[TIPIFICAÇÃO]]="EST",TB_Radiologia1[[#This Row],[TIPO DE OFERTA]]="PRESENCIAL"),0,AND(TB_Radiologia1[[#This Row],[TIPIFICAÇÃO]]="PR",OR(TB_Radiologia1[[#This Row],[TIPO DE OFERTA]]="PRESENCIAL",TB_Radiologia1[[#This Row],[TIPO DE OFERTA]]="SEMI-PRESENCIAL")),TB_Radiologia1[[#This Row],[CH TEÓRICA]]+TB_Radiologia1[[#This Row],[CH PRÁTICA]],AND(TB_Radiologia1[[#This Row],[TIPIFICAÇÃO]]="HB",TB_Radiologia1[[#This Row],[TIPO DE OFERTA]]="PRESENCIAL"),TB_Radiologia1[[#This Row],[CH TEÓRICA]]+TB_Radiologia1[[#This Row],[CH PRÁTICA]],AND(TB_Radiologia1[[#This Row],[TIPIFICAÇÃO]]="EXT",OR(TB_Radiologia1[[#This Row],[TIPO DE OFERTA]]="PRESENCIAL",TB_Radiologia1[[#This Row],[TIPO DE OFERTA]]="SEMI-PRESENCIAL")),33,AND(TB_Radiologia1[[#This Row],[TIPIFICAÇÃO]]="TCC",TB_Radiologia1[[#This Row],[TIPO DE OFERTA]]="PRESENCIAL"),SUM(TB_Radiologia1[[#This Row],[CH TEÓRICA]],TB_Radiologia1[[#This Row],[CH PRÁTICA]]))/Cursos!$E$3,0),0)</f>
        <v>2</v>
      </c>
      <c r="T10" s="10">
        <f>IF(TB_Radiologia1[[#This Row],[TIPIFICAÇÃO]]="ON.S",ROUNDUP(TB_Radiologia1[[#This Row],[CH TEÓRICA]]/Cursos!$E$3,0),0)</f>
        <v>0</v>
      </c>
      <c r="U10" s="10" cm="1">
        <f t="array" ref="U10">IFERROR(_xlfn.IFS(TB_Radiologia1[[#This Row],[TIPIFICAÇÃO]]="ON.A",1,TB_Radiologia1[[#This Row],[TIPIFICAÇÃO]]="PR",0,TB_Radiologia1[[#This Row],[TIPIFICAÇÃO]]="HB",0,AND(TB_Radiologia1[[#This Row],[TIPIFICAÇÃO]]="EXT",OR(TB_Radiologia1[[#This Row],[TIPO DE OFERTA]]="SEMI-PRESENCIAL",TB_Radiologia1[[#This Row],[TIPO DE OFERTA]]="EAD 100%")),1),0)</f>
        <v>0</v>
      </c>
      <c r="V10" s="10" cm="1">
        <f t="array" ref="V10">ROUNDUP(IFERROR(_xlfn.IFS(TB_Radiologia1[[#This Row],[TIPIFICAÇÃO]]="ON.A",0,TB_Radiologia1[[#This Row],[TIPIFICAÇÃO]]="PR",0,TB_Radiologia1[[#This Row],[TIPIFICAÇÃO]]="HB",TB_Radiologia1[[#This Row],[CH ONLINE]],TB_Radiologia1[[#This Row],[TIPIFICAÇÃO]]="ON.S",0,AND(TB_Radiologia1[[#This Row],[TIPIFICAÇÃO]]="EXT",TB_Radiologia1[[#This Row],[TIPO DE OFERTA]]="PRESENCIAL"),TB_Radiologia1[[#This Row],[CRÉDITOS]]-TB_Radiologia1[[#This Row],[CRÉDITOS PAGO PROFESSOR]])/Cursos!$E$3,0),0)</f>
        <v>0</v>
      </c>
      <c r="W10" s="13" t="s">
        <v>77</v>
      </c>
      <c r="X10" s="10"/>
      <c r="Y10" s="10"/>
      <c r="Z10" s="10"/>
      <c r="AA10" s="10"/>
      <c r="AB10" s="10"/>
    </row>
    <row r="11" spans="2:28" x14ac:dyDescent="0.25">
      <c r="B11" s="7" t="str">
        <f t="shared" si="0"/>
        <v>RADIOLOGIA</v>
      </c>
      <c r="C11" s="7" t="s">
        <v>73</v>
      </c>
      <c r="D11" s="81">
        <v>3</v>
      </c>
      <c r="E11" s="77" t="s">
        <v>81</v>
      </c>
      <c r="F11" s="22" t="s">
        <v>82</v>
      </c>
      <c r="G11" s="80">
        <f>SUM(TB_Radiologia1[[#This Row],[CH TEÓRICA]:[CH ONLINE]])</f>
        <v>33</v>
      </c>
      <c r="H11" s="77" t="s">
        <v>83</v>
      </c>
      <c r="I11" s="80">
        <v>0</v>
      </c>
      <c r="J11" s="80">
        <v>0</v>
      </c>
      <c r="K11" s="80">
        <v>0</v>
      </c>
      <c r="L11" s="80">
        <v>0</v>
      </c>
      <c r="M11" s="81">
        <v>33</v>
      </c>
      <c r="N11" s="81" t="s">
        <v>4</v>
      </c>
      <c r="O11" s="42">
        <f>ROUNDUP(TB_Radiologia1[[#This Row],[CH TOTAL]]/Cursos!$E$3,0)</f>
        <v>2</v>
      </c>
      <c r="P11" s="52" cm="1">
        <f t="array" ref="P11">IF(AND(TB_Radiologia1[[#This Row],[TIPIFICAÇÃO]]="TCC",TB_Radiologia1[[#This Row],[TIPO DE OFERTA]]="PRESENCIAL"),SUM(TB_Radiologia1[[#This Row],[CH TEÓRICA]:[CH PRÁTICA]]/66),IF(TB_Radiologia1[[#This Row],[TIPIFICAÇÃO]]="EST",1,IF(AND(IF(OR(TB_Radiologia1[[#This Row],[TIPIFICAÇÃO]]="HB",TB_Radiologia1[[#This Row],[TIPIFICAÇÃO]]="PR"),SUM(TB_Radiologia1[[#This Row],[CH TEÓRICA]:[CH PRÁTICA]])/66,IF(TB_Radiologia1[[#This Row],[TIPIFICAÇÃO]]="EXT",0.5,0))&gt;0.6,IF(OR(TB_Radiologia1[[#This Row],[TIPIFICAÇÃO]]="HB",TB_Radiologia1[[#This Row],[TIPIFICAÇÃO]]="PR"),SUM(TB_Radiologia1[[#This Row],[CH TEÓRICA]:[CH PRÁTICA]])/66,IF(TB_Radiologia1[[#This Row],[TIPIFICAÇÃO]]="EXT",0.5,0))&lt;0.8),1,IF(OR(TB_Radiologia1[[#This Row],[TIPIFICAÇÃO]]="HB",TB_Radiologia1[[#This Row],[TIPIFICAÇÃO]]="PR"),SUM(TB_Radiologia1[[#This Row],[CH TEÓRICA]:[CH PRÁTICA]])/66,IF(TB_Radiologia1[[#This Row],[TIPIFICAÇÃO]]="EXT",0.5,0)))))</f>
        <v>0</v>
      </c>
      <c r="Q11" s="44"/>
      <c r="R11" s="12" t="s">
        <v>68</v>
      </c>
      <c r="S11" s="10" cm="1">
        <f t="array" ref="S11">ROUNDUP(IFERROR(_xlfn.IFS(TB_Radiologia1[[#This Row],[TIPIFICAÇÃO]]="ON.A",0,AND(TB_Radiologia1[[#This Row],[TIPIFICAÇÃO]]="EST",TB_Radiologia1[[#This Row],[TIPO DE OFERTA]]="PRESENCIAL"),0,AND(TB_Radiologia1[[#This Row],[TIPIFICAÇÃO]]="PR",OR(TB_Radiologia1[[#This Row],[TIPO DE OFERTA]]="PRESENCIAL",TB_Radiologia1[[#This Row],[TIPO DE OFERTA]]="SEMI-PRESENCIAL")),TB_Radiologia1[[#This Row],[CH TEÓRICA]]+TB_Radiologia1[[#This Row],[CH PRÁTICA]],AND(TB_Radiologia1[[#This Row],[TIPIFICAÇÃO]]="HB",TB_Radiologia1[[#This Row],[TIPO DE OFERTA]]="PRESENCIAL"),TB_Radiologia1[[#This Row],[CH TEÓRICA]]+TB_Radiologia1[[#This Row],[CH PRÁTICA]],AND(TB_Radiologia1[[#This Row],[TIPIFICAÇÃO]]="EXT",OR(TB_Radiologia1[[#This Row],[TIPO DE OFERTA]]="PRESENCIAL",TB_Radiologia1[[#This Row],[TIPO DE OFERTA]]="SEMI-PRESENCIAL")),33,AND(TB_Radiologia1[[#This Row],[TIPIFICAÇÃO]]="TCC",TB_Radiologia1[[#This Row],[TIPO DE OFERTA]]="PRESENCIAL"),SUM(TB_Radiologia1[[#This Row],[CH TEÓRICA]],TB_Radiologia1[[#This Row],[CH PRÁTICA]]))/Cursos!$E$3,0),0)</f>
        <v>0</v>
      </c>
      <c r="T11" s="10">
        <f>IF(TB_Radiologia1[[#This Row],[TIPIFICAÇÃO]]="ON.S",ROUNDUP(TB_Radiologia1[[#This Row],[CH TEÓRICA]]/Cursos!$E$3,0),0)</f>
        <v>0</v>
      </c>
      <c r="U11" s="10" cm="1">
        <f t="array" ref="U11">IFERROR(_xlfn.IFS(TB_Radiologia1[[#This Row],[TIPIFICAÇÃO]]="ON.A",1,TB_Radiologia1[[#This Row],[TIPIFICAÇÃO]]="PR",0,TB_Radiologia1[[#This Row],[TIPIFICAÇÃO]]="HB",0,AND(TB_Radiologia1[[#This Row],[TIPIFICAÇÃO]]="EXT",OR(TB_Radiologia1[[#This Row],[TIPO DE OFERTA]]="SEMI-PRESENCIAL",TB_Radiologia1[[#This Row],[TIPO DE OFERTA]]="EAD 100%")),1),0)</f>
        <v>1</v>
      </c>
      <c r="V11" s="10" cm="1">
        <f t="array" ref="V11">ROUNDUP(IFERROR(_xlfn.IFS(TB_Radiologia1[[#This Row],[TIPIFICAÇÃO]]="ON.A",0,TB_Radiologia1[[#This Row],[TIPIFICAÇÃO]]="PR",0,TB_Radiologia1[[#This Row],[TIPIFICAÇÃO]]="HB",TB_Radiologia1[[#This Row],[CH ONLINE]],TB_Radiologia1[[#This Row],[TIPIFICAÇÃO]]="ON.S",0,AND(TB_Radiologia1[[#This Row],[TIPIFICAÇÃO]]="EXT",TB_Radiologia1[[#This Row],[TIPO DE OFERTA]]="PRESENCIAL"),TB_Radiologia1[[#This Row],[CRÉDITOS]]-TB_Radiologia1[[#This Row],[CRÉDITOS PAGO PROFESSOR]])/Cursos!$E$3,0),0)</f>
        <v>0</v>
      </c>
      <c r="W11" s="13" t="s">
        <v>77</v>
      </c>
      <c r="X11" s="10"/>
      <c r="Y11" s="10"/>
      <c r="Z11" s="10"/>
      <c r="AA11" s="10"/>
      <c r="AB11" s="10"/>
    </row>
    <row r="12" spans="2:28" x14ac:dyDescent="0.25">
      <c r="B12" s="7" t="str">
        <f t="shared" si="0"/>
        <v>RADIOLOGIA</v>
      </c>
      <c r="C12" s="7" t="s">
        <v>73</v>
      </c>
      <c r="D12" s="80">
        <v>4</v>
      </c>
      <c r="E12" s="76" t="s">
        <v>84</v>
      </c>
      <c r="F12" s="21" t="s">
        <v>85</v>
      </c>
      <c r="G12" s="80">
        <f>SUM(TB_Radiologia1[[#This Row],[CH TEÓRICA]:[CH ONLINE]])</f>
        <v>33</v>
      </c>
      <c r="H12" s="76" t="s">
        <v>83</v>
      </c>
      <c r="I12" s="80">
        <v>0</v>
      </c>
      <c r="J12" s="80">
        <v>0</v>
      </c>
      <c r="K12" s="80">
        <v>0</v>
      </c>
      <c r="L12" s="80">
        <v>0</v>
      </c>
      <c r="M12" s="80">
        <v>33</v>
      </c>
      <c r="N12" s="80" t="s">
        <v>4</v>
      </c>
      <c r="O12" s="42">
        <f>ROUNDUP(TB_Radiologia1[[#This Row],[CH TOTAL]]/Cursos!$E$3,0)</f>
        <v>2</v>
      </c>
      <c r="P12" s="52" cm="1">
        <f t="array" ref="P12">IF(AND(TB_Radiologia1[[#This Row],[TIPIFICAÇÃO]]="TCC",TB_Radiologia1[[#This Row],[TIPO DE OFERTA]]="PRESENCIAL"),SUM(TB_Radiologia1[[#This Row],[CH TEÓRICA]:[CH PRÁTICA]]/66),IF(TB_Radiologia1[[#This Row],[TIPIFICAÇÃO]]="EST",1,IF(AND(IF(OR(TB_Radiologia1[[#This Row],[TIPIFICAÇÃO]]="HB",TB_Radiologia1[[#This Row],[TIPIFICAÇÃO]]="PR"),SUM(TB_Radiologia1[[#This Row],[CH TEÓRICA]:[CH PRÁTICA]])/66,IF(TB_Radiologia1[[#This Row],[TIPIFICAÇÃO]]="EXT",0.5,0))&gt;0.6,IF(OR(TB_Radiologia1[[#This Row],[TIPIFICAÇÃO]]="HB",TB_Radiologia1[[#This Row],[TIPIFICAÇÃO]]="PR"),SUM(TB_Radiologia1[[#This Row],[CH TEÓRICA]:[CH PRÁTICA]])/66,IF(TB_Radiologia1[[#This Row],[TIPIFICAÇÃO]]="EXT",0.5,0))&lt;0.8),1,IF(OR(TB_Radiologia1[[#This Row],[TIPIFICAÇÃO]]="HB",TB_Radiologia1[[#This Row],[TIPIFICAÇÃO]]="PR"),SUM(TB_Radiologia1[[#This Row],[CH TEÓRICA]:[CH PRÁTICA]])/66,IF(TB_Radiologia1[[#This Row],[TIPIFICAÇÃO]]="EXT",0.5,0)))))</f>
        <v>0</v>
      </c>
      <c r="Q12" s="44"/>
      <c r="R12" s="12" t="s">
        <v>68</v>
      </c>
      <c r="S12" s="10" cm="1">
        <f t="array" ref="S12">ROUNDUP(IFERROR(_xlfn.IFS(TB_Radiologia1[[#This Row],[TIPIFICAÇÃO]]="ON.A",0,AND(TB_Radiologia1[[#This Row],[TIPIFICAÇÃO]]="EST",TB_Radiologia1[[#This Row],[TIPO DE OFERTA]]="PRESENCIAL"),0,AND(TB_Radiologia1[[#This Row],[TIPIFICAÇÃO]]="PR",OR(TB_Radiologia1[[#This Row],[TIPO DE OFERTA]]="PRESENCIAL",TB_Radiologia1[[#This Row],[TIPO DE OFERTA]]="SEMI-PRESENCIAL")),TB_Radiologia1[[#This Row],[CH TEÓRICA]]+TB_Radiologia1[[#This Row],[CH PRÁTICA]],AND(TB_Radiologia1[[#This Row],[TIPIFICAÇÃO]]="HB",TB_Radiologia1[[#This Row],[TIPO DE OFERTA]]="PRESENCIAL"),TB_Radiologia1[[#This Row],[CH TEÓRICA]]+TB_Radiologia1[[#This Row],[CH PRÁTICA]],AND(TB_Radiologia1[[#This Row],[TIPIFICAÇÃO]]="EXT",OR(TB_Radiologia1[[#This Row],[TIPO DE OFERTA]]="PRESENCIAL",TB_Radiologia1[[#This Row],[TIPO DE OFERTA]]="SEMI-PRESENCIAL")),33,AND(TB_Radiologia1[[#This Row],[TIPIFICAÇÃO]]="TCC",TB_Radiologia1[[#This Row],[TIPO DE OFERTA]]="PRESENCIAL"),SUM(TB_Radiologia1[[#This Row],[CH TEÓRICA]],TB_Radiologia1[[#This Row],[CH PRÁTICA]]))/Cursos!$E$3,0),0)</f>
        <v>0</v>
      </c>
      <c r="T12" s="10">
        <f>IF(TB_Radiologia1[[#This Row],[TIPIFICAÇÃO]]="ON.S",ROUNDUP(TB_Radiologia1[[#This Row],[CH TEÓRICA]]/Cursos!$E$3,0),0)</f>
        <v>0</v>
      </c>
      <c r="U12" s="10" cm="1">
        <f t="array" ref="U12">IFERROR(_xlfn.IFS(TB_Radiologia1[[#This Row],[TIPIFICAÇÃO]]="ON.A",1,TB_Radiologia1[[#This Row],[TIPIFICAÇÃO]]="PR",0,TB_Radiologia1[[#This Row],[TIPIFICAÇÃO]]="HB",0,AND(TB_Radiologia1[[#This Row],[TIPIFICAÇÃO]]="EXT",OR(TB_Radiologia1[[#This Row],[TIPO DE OFERTA]]="SEMI-PRESENCIAL",TB_Radiologia1[[#This Row],[TIPO DE OFERTA]]="EAD 100%")),1),0)</f>
        <v>1</v>
      </c>
      <c r="V12" s="10" cm="1">
        <f t="array" ref="V12">ROUNDUP(IFERROR(_xlfn.IFS(TB_Radiologia1[[#This Row],[TIPIFICAÇÃO]]="ON.A",0,TB_Radiologia1[[#This Row],[TIPIFICAÇÃO]]="PR",0,TB_Radiologia1[[#This Row],[TIPIFICAÇÃO]]="HB",TB_Radiologia1[[#This Row],[CH ONLINE]],TB_Radiologia1[[#This Row],[TIPIFICAÇÃO]]="ON.S",0,AND(TB_Radiologia1[[#This Row],[TIPIFICAÇÃO]]="EXT",TB_Radiologia1[[#This Row],[TIPO DE OFERTA]]="PRESENCIAL"),TB_Radiologia1[[#This Row],[CRÉDITOS]]-TB_Radiologia1[[#This Row],[CRÉDITOS PAGO PROFESSOR]])/Cursos!$E$3,0),0)</f>
        <v>0</v>
      </c>
      <c r="W12" s="13" t="s">
        <v>77</v>
      </c>
      <c r="X12" s="10"/>
      <c r="Y12" s="10"/>
      <c r="Z12" s="10"/>
      <c r="AA12" s="10"/>
      <c r="AB12" s="10"/>
    </row>
    <row r="13" spans="2:28" x14ac:dyDescent="0.25">
      <c r="B13" s="7" t="str">
        <f t="shared" si="0"/>
        <v>RADIOLOGIA</v>
      </c>
      <c r="C13" s="7" t="s">
        <v>73</v>
      </c>
      <c r="D13" s="81">
        <v>5</v>
      </c>
      <c r="E13" s="77" t="s">
        <v>86</v>
      </c>
      <c r="F13" s="43" t="s">
        <v>87</v>
      </c>
      <c r="G13" s="80">
        <f>SUM(TB_Radiologia1[[#This Row],[CH TEÓRICA]:[CH ONLINE]])</f>
        <v>49</v>
      </c>
      <c r="H13" s="77" t="s">
        <v>80</v>
      </c>
      <c r="I13" s="81">
        <v>49</v>
      </c>
      <c r="J13" s="81">
        <v>0</v>
      </c>
      <c r="K13" s="81">
        <v>0</v>
      </c>
      <c r="L13" s="81">
        <v>0</v>
      </c>
      <c r="M13" s="81">
        <v>0</v>
      </c>
      <c r="N13" s="81" t="s">
        <v>8</v>
      </c>
      <c r="O13" s="42">
        <f>ROUNDUP(TB_Radiologia1[[#This Row],[CH TOTAL]]/Cursos!$E$3,0)</f>
        <v>3</v>
      </c>
      <c r="P13" s="52" cm="1">
        <f t="array" ref="P13">IF(AND(TB_Radiologia1[[#This Row],[TIPIFICAÇÃO]]="TCC",TB_Radiologia1[[#This Row],[TIPO DE OFERTA]]="PRESENCIAL"),SUM(TB_Radiologia1[[#This Row],[CH TEÓRICA]:[CH PRÁTICA]]/66),IF(TB_Radiologia1[[#This Row],[TIPIFICAÇÃO]]="EST",1,IF(AND(IF(OR(TB_Radiologia1[[#This Row],[TIPIFICAÇÃO]]="HB",TB_Radiologia1[[#This Row],[TIPIFICAÇÃO]]="PR"),SUM(TB_Radiologia1[[#This Row],[CH TEÓRICA]:[CH PRÁTICA]])/66,IF(TB_Radiologia1[[#This Row],[TIPIFICAÇÃO]]="EXT",0.5,0))&gt;0.6,IF(OR(TB_Radiologia1[[#This Row],[TIPIFICAÇÃO]]="HB",TB_Radiologia1[[#This Row],[TIPIFICAÇÃO]]="PR"),SUM(TB_Radiologia1[[#This Row],[CH TEÓRICA]:[CH PRÁTICA]])/66,IF(TB_Radiologia1[[#This Row],[TIPIFICAÇÃO]]="EXT",0.5,0))&lt;0.8),1,IF(OR(TB_Radiologia1[[#This Row],[TIPIFICAÇÃO]]="HB",TB_Radiologia1[[#This Row],[TIPIFICAÇÃO]]="PR"),SUM(TB_Radiologia1[[#This Row],[CH TEÓRICA]:[CH PRÁTICA]])/66,IF(TB_Radiologia1[[#This Row],[TIPIFICAÇÃO]]="EXT",0.5,0)))))</f>
        <v>1</v>
      </c>
      <c r="Q13" s="44"/>
      <c r="R13" s="12" t="s">
        <v>68</v>
      </c>
      <c r="S13" s="10" cm="1">
        <f t="array" ref="S13">ROUNDUP(IFERROR(_xlfn.IFS(TB_Radiologia1[[#This Row],[TIPIFICAÇÃO]]="ON.A",0,AND(TB_Radiologia1[[#This Row],[TIPIFICAÇÃO]]="EST",TB_Radiologia1[[#This Row],[TIPO DE OFERTA]]="PRESENCIAL"),0,AND(TB_Radiologia1[[#This Row],[TIPIFICAÇÃO]]="PR",OR(TB_Radiologia1[[#This Row],[TIPO DE OFERTA]]="PRESENCIAL",TB_Radiologia1[[#This Row],[TIPO DE OFERTA]]="SEMI-PRESENCIAL")),TB_Radiologia1[[#This Row],[CH TEÓRICA]]+TB_Radiologia1[[#This Row],[CH PRÁTICA]],AND(TB_Radiologia1[[#This Row],[TIPIFICAÇÃO]]="HB",TB_Radiologia1[[#This Row],[TIPO DE OFERTA]]="PRESENCIAL"),TB_Radiologia1[[#This Row],[CH TEÓRICA]]+TB_Radiologia1[[#This Row],[CH PRÁTICA]],AND(TB_Radiologia1[[#This Row],[TIPIFICAÇÃO]]="EXT",OR(TB_Radiologia1[[#This Row],[TIPO DE OFERTA]]="PRESENCIAL",TB_Radiologia1[[#This Row],[TIPO DE OFERTA]]="SEMI-PRESENCIAL")),33,AND(TB_Radiologia1[[#This Row],[TIPIFICAÇÃO]]="TCC",TB_Radiologia1[[#This Row],[TIPO DE OFERTA]]="PRESENCIAL"),SUM(TB_Radiologia1[[#This Row],[CH TEÓRICA]],TB_Radiologia1[[#This Row],[CH PRÁTICA]]))/Cursos!$E$3,0),0)</f>
        <v>3</v>
      </c>
      <c r="T13" s="10">
        <f>IF(TB_Radiologia1[[#This Row],[TIPIFICAÇÃO]]="ON.S",ROUNDUP(TB_Radiologia1[[#This Row],[CH TEÓRICA]]/Cursos!$E$3,0),0)</f>
        <v>0</v>
      </c>
      <c r="U13" s="10" cm="1">
        <f t="array" ref="U13">IFERROR(_xlfn.IFS(TB_Radiologia1[[#This Row],[TIPIFICAÇÃO]]="ON.A",1,TB_Radiologia1[[#This Row],[TIPIFICAÇÃO]]="PR",0,TB_Radiologia1[[#This Row],[TIPIFICAÇÃO]]="HB",0,AND(TB_Radiologia1[[#This Row],[TIPIFICAÇÃO]]="EXT",OR(TB_Radiologia1[[#This Row],[TIPO DE OFERTA]]="SEMI-PRESENCIAL",TB_Radiologia1[[#This Row],[TIPO DE OFERTA]]="EAD 100%")),1),0)</f>
        <v>0</v>
      </c>
      <c r="V13" s="10" cm="1">
        <f t="array" ref="V13">ROUNDUP(IFERROR(_xlfn.IFS(TB_Radiologia1[[#This Row],[TIPIFICAÇÃO]]="ON.A",0,TB_Radiologia1[[#This Row],[TIPIFICAÇÃO]]="PR",0,TB_Radiologia1[[#This Row],[TIPIFICAÇÃO]]="HB",TB_Radiologia1[[#This Row],[CH ONLINE]],TB_Radiologia1[[#This Row],[TIPIFICAÇÃO]]="ON.S",0,AND(TB_Radiologia1[[#This Row],[TIPIFICAÇÃO]]="EXT",TB_Radiologia1[[#This Row],[TIPO DE OFERTA]]="PRESENCIAL"),TB_Radiologia1[[#This Row],[CRÉDITOS]]-TB_Radiologia1[[#This Row],[CRÉDITOS PAGO PROFESSOR]])/Cursos!$E$3,0),0)</f>
        <v>0</v>
      </c>
      <c r="W13" s="13" t="s">
        <v>77</v>
      </c>
      <c r="X13" s="10"/>
      <c r="Y13" s="10"/>
      <c r="Z13" s="10"/>
      <c r="AA13" s="10"/>
      <c r="AB13" s="10"/>
    </row>
    <row r="14" spans="2:28" x14ac:dyDescent="0.25">
      <c r="B14" s="7" t="str">
        <f>$J$2</f>
        <v>RADIOLOGIA</v>
      </c>
      <c r="C14" s="7" t="s">
        <v>73</v>
      </c>
      <c r="D14" s="81">
        <v>6</v>
      </c>
      <c r="E14" s="77" t="s">
        <v>88</v>
      </c>
      <c r="F14" s="45" t="s">
        <v>89</v>
      </c>
      <c r="G14" s="80">
        <f>SUM(TB_Radiologia1[[#This Row],[CH TEÓRICA]:[CH ONLINE]])</f>
        <v>80</v>
      </c>
      <c r="H14" s="77" t="s">
        <v>90</v>
      </c>
      <c r="I14" s="81">
        <v>0</v>
      </c>
      <c r="J14" s="81">
        <v>0</v>
      </c>
      <c r="K14" s="81">
        <v>0</v>
      </c>
      <c r="L14" s="81">
        <v>80</v>
      </c>
      <c r="M14" s="81">
        <v>0</v>
      </c>
      <c r="N14" s="81" t="s">
        <v>12</v>
      </c>
      <c r="O14" s="42">
        <f>ROUNDUP(TB_Radiologia1[[#This Row],[CH TOTAL]]/Cursos!$E$3,0)</f>
        <v>5</v>
      </c>
      <c r="P14" s="52" cm="1">
        <f t="array" ref="P14">IF(AND(TB_Radiologia1[[#This Row],[TIPIFICAÇÃO]]="TCC",TB_Radiologia1[[#This Row],[TIPO DE OFERTA]]="PRESENCIAL"),SUM(TB_Radiologia1[[#This Row],[CH TEÓRICA]:[CH PRÁTICA]]/66),IF(TB_Radiologia1[[#This Row],[TIPIFICAÇÃO]]="EST",1,IF(AND(IF(OR(TB_Radiologia1[[#This Row],[TIPIFICAÇÃO]]="HB",TB_Radiologia1[[#This Row],[TIPIFICAÇÃO]]="PR"),SUM(TB_Radiologia1[[#This Row],[CH TEÓRICA]:[CH PRÁTICA]])/66,IF(TB_Radiologia1[[#This Row],[TIPIFICAÇÃO]]="EXT",0.5,0))&gt;0.6,IF(OR(TB_Radiologia1[[#This Row],[TIPIFICAÇÃO]]="HB",TB_Radiologia1[[#This Row],[TIPIFICAÇÃO]]="PR"),SUM(TB_Radiologia1[[#This Row],[CH TEÓRICA]:[CH PRÁTICA]])/66,IF(TB_Radiologia1[[#This Row],[TIPIFICAÇÃO]]="EXT",0.5,0))&lt;0.8),1,IF(OR(TB_Radiologia1[[#This Row],[TIPIFICAÇÃO]]="HB",TB_Radiologia1[[#This Row],[TIPIFICAÇÃO]]="PR"),SUM(TB_Radiologia1[[#This Row],[CH TEÓRICA]:[CH PRÁTICA]])/66,IF(TB_Radiologia1[[#This Row],[TIPIFICAÇÃO]]="EXT",0.5,0)))))</f>
        <v>0.5</v>
      </c>
      <c r="Q14" s="44"/>
      <c r="R14" s="12"/>
      <c r="S14" s="10" cm="1">
        <f t="array" ref="S14">ROUNDUP(IFERROR(_xlfn.IFS(TB_Radiologia1[[#This Row],[TIPIFICAÇÃO]]="ON.A",0,AND(TB_Radiologia1[[#This Row],[TIPIFICAÇÃO]]="EST",TB_Radiologia1[[#This Row],[TIPO DE OFERTA]]="PRESENCIAL"),0,AND(TB_Radiologia1[[#This Row],[TIPIFICAÇÃO]]="PR",OR(TB_Radiologia1[[#This Row],[TIPO DE OFERTA]]="PRESENCIAL",TB_Radiologia1[[#This Row],[TIPO DE OFERTA]]="SEMI-PRESENCIAL")),TB_Radiologia1[[#This Row],[CH TEÓRICA]]+TB_Radiologia1[[#This Row],[CH PRÁTICA]],AND(TB_Radiologia1[[#This Row],[TIPIFICAÇÃO]]="HB",TB_Radiologia1[[#This Row],[TIPO DE OFERTA]]="PRESENCIAL"),TB_Radiologia1[[#This Row],[CH TEÓRICA]]+TB_Radiologia1[[#This Row],[CH PRÁTICA]],AND(TB_Radiologia1[[#This Row],[TIPIFICAÇÃO]]="EXT",OR(TB_Radiologia1[[#This Row],[TIPO DE OFERTA]]="PRESENCIAL",TB_Radiologia1[[#This Row],[TIPO DE OFERTA]]="SEMI-PRESENCIAL")),33,AND(TB_Radiologia1[[#This Row],[TIPIFICAÇÃO]]="TCC",TB_Radiologia1[[#This Row],[TIPO DE OFERTA]]="PRESENCIAL"),SUM(TB_Radiologia1[[#This Row],[CH TEÓRICA]],TB_Radiologia1[[#This Row],[CH PRÁTICA]]))/Cursos!$E$3,0),0)</f>
        <v>0</v>
      </c>
      <c r="T14" s="10">
        <f>IF(TB_Radiologia1[[#This Row],[TIPIFICAÇÃO]]="ON.S",ROUNDUP(TB_Radiologia1[[#This Row],[CH TEÓRICA]]/Cursos!$E$3,0),0)</f>
        <v>0</v>
      </c>
      <c r="U14" s="10" cm="1">
        <f t="array" ref="U14">IFERROR(_xlfn.IFS(TB_Radiologia1[[#This Row],[TIPIFICAÇÃO]]="ON.A",1,TB_Radiologia1[[#This Row],[TIPIFICAÇÃO]]="PR",0,TB_Radiologia1[[#This Row],[TIPIFICAÇÃO]]="HB",0,AND(TB_Radiologia1[[#This Row],[TIPIFICAÇÃO]]="EXT",OR(TB_Radiologia1[[#This Row],[TIPO DE OFERTA]]="SEMI-PRESENCIAL",TB_Radiologia1[[#This Row],[TIPO DE OFERTA]]="EAD 100%")),1),0)</f>
        <v>0</v>
      </c>
      <c r="V14" s="10" cm="1">
        <f t="array" ref="V14">ROUNDUP(IFERROR(_xlfn.IFS(TB_Radiologia1[[#This Row],[TIPIFICAÇÃO]]="ON.A",0,TB_Radiologia1[[#This Row],[TIPIFICAÇÃO]]="PR",0,TB_Radiologia1[[#This Row],[TIPIFICAÇÃO]]="HB",TB_Radiologia1[[#This Row],[CH ONLINE]],TB_Radiologia1[[#This Row],[TIPIFICAÇÃO]]="ON.S",0,AND(TB_Radiologia1[[#This Row],[TIPIFICAÇÃO]]="EXT",TB_Radiologia1[[#This Row],[TIPO DE OFERTA]]="PRESENCIAL"),TB_Radiologia1[[#This Row],[CRÉDITOS]]-TB_Radiologia1[[#This Row],[CRÉDITOS PAGO PROFESSOR]])/Cursos!$E$3,0),0)</f>
        <v>0</v>
      </c>
      <c r="W14" s="13"/>
      <c r="X14" s="10"/>
      <c r="Y14" s="10"/>
      <c r="Z14" s="10"/>
      <c r="AA14" s="10"/>
      <c r="AB14" s="10"/>
    </row>
    <row r="15" spans="2:28" x14ac:dyDescent="0.25">
      <c r="B15" s="7" t="str">
        <f>$J$2</f>
        <v>RADIOLOGIA</v>
      </c>
      <c r="C15" s="7" t="s">
        <v>73</v>
      </c>
      <c r="D15" s="81">
        <v>7</v>
      </c>
      <c r="E15" s="78" t="s">
        <v>91</v>
      </c>
      <c r="F15" s="45" t="s">
        <v>92</v>
      </c>
      <c r="G15" s="80">
        <f>SUM(TB_Radiologia1[[#This Row],[CH TEÓRICA]:[CH ONLINE]])</f>
        <v>66</v>
      </c>
      <c r="H15" s="78" t="s">
        <v>93</v>
      </c>
      <c r="I15" s="82">
        <v>0</v>
      </c>
      <c r="J15" s="81">
        <v>0</v>
      </c>
      <c r="K15" s="81">
        <v>0</v>
      </c>
      <c r="L15" s="81">
        <v>0</v>
      </c>
      <c r="M15" s="82">
        <v>66</v>
      </c>
      <c r="N15" s="82" t="s">
        <v>4</v>
      </c>
      <c r="O15" s="42">
        <f>ROUNDUP(TB_Radiologia1[[#This Row],[CH TOTAL]]/Cursos!$E$3,0)</f>
        <v>4</v>
      </c>
      <c r="P15" s="52" cm="1">
        <f t="array" ref="P15">IF(AND(TB_Radiologia1[[#This Row],[TIPIFICAÇÃO]]="TCC",TB_Radiologia1[[#This Row],[TIPO DE OFERTA]]="PRESENCIAL"),SUM(TB_Radiologia1[[#This Row],[CH TEÓRICA]:[CH PRÁTICA]]/66),IF(TB_Radiologia1[[#This Row],[TIPIFICAÇÃO]]="EST",1,IF(AND(IF(OR(TB_Radiologia1[[#This Row],[TIPIFICAÇÃO]]="HB",TB_Radiologia1[[#This Row],[TIPIFICAÇÃO]]="PR"),SUM(TB_Radiologia1[[#This Row],[CH TEÓRICA]:[CH PRÁTICA]])/66,IF(TB_Radiologia1[[#This Row],[TIPIFICAÇÃO]]="EXT",0.5,0))&gt;0.6,IF(OR(TB_Radiologia1[[#This Row],[TIPIFICAÇÃO]]="HB",TB_Radiologia1[[#This Row],[TIPIFICAÇÃO]]="PR"),SUM(TB_Radiologia1[[#This Row],[CH TEÓRICA]:[CH PRÁTICA]])/66,IF(TB_Radiologia1[[#This Row],[TIPIFICAÇÃO]]="EXT",0.5,0))&lt;0.8),1,IF(OR(TB_Radiologia1[[#This Row],[TIPIFICAÇÃO]]="HB",TB_Radiologia1[[#This Row],[TIPIFICAÇÃO]]="PR"),SUM(TB_Radiologia1[[#This Row],[CH TEÓRICA]:[CH PRÁTICA]])/66,IF(TB_Radiologia1[[#This Row],[TIPIFICAÇÃO]]="EXT",0.5,0)))))</f>
        <v>0</v>
      </c>
      <c r="Q15" s="44"/>
      <c r="R15" s="12"/>
      <c r="S15" s="10" cm="1">
        <f t="array" ref="S15">ROUNDUP(IFERROR(_xlfn.IFS(TB_Radiologia1[[#This Row],[TIPIFICAÇÃO]]="ON.A",0,AND(TB_Radiologia1[[#This Row],[TIPIFICAÇÃO]]="EST",TB_Radiologia1[[#This Row],[TIPO DE OFERTA]]="PRESENCIAL"),0,AND(TB_Radiologia1[[#This Row],[TIPIFICAÇÃO]]="PR",OR(TB_Radiologia1[[#This Row],[TIPO DE OFERTA]]="PRESENCIAL",TB_Radiologia1[[#This Row],[TIPO DE OFERTA]]="SEMI-PRESENCIAL")),TB_Radiologia1[[#This Row],[CH TEÓRICA]]+TB_Radiologia1[[#This Row],[CH PRÁTICA]],AND(TB_Radiologia1[[#This Row],[TIPIFICAÇÃO]]="HB",TB_Radiologia1[[#This Row],[TIPO DE OFERTA]]="PRESENCIAL"),TB_Radiologia1[[#This Row],[CH TEÓRICA]]+TB_Radiologia1[[#This Row],[CH PRÁTICA]],AND(TB_Radiologia1[[#This Row],[TIPIFICAÇÃO]]="EXT",OR(TB_Radiologia1[[#This Row],[TIPO DE OFERTA]]="PRESENCIAL",TB_Radiologia1[[#This Row],[TIPO DE OFERTA]]="SEMI-PRESENCIAL")),33,AND(TB_Radiologia1[[#This Row],[TIPIFICAÇÃO]]="TCC",TB_Radiologia1[[#This Row],[TIPO DE OFERTA]]="PRESENCIAL"),SUM(TB_Radiologia1[[#This Row],[CH TEÓRICA]],TB_Radiologia1[[#This Row],[CH PRÁTICA]]))/Cursos!$E$3,0),0)</f>
        <v>0</v>
      </c>
      <c r="T15" s="10">
        <f>IF(TB_Radiologia1[[#This Row],[TIPIFICAÇÃO]]="ON.S",ROUNDUP(TB_Radiologia1[[#This Row],[CH TEÓRICA]]/Cursos!$E$3,0),0)</f>
        <v>0</v>
      </c>
      <c r="U15" s="10" cm="1">
        <f t="array" ref="U15">IFERROR(_xlfn.IFS(TB_Radiologia1[[#This Row],[TIPIFICAÇÃO]]="ON.A",1,TB_Radiologia1[[#This Row],[TIPIFICAÇÃO]]="PR",0,TB_Radiologia1[[#This Row],[TIPIFICAÇÃO]]="HB",0,AND(TB_Radiologia1[[#This Row],[TIPIFICAÇÃO]]="EXT",OR(TB_Radiologia1[[#This Row],[TIPO DE OFERTA]]="SEMI-PRESENCIAL",TB_Radiologia1[[#This Row],[TIPO DE OFERTA]]="EAD 100%")),1),0)</f>
        <v>1</v>
      </c>
      <c r="V15" s="10" cm="1">
        <f t="array" ref="V15">ROUNDUP(IFERROR(_xlfn.IFS(TB_Radiologia1[[#This Row],[TIPIFICAÇÃO]]="ON.A",0,TB_Radiologia1[[#This Row],[TIPIFICAÇÃO]]="PR",0,TB_Radiologia1[[#This Row],[TIPIFICAÇÃO]]="HB",TB_Radiologia1[[#This Row],[CH ONLINE]],TB_Radiologia1[[#This Row],[TIPIFICAÇÃO]]="ON.S",0,AND(TB_Radiologia1[[#This Row],[TIPIFICAÇÃO]]="EXT",TB_Radiologia1[[#This Row],[TIPO DE OFERTA]]="PRESENCIAL"),TB_Radiologia1[[#This Row],[CRÉDITOS]]-TB_Radiologia1[[#This Row],[CRÉDITOS PAGO PROFESSOR]])/Cursos!$E$3,0),0)</f>
        <v>0</v>
      </c>
      <c r="W15" s="13"/>
      <c r="X15" s="10"/>
      <c r="Y15" s="10"/>
      <c r="Z15" s="10"/>
      <c r="AA15" s="10"/>
      <c r="AB15" s="10"/>
    </row>
    <row r="16" spans="2:28" x14ac:dyDescent="0.25">
      <c r="B16" s="7" t="str">
        <f t="shared" si="0"/>
        <v>RADIOLOGIA</v>
      </c>
      <c r="C16" s="7" t="s">
        <v>73</v>
      </c>
      <c r="D16" s="81">
        <v>8</v>
      </c>
      <c r="E16" s="79" t="s">
        <v>94</v>
      </c>
      <c r="F16" s="21" t="s">
        <v>95</v>
      </c>
      <c r="G16" s="80">
        <f>SUM(TB_Radiologia1[[#This Row],[CH TEÓRICA]:[CH ONLINE]])</f>
        <v>33</v>
      </c>
      <c r="H16" s="79" t="s">
        <v>80</v>
      </c>
      <c r="I16" s="46">
        <v>33</v>
      </c>
      <c r="J16" s="80">
        <v>0</v>
      </c>
      <c r="K16" s="80">
        <v>0</v>
      </c>
      <c r="L16" s="80">
        <v>0</v>
      </c>
      <c r="M16" s="46">
        <v>0</v>
      </c>
      <c r="N16" s="46" t="s">
        <v>10</v>
      </c>
      <c r="O16" s="42">
        <f>ROUNDUP(TB_Radiologia1[[#This Row],[CH TOTAL]]/Cursos!$E$3,0)</f>
        <v>2</v>
      </c>
      <c r="P16" s="52" cm="1">
        <f t="array" ref="P16">IF(AND(TB_Radiologia1[[#This Row],[TIPIFICAÇÃO]]="TCC",TB_Radiologia1[[#This Row],[TIPO DE OFERTA]]="PRESENCIAL"),SUM(TB_Radiologia1[[#This Row],[CH TEÓRICA]:[CH PRÁTICA]]/66),IF(TB_Radiologia1[[#This Row],[TIPIFICAÇÃO]]="EST",1,IF(AND(IF(OR(TB_Radiologia1[[#This Row],[TIPIFICAÇÃO]]="HB",TB_Radiologia1[[#This Row],[TIPIFICAÇÃO]]="PR"),SUM(TB_Radiologia1[[#This Row],[CH TEÓRICA]:[CH PRÁTICA]])/66,IF(TB_Radiologia1[[#This Row],[TIPIFICAÇÃO]]="EXT",0.5,0))&gt;0.6,IF(OR(TB_Radiologia1[[#This Row],[TIPIFICAÇÃO]]="HB",TB_Radiologia1[[#This Row],[TIPIFICAÇÃO]]="PR"),SUM(TB_Radiologia1[[#This Row],[CH TEÓRICA]:[CH PRÁTICA]])/66,IF(TB_Radiologia1[[#This Row],[TIPIFICAÇÃO]]="EXT",0.5,0))&lt;0.8),1,IF(OR(TB_Radiologia1[[#This Row],[TIPIFICAÇÃO]]="HB",TB_Radiologia1[[#This Row],[TIPIFICAÇÃO]]="PR"),SUM(TB_Radiologia1[[#This Row],[CH TEÓRICA]:[CH PRÁTICA]])/66,IF(TB_Radiologia1[[#This Row],[TIPIFICAÇÃO]]="EXT",0.5,0)))))</f>
        <v>0.5</v>
      </c>
      <c r="Q16" s="44"/>
      <c r="R16" s="12" t="s">
        <v>68</v>
      </c>
      <c r="S16" s="10" cm="1">
        <f t="array" ref="S16">ROUNDUP(IFERROR(_xlfn.IFS(TB_Radiologia1[[#This Row],[TIPIFICAÇÃO]]="ON.A",0,AND(TB_Radiologia1[[#This Row],[TIPIFICAÇÃO]]="EST",TB_Radiologia1[[#This Row],[TIPO DE OFERTA]]="PRESENCIAL"),0,AND(TB_Radiologia1[[#This Row],[TIPIFICAÇÃO]]="PR",OR(TB_Radiologia1[[#This Row],[TIPO DE OFERTA]]="PRESENCIAL",TB_Radiologia1[[#This Row],[TIPO DE OFERTA]]="SEMI-PRESENCIAL")),TB_Radiologia1[[#This Row],[CH TEÓRICA]]+TB_Radiologia1[[#This Row],[CH PRÁTICA]],AND(TB_Radiologia1[[#This Row],[TIPIFICAÇÃO]]="HB",TB_Radiologia1[[#This Row],[TIPO DE OFERTA]]="PRESENCIAL"),TB_Radiologia1[[#This Row],[CH TEÓRICA]]+TB_Radiologia1[[#This Row],[CH PRÁTICA]],AND(TB_Radiologia1[[#This Row],[TIPIFICAÇÃO]]="EXT",OR(TB_Radiologia1[[#This Row],[TIPO DE OFERTA]]="PRESENCIAL",TB_Radiologia1[[#This Row],[TIPO DE OFERTA]]="SEMI-PRESENCIAL")),33,AND(TB_Radiologia1[[#This Row],[TIPIFICAÇÃO]]="TCC",TB_Radiologia1[[#This Row],[TIPO DE OFERTA]]="PRESENCIAL"),SUM(TB_Radiologia1[[#This Row],[CH TEÓRICA]],TB_Radiologia1[[#This Row],[CH PRÁTICA]]))/Cursos!$E$3,0),0)</f>
        <v>2</v>
      </c>
      <c r="T16" s="10">
        <f>IF(TB_Radiologia1[[#This Row],[TIPIFICAÇÃO]]="ON.S",ROUNDUP(TB_Radiologia1[[#This Row],[CH TEÓRICA]]/Cursos!$E$3,0),0)</f>
        <v>0</v>
      </c>
      <c r="U16" s="10" cm="1">
        <f t="array" ref="U16">IFERROR(_xlfn.IFS(TB_Radiologia1[[#This Row],[TIPIFICAÇÃO]]="ON.A",1,TB_Radiologia1[[#This Row],[TIPIFICAÇÃO]]="PR",0,TB_Radiologia1[[#This Row],[TIPIFICAÇÃO]]="HB",0,AND(TB_Radiologia1[[#This Row],[TIPIFICAÇÃO]]="EXT",OR(TB_Radiologia1[[#This Row],[TIPO DE OFERTA]]="SEMI-PRESENCIAL",TB_Radiologia1[[#This Row],[TIPO DE OFERTA]]="EAD 100%")),1),0)</f>
        <v>0</v>
      </c>
      <c r="V16" s="10" cm="1">
        <f t="array" ref="V16">ROUNDUP(IFERROR(_xlfn.IFS(TB_Radiologia1[[#This Row],[TIPIFICAÇÃO]]="ON.A",0,TB_Radiologia1[[#This Row],[TIPIFICAÇÃO]]="PR",0,TB_Radiologia1[[#This Row],[TIPIFICAÇÃO]]="HB",TB_Radiologia1[[#This Row],[CH ONLINE]],TB_Radiologia1[[#This Row],[TIPIFICAÇÃO]]="ON.S",0,AND(TB_Radiologia1[[#This Row],[TIPIFICAÇÃO]]="EXT",TB_Radiologia1[[#This Row],[TIPO DE OFERTA]]="PRESENCIAL"),TB_Radiologia1[[#This Row],[CRÉDITOS]]-TB_Radiologia1[[#This Row],[CRÉDITOS PAGO PROFESSOR]])/Cursos!$E$3,0),0)</f>
        <v>0</v>
      </c>
      <c r="W16" s="13" t="s">
        <v>77</v>
      </c>
      <c r="X16" s="10"/>
      <c r="Y16" s="10"/>
      <c r="Z16" s="10"/>
      <c r="AA16" s="10"/>
      <c r="AB16" s="10"/>
    </row>
    <row r="17" spans="2:28" s="72" customFormat="1" x14ac:dyDescent="0.25">
      <c r="B17" s="65"/>
      <c r="C17" s="65" t="s">
        <v>96</v>
      </c>
      <c r="D17" s="66"/>
      <c r="E17" s="67"/>
      <c r="F17" s="68"/>
      <c r="G17" s="69">
        <f>SUBTOTAL(9,G9:G16)</f>
        <v>393</v>
      </c>
      <c r="H17" s="69"/>
      <c r="I17" s="69">
        <f t="shared" ref="I17:P17" si="1">SUBTOTAL(9,I9:I16)</f>
        <v>115</v>
      </c>
      <c r="J17" s="69">
        <f t="shared" si="1"/>
        <v>0</v>
      </c>
      <c r="K17" s="69">
        <f t="shared" si="1"/>
        <v>0</v>
      </c>
      <c r="L17" s="69">
        <f t="shared" si="1"/>
        <v>80</v>
      </c>
      <c r="M17" s="69">
        <f t="shared" si="1"/>
        <v>198</v>
      </c>
      <c r="N17" s="69"/>
      <c r="O17" s="69">
        <f t="shared" si="1"/>
        <v>24</v>
      </c>
      <c r="P17" s="69">
        <f t="shared" si="1"/>
        <v>2.5</v>
      </c>
      <c r="Q17" s="70"/>
      <c r="R17" s="12" t="s">
        <v>68</v>
      </c>
      <c r="S17" s="10" cm="1">
        <f t="array" ref="S17">ROUNDUP(IFERROR(_xlfn.IFS(TB_Radiologia1[[#This Row],[TIPIFICAÇÃO]]="ON.A",0,AND(TB_Radiologia1[[#This Row],[TIPIFICAÇÃO]]="EST",TB_Radiologia1[[#This Row],[TIPO DE OFERTA]]="PRESENCIAL"),0,AND(TB_Radiologia1[[#This Row],[TIPIFICAÇÃO]]="PR",OR(TB_Radiologia1[[#This Row],[TIPO DE OFERTA]]="PRESENCIAL",TB_Radiologia1[[#This Row],[TIPO DE OFERTA]]="SEMI-PRESENCIAL")),TB_Radiologia1[[#This Row],[CH TEÓRICA]]+TB_Radiologia1[[#This Row],[CH PRÁTICA]],AND(TB_Radiologia1[[#This Row],[TIPIFICAÇÃO]]="HB",TB_Radiologia1[[#This Row],[TIPO DE OFERTA]]="PRESENCIAL"),TB_Radiologia1[[#This Row],[CH TEÓRICA]]+TB_Radiologia1[[#This Row],[CH PRÁTICA]],AND(TB_Radiologia1[[#This Row],[TIPIFICAÇÃO]]="EXT",OR(TB_Radiologia1[[#This Row],[TIPO DE OFERTA]]="PRESENCIAL",TB_Radiologia1[[#This Row],[TIPO DE OFERTA]]="SEMI-PRESENCIAL")),33,AND(TB_Radiologia1[[#This Row],[TIPIFICAÇÃO]]="TCC",TB_Radiologia1[[#This Row],[TIPO DE OFERTA]]="PRESENCIAL"),SUM(TB_Radiologia1[[#This Row],[CH TEÓRICA]],TB_Radiologia1[[#This Row],[CH PRÁTICA]]))/Cursos!$E$3,0),0)</f>
        <v>0</v>
      </c>
      <c r="T17" s="10">
        <f>IF(TB_Radiologia1[[#This Row],[TIPIFICAÇÃO]]="ON.S",ROUNDUP(TB_Radiologia1[[#This Row],[CH TEÓRICA]]/Cursos!$E$3,0),0)</f>
        <v>0</v>
      </c>
      <c r="U17" s="10" cm="1">
        <f t="array" ref="U17">IFERROR(_xlfn.IFS(TB_Radiologia1[[#This Row],[TIPIFICAÇÃO]]="ON.A",1,TB_Radiologia1[[#This Row],[TIPIFICAÇÃO]]="PR",0,TB_Radiologia1[[#This Row],[TIPIFICAÇÃO]]="HB",0,AND(TB_Radiologia1[[#This Row],[TIPIFICAÇÃO]]="EXT",OR(TB_Radiologia1[[#This Row],[TIPO DE OFERTA]]="SEMI-PRESENCIAL",TB_Radiologia1[[#This Row],[TIPO DE OFERTA]]="EAD 100%")),1),0)</f>
        <v>0</v>
      </c>
      <c r="V17" s="10" cm="1">
        <f t="array" ref="V17">ROUNDUP(IFERROR(_xlfn.IFS(TB_Radiologia1[[#This Row],[TIPIFICAÇÃO]]="ON.A",0,TB_Radiologia1[[#This Row],[TIPIFICAÇÃO]]="PR",0,TB_Radiologia1[[#This Row],[TIPIFICAÇÃO]]="HB",TB_Radiologia1[[#This Row],[CH ONLINE]],TB_Radiologia1[[#This Row],[TIPIFICAÇÃO]]="ON.S",0,AND(TB_Radiologia1[[#This Row],[TIPIFICAÇÃO]]="EXT",TB_Radiologia1[[#This Row],[TIPO DE OFERTA]]="PRESENCIAL"),TB_Radiologia1[[#This Row],[CRÉDITOS]]-TB_Radiologia1[[#This Row],[CRÉDITOS PAGO PROFESSOR]])/Cursos!$E$3,0),0)</f>
        <v>0</v>
      </c>
      <c r="W17" s="13" t="s">
        <v>77</v>
      </c>
      <c r="X17" s="71"/>
      <c r="Y17" s="71"/>
      <c r="Z17" s="71"/>
      <c r="AA17" s="71"/>
      <c r="AB17" s="71"/>
    </row>
    <row r="18" spans="2:28" x14ac:dyDescent="0.25">
      <c r="B18" s="7" t="str">
        <f t="shared" si="0"/>
        <v>RADIOLOGIA</v>
      </c>
      <c r="C18" s="42" t="s">
        <v>97</v>
      </c>
      <c r="D18" s="46">
        <v>1</v>
      </c>
      <c r="E18" s="83" t="s">
        <v>98</v>
      </c>
      <c r="F18" s="45" t="s">
        <v>99</v>
      </c>
      <c r="G18" s="80">
        <f>SUM(TB_Radiologia1[[#This Row],[CH TEÓRICA]:[CH ONLINE]])</f>
        <v>66</v>
      </c>
      <c r="H18" s="79" t="s">
        <v>80</v>
      </c>
      <c r="I18" s="46">
        <v>33</v>
      </c>
      <c r="J18" s="46">
        <v>33</v>
      </c>
      <c r="K18" s="46">
        <v>0</v>
      </c>
      <c r="L18" s="46">
        <v>0</v>
      </c>
      <c r="M18" s="46">
        <v>0</v>
      </c>
      <c r="N18" s="46" t="s">
        <v>8</v>
      </c>
      <c r="O18" s="42">
        <f>ROUNDUP(TB_Radiologia1[[#This Row],[CH TOTAL]]/Cursos!$E$3,0)</f>
        <v>4</v>
      </c>
      <c r="P18" s="52" cm="1">
        <f t="array" ref="P18">IF(AND(TB_Radiologia1[[#This Row],[TIPIFICAÇÃO]]="TCC",TB_Radiologia1[[#This Row],[TIPO DE OFERTA]]="PRESENCIAL"),SUM(TB_Radiologia1[[#This Row],[CH TEÓRICA]:[CH PRÁTICA]]/66),IF(TB_Radiologia1[[#This Row],[TIPIFICAÇÃO]]="EST",1,IF(AND(IF(OR(TB_Radiologia1[[#This Row],[TIPIFICAÇÃO]]="HB",TB_Radiologia1[[#This Row],[TIPIFICAÇÃO]]="PR"),SUM(TB_Radiologia1[[#This Row],[CH TEÓRICA]:[CH PRÁTICA]])/66,IF(TB_Radiologia1[[#This Row],[TIPIFICAÇÃO]]="EXT",0.5,0))&gt;0.6,IF(OR(TB_Radiologia1[[#This Row],[TIPIFICAÇÃO]]="HB",TB_Radiologia1[[#This Row],[TIPIFICAÇÃO]]="PR"),SUM(TB_Radiologia1[[#This Row],[CH TEÓRICA]:[CH PRÁTICA]])/66,IF(TB_Radiologia1[[#This Row],[TIPIFICAÇÃO]]="EXT",0.5,0))&lt;0.8),1,IF(OR(TB_Radiologia1[[#This Row],[TIPIFICAÇÃO]]="HB",TB_Radiologia1[[#This Row],[TIPIFICAÇÃO]]="PR"),SUM(TB_Radiologia1[[#This Row],[CH TEÓRICA]:[CH PRÁTICA]])/66,IF(TB_Radiologia1[[#This Row],[TIPIFICAÇÃO]]="EXT",0.5,0)))))</f>
        <v>1</v>
      </c>
      <c r="Q18" s="44"/>
      <c r="R18" s="12" t="s">
        <v>68</v>
      </c>
      <c r="S18" s="10" cm="1">
        <f t="array" ref="S18">ROUNDUP(IFERROR(_xlfn.IFS(TB_Radiologia1[[#This Row],[TIPIFICAÇÃO]]="ON.A",0,AND(TB_Radiologia1[[#This Row],[TIPIFICAÇÃO]]="EST",TB_Radiologia1[[#This Row],[TIPO DE OFERTA]]="PRESENCIAL"),0,AND(TB_Radiologia1[[#This Row],[TIPIFICAÇÃO]]="PR",OR(TB_Radiologia1[[#This Row],[TIPO DE OFERTA]]="PRESENCIAL",TB_Radiologia1[[#This Row],[TIPO DE OFERTA]]="SEMI-PRESENCIAL")),TB_Radiologia1[[#This Row],[CH TEÓRICA]]+TB_Radiologia1[[#This Row],[CH PRÁTICA]],AND(TB_Radiologia1[[#This Row],[TIPIFICAÇÃO]]="HB",TB_Radiologia1[[#This Row],[TIPO DE OFERTA]]="PRESENCIAL"),TB_Radiologia1[[#This Row],[CH TEÓRICA]]+TB_Radiologia1[[#This Row],[CH PRÁTICA]],AND(TB_Radiologia1[[#This Row],[TIPIFICAÇÃO]]="EXT",OR(TB_Radiologia1[[#This Row],[TIPO DE OFERTA]]="PRESENCIAL",TB_Radiologia1[[#This Row],[TIPO DE OFERTA]]="SEMI-PRESENCIAL")),33,AND(TB_Radiologia1[[#This Row],[TIPIFICAÇÃO]]="TCC",TB_Radiologia1[[#This Row],[TIPO DE OFERTA]]="PRESENCIAL"),SUM(TB_Radiologia1[[#This Row],[CH TEÓRICA]],TB_Radiologia1[[#This Row],[CH PRÁTICA]]))/Cursos!$E$3,0),0)</f>
        <v>4</v>
      </c>
      <c r="T18" s="10">
        <f>IF(TB_Radiologia1[[#This Row],[TIPIFICAÇÃO]]="ON.S",ROUNDUP(TB_Radiologia1[[#This Row],[CH TEÓRICA]]/Cursos!$E$3,0),0)</f>
        <v>0</v>
      </c>
      <c r="U18" s="10" cm="1">
        <f t="array" ref="U18">IFERROR(_xlfn.IFS(TB_Radiologia1[[#This Row],[TIPIFICAÇÃO]]="ON.A",1,TB_Radiologia1[[#This Row],[TIPIFICAÇÃO]]="PR",0,TB_Radiologia1[[#This Row],[TIPIFICAÇÃO]]="HB",0,AND(TB_Radiologia1[[#This Row],[TIPIFICAÇÃO]]="EXT",OR(TB_Radiologia1[[#This Row],[TIPO DE OFERTA]]="SEMI-PRESENCIAL",TB_Radiologia1[[#This Row],[TIPO DE OFERTA]]="EAD 100%")),1),0)</f>
        <v>0</v>
      </c>
      <c r="V18" s="10" cm="1">
        <f t="array" ref="V18">ROUNDUP(IFERROR(_xlfn.IFS(TB_Radiologia1[[#This Row],[TIPIFICAÇÃO]]="ON.A",0,TB_Radiologia1[[#This Row],[TIPIFICAÇÃO]]="PR",0,TB_Radiologia1[[#This Row],[TIPIFICAÇÃO]]="HB",TB_Radiologia1[[#This Row],[CH ONLINE]],TB_Radiologia1[[#This Row],[TIPIFICAÇÃO]]="ON.S",0,AND(TB_Radiologia1[[#This Row],[TIPIFICAÇÃO]]="EXT",TB_Radiologia1[[#This Row],[TIPO DE OFERTA]]="PRESENCIAL"),TB_Radiologia1[[#This Row],[CRÉDITOS]]-TB_Radiologia1[[#This Row],[CRÉDITOS PAGO PROFESSOR]])/Cursos!$E$3,0),0)</f>
        <v>0</v>
      </c>
      <c r="W18" s="13" t="s">
        <v>77</v>
      </c>
      <c r="X18" s="10"/>
      <c r="Y18" s="10"/>
      <c r="Z18" s="10"/>
      <c r="AA18" s="10"/>
      <c r="AB18" s="10"/>
    </row>
    <row r="19" spans="2:28" x14ac:dyDescent="0.25">
      <c r="B19" s="7" t="str">
        <f t="shared" si="0"/>
        <v>RADIOLOGIA</v>
      </c>
      <c r="C19" s="42" t="s">
        <v>97</v>
      </c>
      <c r="D19" s="46">
        <v>2</v>
      </c>
      <c r="E19" s="83" t="s">
        <v>100</v>
      </c>
      <c r="F19" s="45" t="s">
        <v>101</v>
      </c>
      <c r="G19" s="80">
        <f>SUM(TB_Radiologia1[[#This Row],[CH TEÓRICA]:[CH ONLINE]])</f>
        <v>99</v>
      </c>
      <c r="H19" s="79" t="s">
        <v>80</v>
      </c>
      <c r="I19" s="46">
        <v>33</v>
      </c>
      <c r="J19" s="46">
        <v>33</v>
      </c>
      <c r="K19" s="46">
        <v>0</v>
      </c>
      <c r="L19" s="46">
        <v>0</v>
      </c>
      <c r="M19" s="46">
        <v>33</v>
      </c>
      <c r="N19" s="46" t="s">
        <v>10</v>
      </c>
      <c r="O19" s="42">
        <f>ROUNDUP(TB_Radiologia1[[#This Row],[CH TOTAL]]/Cursos!$E$3,0)</f>
        <v>6</v>
      </c>
      <c r="P19" s="52" cm="1">
        <f t="array" ref="P19">IF(AND(TB_Radiologia1[[#This Row],[TIPIFICAÇÃO]]="TCC",TB_Radiologia1[[#This Row],[TIPO DE OFERTA]]="PRESENCIAL"),SUM(TB_Radiologia1[[#This Row],[CH TEÓRICA]:[CH PRÁTICA]]/66),IF(TB_Radiologia1[[#This Row],[TIPIFICAÇÃO]]="EST",1,IF(AND(IF(OR(TB_Radiologia1[[#This Row],[TIPIFICAÇÃO]]="HB",TB_Radiologia1[[#This Row],[TIPIFICAÇÃO]]="PR"),SUM(TB_Radiologia1[[#This Row],[CH TEÓRICA]:[CH PRÁTICA]])/66,IF(TB_Radiologia1[[#This Row],[TIPIFICAÇÃO]]="EXT",0.5,0))&gt;0.6,IF(OR(TB_Radiologia1[[#This Row],[TIPIFICAÇÃO]]="HB",TB_Radiologia1[[#This Row],[TIPIFICAÇÃO]]="PR"),SUM(TB_Radiologia1[[#This Row],[CH TEÓRICA]:[CH PRÁTICA]])/66,IF(TB_Radiologia1[[#This Row],[TIPIFICAÇÃO]]="EXT",0.5,0))&lt;0.8),1,IF(OR(TB_Radiologia1[[#This Row],[TIPIFICAÇÃO]]="HB",TB_Radiologia1[[#This Row],[TIPIFICAÇÃO]]="PR"),SUM(TB_Radiologia1[[#This Row],[CH TEÓRICA]:[CH PRÁTICA]])/66,IF(TB_Radiologia1[[#This Row],[TIPIFICAÇÃO]]="EXT",0.5,0)))))</f>
        <v>1</v>
      </c>
      <c r="Q19" s="44"/>
      <c r="R19" s="12" t="s">
        <v>68</v>
      </c>
      <c r="S19" s="10" cm="1">
        <f t="array" ref="S19">ROUNDUP(IFERROR(_xlfn.IFS(TB_Radiologia1[[#This Row],[TIPIFICAÇÃO]]="ON.A",0,AND(TB_Radiologia1[[#This Row],[TIPIFICAÇÃO]]="EST",TB_Radiologia1[[#This Row],[TIPO DE OFERTA]]="PRESENCIAL"),0,AND(TB_Radiologia1[[#This Row],[TIPIFICAÇÃO]]="PR",OR(TB_Radiologia1[[#This Row],[TIPO DE OFERTA]]="PRESENCIAL",TB_Radiologia1[[#This Row],[TIPO DE OFERTA]]="SEMI-PRESENCIAL")),TB_Radiologia1[[#This Row],[CH TEÓRICA]]+TB_Radiologia1[[#This Row],[CH PRÁTICA]],AND(TB_Radiologia1[[#This Row],[TIPIFICAÇÃO]]="HB",TB_Radiologia1[[#This Row],[TIPO DE OFERTA]]="PRESENCIAL"),TB_Radiologia1[[#This Row],[CH TEÓRICA]]+TB_Radiologia1[[#This Row],[CH PRÁTICA]],AND(TB_Radiologia1[[#This Row],[TIPIFICAÇÃO]]="EXT",OR(TB_Radiologia1[[#This Row],[TIPO DE OFERTA]]="PRESENCIAL",TB_Radiologia1[[#This Row],[TIPO DE OFERTA]]="SEMI-PRESENCIAL")),33,AND(TB_Radiologia1[[#This Row],[TIPIFICAÇÃO]]="TCC",TB_Radiologia1[[#This Row],[TIPO DE OFERTA]]="PRESENCIAL"),SUM(TB_Radiologia1[[#This Row],[CH TEÓRICA]],TB_Radiologia1[[#This Row],[CH PRÁTICA]]))/Cursos!$E$3,0),0)</f>
        <v>4</v>
      </c>
      <c r="T19" s="10">
        <f>IF(TB_Radiologia1[[#This Row],[TIPIFICAÇÃO]]="ON.S",ROUNDUP(TB_Radiologia1[[#This Row],[CH TEÓRICA]]/Cursos!$E$3,0),0)</f>
        <v>0</v>
      </c>
      <c r="U19" s="10" cm="1">
        <f t="array" ref="U19">IFERROR(_xlfn.IFS(TB_Radiologia1[[#This Row],[TIPIFICAÇÃO]]="ON.A",1,TB_Radiologia1[[#This Row],[TIPIFICAÇÃO]]="PR",0,TB_Radiologia1[[#This Row],[TIPIFICAÇÃO]]="HB",0,AND(TB_Radiologia1[[#This Row],[TIPIFICAÇÃO]]="EXT",OR(TB_Radiologia1[[#This Row],[TIPO DE OFERTA]]="SEMI-PRESENCIAL",TB_Radiologia1[[#This Row],[TIPO DE OFERTA]]="EAD 100%")),1),0)</f>
        <v>0</v>
      </c>
      <c r="V19" s="10" cm="1">
        <f t="array" ref="V19">ROUNDUP(IFERROR(_xlfn.IFS(TB_Radiologia1[[#This Row],[TIPIFICAÇÃO]]="ON.A",0,TB_Radiologia1[[#This Row],[TIPIFICAÇÃO]]="PR",0,TB_Radiologia1[[#This Row],[TIPIFICAÇÃO]]="HB",TB_Radiologia1[[#This Row],[CH ONLINE]],TB_Radiologia1[[#This Row],[TIPIFICAÇÃO]]="ON.S",0,AND(TB_Radiologia1[[#This Row],[TIPIFICAÇÃO]]="EXT",TB_Radiologia1[[#This Row],[TIPO DE OFERTA]]="PRESENCIAL"),TB_Radiologia1[[#This Row],[CRÉDITOS]]-TB_Radiologia1[[#This Row],[CRÉDITOS PAGO PROFESSOR]])/Cursos!$E$3,0),0)</f>
        <v>2</v>
      </c>
      <c r="W19" s="13" t="s">
        <v>77</v>
      </c>
      <c r="X19" s="10"/>
      <c r="Y19" s="10"/>
      <c r="Z19" s="10"/>
      <c r="AA19" s="10"/>
      <c r="AB19" s="10"/>
    </row>
    <row r="20" spans="2:28" x14ac:dyDescent="0.25">
      <c r="B20" s="7" t="str">
        <f t="shared" si="0"/>
        <v>RADIOLOGIA</v>
      </c>
      <c r="C20" s="42" t="s">
        <v>97</v>
      </c>
      <c r="D20" s="46">
        <v>3</v>
      </c>
      <c r="E20" s="83" t="s">
        <v>102</v>
      </c>
      <c r="F20" s="45" t="s">
        <v>103</v>
      </c>
      <c r="G20" s="80">
        <f>SUM(TB_Radiologia1[[#This Row],[CH TEÓRICA]:[CH ONLINE]])</f>
        <v>33</v>
      </c>
      <c r="H20" s="79" t="s">
        <v>80</v>
      </c>
      <c r="I20" s="46">
        <v>33</v>
      </c>
      <c r="J20" s="46">
        <v>0</v>
      </c>
      <c r="K20" s="46">
        <v>0</v>
      </c>
      <c r="L20" s="46">
        <v>0</v>
      </c>
      <c r="M20" s="46">
        <v>0</v>
      </c>
      <c r="N20" s="46" t="s">
        <v>8</v>
      </c>
      <c r="O20" s="42">
        <f>ROUNDUP(TB_Radiologia1[[#This Row],[CH TOTAL]]/Cursos!$E$3,0)</f>
        <v>2</v>
      </c>
      <c r="P20" s="52" cm="1">
        <f t="array" ref="P20">IF(AND(TB_Radiologia1[[#This Row],[TIPIFICAÇÃO]]="TCC",TB_Radiologia1[[#This Row],[TIPO DE OFERTA]]="PRESENCIAL"),SUM(TB_Radiologia1[[#This Row],[CH TEÓRICA]:[CH PRÁTICA]]/66),IF(TB_Radiologia1[[#This Row],[TIPIFICAÇÃO]]="EST",1,IF(AND(IF(OR(TB_Radiologia1[[#This Row],[TIPIFICAÇÃO]]="HB",TB_Radiologia1[[#This Row],[TIPIFICAÇÃO]]="PR"),SUM(TB_Radiologia1[[#This Row],[CH TEÓRICA]:[CH PRÁTICA]])/66,IF(TB_Radiologia1[[#This Row],[TIPIFICAÇÃO]]="EXT",0.5,0))&gt;0.6,IF(OR(TB_Radiologia1[[#This Row],[TIPIFICAÇÃO]]="HB",TB_Radiologia1[[#This Row],[TIPIFICAÇÃO]]="PR"),SUM(TB_Radiologia1[[#This Row],[CH TEÓRICA]:[CH PRÁTICA]])/66,IF(TB_Radiologia1[[#This Row],[TIPIFICAÇÃO]]="EXT",0.5,0))&lt;0.8),1,IF(OR(TB_Radiologia1[[#This Row],[TIPIFICAÇÃO]]="HB",TB_Radiologia1[[#This Row],[TIPIFICAÇÃO]]="PR"),SUM(TB_Radiologia1[[#This Row],[CH TEÓRICA]:[CH PRÁTICA]])/66,IF(TB_Radiologia1[[#This Row],[TIPIFICAÇÃO]]="EXT",0.5,0)))))</f>
        <v>0.5</v>
      </c>
      <c r="Q20" s="44"/>
      <c r="R20" s="12" t="s">
        <v>68</v>
      </c>
      <c r="S20" s="10" cm="1">
        <f t="array" ref="S20">ROUNDUP(IFERROR(_xlfn.IFS(TB_Radiologia1[[#This Row],[TIPIFICAÇÃO]]="ON.A",0,AND(TB_Radiologia1[[#This Row],[TIPIFICAÇÃO]]="EST",TB_Radiologia1[[#This Row],[TIPO DE OFERTA]]="PRESENCIAL"),0,AND(TB_Radiologia1[[#This Row],[TIPIFICAÇÃO]]="PR",OR(TB_Radiologia1[[#This Row],[TIPO DE OFERTA]]="PRESENCIAL",TB_Radiologia1[[#This Row],[TIPO DE OFERTA]]="SEMI-PRESENCIAL")),TB_Radiologia1[[#This Row],[CH TEÓRICA]]+TB_Radiologia1[[#This Row],[CH PRÁTICA]],AND(TB_Radiologia1[[#This Row],[TIPIFICAÇÃO]]="HB",TB_Radiologia1[[#This Row],[TIPO DE OFERTA]]="PRESENCIAL"),TB_Radiologia1[[#This Row],[CH TEÓRICA]]+TB_Radiologia1[[#This Row],[CH PRÁTICA]],AND(TB_Radiologia1[[#This Row],[TIPIFICAÇÃO]]="EXT",OR(TB_Radiologia1[[#This Row],[TIPO DE OFERTA]]="PRESENCIAL",TB_Radiologia1[[#This Row],[TIPO DE OFERTA]]="SEMI-PRESENCIAL")),33,AND(TB_Radiologia1[[#This Row],[TIPIFICAÇÃO]]="TCC",TB_Radiologia1[[#This Row],[TIPO DE OFERTA]]="PRESENCIAL"),SUM(TB_Radiologia1[[#This Row],[CH TEÓRICA]],TB_Radiologia1[[#This Row],[CH PRÁTICA]]))/Cursos!$E$3,0),0)</f>
        <v>2</v>
      </c>
      <c r="T20" s="10">
        <f>IF(TB_Radiologia1[[#This Row],[TIPIFICAÇÃO]]="ON.S",ROUNDUP(TB_Radiologia1[[#This Row],[CH TEÓRICA]]/Cursos!$E$3,0),0)</f>
        <v>0</v>
      </c>
      <c r="U20" s="10" cm="1">
        <f t="array" ref="U20">IFERROR(_xlfn.IFS(TB_Radiologia1[[#This Row],[TIPIFICAÇÃO]]="ON.A",1,TB_Radiologia1[[#This Row],[TIPIFICAÇÃO]]="PR",0,TB_Radiologia1[[#This Row],[TIPIFICAÇÃO]]="HB",0,AND(TB_Radiologia1[[#This Row],[TIPIFICAÇÃO]]="EXT",OR(TB_Radiologia1[[#This Row],[TIPO DE OFERTA]]="SEMI-PRESENCIAL",TB_Radiologia1[[#This Row],[TIPO DE OFERTA]]="EAD 100%")),1),0)</f>
        <v>0</v>
      </c>
      <c r="V20" s="10" cm="1">
        <f t="array" ref="V20">ROUNDUP(IFERROR(_xlfn.IFS(TB_Radiologia1[[#This Row],[TIPIFICAÇÃO]]="ON.A",0,TB_Radiologia1[[#This Row],[TIPIFICAÇÃO]]="PR",0,TB_Radiologia1[[#This Row],[TIPIFICAÇÃO]]="HB",TB_Radiologia1[[#This Row],[CH ONLINE]],TB_Radiologia1[[#This Row],[TIPIFICAÇÃO]]="ON.S",0,AND(TB_Radiologia1[[#This Row],[TIPIFICAÇÃO]]="EXT",TB_Radiologia1[[#This Row],[TIPO DE OFERTA]]="PRESENCIAL"),TB_Radiologia1[[#This Row],[CRÉDITOS]]-TB_Radiologia1[[#This Row],[CRÉDITOS PAGO PROFESSOR]])/Cursos!$E$3,0),0)</f>
        <v>0</v>
      </c>
      <c r="W20" s="13" t="s">
        <v>77</v>
      </c>
      <c r="X20" s="10"/>
      <c r="Y20" s="10"/>
      <c r="Z20" s="10"/>
      <c r="AA20" s="10"/>
      <c r="AB20" s="10"/>
    </row>
    <row r="21" spans="2:28" x14ac:dyDescent="0.25">
      <c r="B21" s="7" t="str">
        <f t="shared" si="0"/>
        <v>RADIOLOGIA</v>
      </c>
      <c r="C21" s="42" t="s">
        <v>97</v>
      </c>
      <c r="D21" s="82">
        <v>4</v>
      </c>
      <c r="E21" s="95" t="s">
        <v>104</v>
      </c>
      <c r="F21" s="45" t="s">
        <v>105</v>
      </c>
      <c r="G21" s="80">
        <f>SUM(TB_Radiologia1[[#This Row],[CH TEÓRICA]:[CH ONLINE]])</f>
        <v>49</v>
      </c>
      <c r="H21" s="78" t="s">
        <v>76</v>
      </c>
      <c r="I21" s="82">
        <v>0</v>
      </c>
      <c r="J21" s="82">
        <v>0</v>
      </c>
      <c r="K21" s="81">
        <v>0</v>
      </c>
      <c r="L21" s="81">
        <v>0</v>
      </c>
      <c r="M21" s="82">
        <v>49</v>
      </c>
      <c r="N21" s="82" t="s">
        <v>4</v>
      </c>
      <c r="O21" s="42">
        <f>ROUNDUP(TB_Radiologia1[[#This Row],[CH TOTAL]]/Cursos!$E$3,0)</f>
        <v>3</v>
      </c>
      <c r="P21" s="52" cm="1">
        <f t="array" ref="P21">IF(AND(TB_Radiologia1[[#This Row],[TIPIFICAÇÃO]]="TCC",TB_Radiologia1[[#This Row],[TIPO DE OFERTA]]="PRESENCIAL"),SUM(TB_Radiologia1[[#This Row],[CH TEÓRICA]:[CH PRÁTICA]]/66),IF(TB_Radiologia1[[#This Row],[TIPIFICAÇÃO]]="EST",1,IF(AND(IF(OR(TB_Radiologia1[[#This Row],[TIPIFICAÇÃO]]="HB",TB_Radiologia1[[#This Row],[TIPIFICAÇÃO]]="PR"),SUM(TB_Radiologia1[[#This Row],[CH TEÓRICA]:[CH PRÁTICA]])/66,IF(TB_Radiologia1[[#This Row],[TIPIFICAÇÃO]]="EXT",0.5,0))&gt;0.6,IF(OR(TB_Radiologia1[[#This Row],[TIPIFICAÇÃO]]="HB",TB_Radiologia1[[#This Row],[TIPIFICAÇÃO]]="PR"),SUM(TB_Radiologia1[[#This Row],[CH TEÓRICA]:[CH PRÁTICA]])/66,IF(TB_Radiologia1[[#This Row],[TIPIFICAÇÃO]]="EXT",0.5,0))&lt;0.8),1,IF(OR(TB_Radiologia1[[#This Row],[TIPIFICAÇÃO]]="HB",TB_Radiologia1[[#This Row],[TIPIFICAÇÃO]]="PR"),SUM(TB_Radiologia1[[#This Row],[CH TEÓRICA]:[CH PRÁTICA]])/66,IF(TB_Radiologia1[[#This Row],[TIPIFICAÇÃO]]="EXT",0.5,0)))))</f>
        <v>0</v>
      </c>
      <c r="Q21" s="44"/>
      <c r="R21" s="12" t="s">
        <v>68</v>
      </c>
      <c r="S21" s="10" cm="1">
        <f t="array" ref="S21">ROUNDUP(IFERROR(_xlfn.IFS(TB_Radiologia1[[#This Row],[TIPIFICAÇÃO]]="ON.A",0,AND(TB_Radiologia1[[#This Row],[TIPIFICAÇÃO]]="EST",TB_Radiologia1[[#This Row],[TIPO DE OFERTA]]="PRESENCIAL"),0,AND(TB_Radiologia1[[#This Row],[TIPIFICAÇÃO]]="PR",OR(TB_Radiologia1[[#This Row],[TIPO DE OFERTA]]="PRESENCIAL",TB_Radiologia1[[#This Row],[TIPO DE OFERTA]]="SEMI-PRESENCIAL")),TB_Radiologia1[[#This Row],[CH TEÓRICA]]+TB_Radiologia1[[#This Row],[CH PRÁTICA]],AND(TB_Radiologia1[[#This Row],[TIPIFICAÇÃO]]="HB",TB_Radiologia1[[#This Row],[TIPO DE OFERTA]]="PRESENCIAL"),TB_Radiologia1[[#This Row],[CH TEÓRICA]]+TB_Radiologia1[[#This Row],[CH PRÁTICA]],AND(TB_Radiologia1[[#This Row],[TIPIFICAÇÃO]]="EXT",OR(TB_Radiologia1[[#This Row],[TIPO DE OFERTA]]="PRESENCIAL",TB_Radiologia1[[#This Row],[TIPO DE OFERTA]]="SEMI-PRESENCIAL")),33,AND(TB_Radiologia1[[#This Row],[TIPIFICAÇÃO]]="TCC",TB_Radiologia1[[#This Row],[TIPO DE OFERTA]]="PRESENCIAL"),SUM(TB_Radiologia1[[#This Row],[CH TEÓRICA]],TB_Radiologia1[[#This Row],[CH PRÁTICA]]))/Cursos!$E$3,0),0)</f>
        <v>0</v>
      </c>
      <c r="T21" s="10">
        <f>IF(TB_Radiologia1[[#This Row],[TIPIFICAÇÃO]]="ON.S",ROUNDUP(TB_Radiologia1[[#This Row],[CH TEÓRICA]]/Cursos!$E$3,0),0)</f>
        <v>0</v>
      </c>
      <c r="U21" s="10" cm="1">
        <f t="array" ref="U21">IFERROR(_xlfn.IFS(TB_Radiologia1[[#This Row],[TIPIFICAÇÃO]]="ON.A",1,TB_Radiologia1[[#This Row],[TIPIFICAÇÃO]]="PR",0,TB_Radiologia1[[#This Row],[TIPIFICAÇÃO]]="HB",0,AND(TB_Radiologia1[[#This Row],[TIPIFICAÇÃO]]="EXT",OR(TB_Radiologia1[[#This Row],[TIPO DE OFERTA]]="SEMI-PRESENCIAL",TB_Radiologia1[[#This Row],[TIPO DE OFERTA]]="EAD 100%")),1),0)</f>
        <v>1</v>
      </c>
      <c r="V21" s="10" cm="1">
        <f t="array" ref="V21">ROUNDUP(IFERROR(_xlfn.IFS(TB_Radiologia1[[#This Row],[TIPIFICAÇÃO]]="ON.A",0,TB_Radiologia1[[#This Row],[TIPIFICAÇÃO]]="PR",0,TB_Radiologia1[[#This Row],[TIPIFICAÇÃO]]="HB",TB_Radiologia1[[#This Row],[CH ONLINE]],TB_Radiologia1[[#This Row],[TIPIFICAÇÃO]]="ON.S",0,AND(TB_Radiologia1[[#This Row],[TIPIFICAÇÃO]]="EXT",TB_Radiologia1[[#This Row],[TIPO DE OFERTA]]="PRESENCIAL"),TB_Radiologia1[[#This Row],[CRÉDITOS]]-TB_Radiologia1[[#This Row],[CRÉDITOS PAGO PROFESSOR]])/Cursos!$E$3,0),0)</f>
        <v>0</v>
      </c>
      <c r="W21" s="13" t="s">
        <v>77</v>
      </c>
      <c r="X21" s="10"/>
      <c r="Y21" s="10"/>
      <c r="Z21" s="10"/>
      <c r="AA21" s="10"/>
      <c r="AB21" s="10"/>
    </row>
    <row r="22" spans="2:28" x14ac:dyDescent="0.25">
      <c r="B22" s="7" t="str">
        <f t="shared" si="0"/>
        <v>RADIOLOGIA</v>
      </c>
      <c r="C22" s="42" t="s">
        <v>97</v>
      </c>
      <c r="D22" s="46">
        <v>5</v>
      </c>
      <c r="E22" s="83" t="s">
        <v>106</v>
      </c>
      <c r="F22" s="45" t="s">
        <v>107</v>
      </c>
      <c r="G22" s="80">
        <f>SUM(TB_Radiologia1[[#This Row],[CH TEÓRICA]:[CH ONLINE]])</f>
        <v>66</v>
      </c>
      <c r="H22" s="79" t="s">
        <v>83</v>
      </c>
      <c r="I22" s="46">
        <v>0</v>
      </c>
      <c r="J22" s="46">
        <v>0</v>
      </c>
      <c r="K22" s="46">
        <v>0</v>
      </c>
      <c r="L22" s="46">
        <v>0</v>
      </c>
      <c r="M22" s="46">
        <v>66</v>
      </c>
      <c r="N22" s="46" t="s">
        <v>4</v>
      </c>
      <c r="O22" s="42">
        <f>ROUNDUP(TB_Radiologia1[[#This Row],[CH TOTAL]]/Cursos!$E$3,0)</f>
        <v>4</v>
      </c>
      <c r="P22" s="52" cm="1">
        <f t="array" ref="P22">IF(AND(TB_Radiologia1[[#This Row],[TIPIFICAÇÃO]]="TCC",TB_Radiologia1[[#This Row],[TIPO DE OFERTA]]="PRESENCIAL"),SUM(TB_Radiologia1[[#This Row],[CH TEÓRICA]:[CH PRÁTICA]]/66),IF(TB_Radiologia1[[#This Row],[TIPIFICAÇÃO]]="EST",1,IF(AND(IF(OR(TB_Radiologia1[[#This Row],[TIPIFICAÇÃO]]="HB",TB_Radiologia1[[#This Row],[TIPIFICAÇÃO]]="PR"),SUM(TB_Radiologia1[[#This Row],[CH TEÓRICA]:[CH PRÁTICA]])/66,IF(TB_Radiologia1[[#This Row],[TIPIFICAÇÃO]]="EXT",0.5,0))&gt;0.6,IF(OR(TB_Radiologia1[[#This Row],[TIPIFICAÇÃO]]="HB",TB_Radiologia1[[#This Row],[TIPIFICAÇÃO]]="PR"),SUM(TB_Radiologia1[[#This Row],[CH TEÓRICA]:[CH PRÁTICA]])/66,IF(TB_Radiologia1[[#This Row],[TIPIFICAÇÃO]]="EXT",0.5,0))&lt;0.8),1,IF(OR(TB_Radiologia1[[#This Row],[TIPIFICAÇÃO]]="HB",TB_Radiologia1[[#This Row],[TIPIFICAÇÃO]]="PR"),SUM(TB_Radiologia1[[#This Row],[CH TEÓRICA]:[CH PRÁTICA]])/66,IF(TB_Radiologia1[[#This Row],[TIPIFICAÇÃO]]="EXT",0.5,0)))))</f>
        <v>0</v>
      </c>
      <c r="Q22" s="44"/>
      <c r="R22" s="12" t="s">
        <v>68</v>
      </c>
      <c r="S22" s="10" cm="1">
        <f t="array" ref="S22">ROUNDUP(IFERROR(_xlfn.IFS(TB_Radiologia1[[#This Row],[TIPIFICAÇÃO]]="ON.A",0,AND(TB_Radiologia1[[#This Row],[TIPIFICAÇÃO]]="EST",TB_Radiologia1[[#This Row],[TIPO DE OFERTA]]="PRESENCIAL"),0,AND(TB_Radiologia1[[#This Row],[TIPIFICAÇÃO]]="PR",OR(TB_Radiologia1[[#This Row],[TIPO DE OFERTA]]="PRESENCIAL",TB_Radiologia1[[#This Row],[TIPO DE OFERTA]]="SEMI-PRESENCIAL")),TB_Radiologia1[[#This Row],[CH TEÓRICA]]+TB_Radiologia1[[#This Row],[CH PRÁTICA]],AND(TB_Radiologia1[[#This Row],[TIPIFICAÇÃO]]="HB",TB_Radiologia1[[#This Row],[TIPO DE OFERTA]]="PRESENCIAL"),TB_Radiologia1[[#This Row],[CH TEÓRICA]]+TB_Radiologia1[[#This Row],[CH PRÁTICA]],AND(TB_Radiologia1[[#This Row],[TIPIFICAÇÃO]]="EXT",OR(TB_Radiologia1[[#This Row],[TIPO DE OFERTA]]="PRESENCIAL",TB_Radiologia1[[#This Row],[TIPO DE OFERTA]]="SEMI-PRESENCIAL")),33,AND(TB_Radiologia1[[#This Row],[TIPIFICAÇÃO]]="TCC",TB_Radiologia1[[#This Row],[TIPO DE OFERTA]]="PRESENCIAL"),SUM(TB_Radiologia1[[#This Row],[CH TEÓRICA]],TB_Radiologia1[[#This Row],[CH PRÁTICA]]))/Cursos!$E$3,0),0)</f>
        <v>0</v>
      </c>
      <c r="T22" s="10">
        <f>IF(TB_Radiologia1[[#This Row],[TIPIFICAÇÃO]]="ON.S",ROUNDUP(TB_Radiologia1[[#This Row],[CH TEÓRICA]]/Cursos!$E$3,0),0)</f>
        <v>0</v>
      </c>
      <c r="U22" s="10" cm="1">
        <f t="array" ref="U22">IFERROR(_xlfn.IFS(TB_Radiologia1[[#This Row],[TIPIFICAÇÃO]]="ON.A",1,TB_Radiologia1[[#This Row],[TIPIFICAÇÃO]]="PR",0,TB_Radiologia1[[#This Row],[TIPIFICAÇÃO]]="HB",0,AND(TB_Radiologia1[[#This Row],[TIPIFICAÇÃO]]="EXT",OR(TB_Radiologia1[[#This Row],[TIPO DE OFERTA]]="SEMI-PRESENCIAL",TB_Radiologia1[[#This Row],[TIPO DE OFERTA]]="EAD 100%")),1),0)</f>
        <v>1</v>
      </c>
      <c r="V22" s="10" cm="1">
        <f t="array" ref="V22">ROUNDUP(IFERROR(_xlfn.IFS(TB_Radiologia1[[#This Row],[TIPIFICAÇÃO]]="ON.A",0,TB_Radiologia1[[#This Row],[TIPIFICAÇÃO]]="PR",0,TB_Radiologia1[[#This Row],[TIPIFICAÇÃO]]="HB",TB_Radiologia1[[#This Row],[CH ONLINE]],TB_Radiologia1[[#This Row],[TIPIFICAÇÃO]]="ON.S",0,AND(TB_Radiologia1[[#This Row],[TIPIFICAÇÃO]]="EXT",TB_Radiologia1[[#This Row],[TIPO DE OFERTA]]="PRESENCIAL"),TB_Radiologia1[[#This Row],[CRÉDITOS]]-TB_Radiologia1[[#This Row],[CRÉDITOS PAGO PROFESSOR]])/Cursos!$E$3,0),0)</f>
        <v>0</v>
      </c>
      <c r="W22" s="13" t="s">
        <v>77</v>
      </c>
      <c r="X22" s="10"/>
      <c r="Y22" s="10"/>
      <c r="Z22" s="10"/>
      <c r="AA22" s="10"/>
      <c r="AB22" s="10"/>
    </row>
    <row r="23" spans="2:28" x14ac:dyDescent="0.25">
      <c r="B23" s="7" t="str">
        <f t="shared" si="0"/>
        <v>RADIOLOGIA</v>
      </c>
      <c r="C23" s="42" t="s">
        <v>97</v>
      </c>
      <c r="D23" s="82">
        <v>6</v>
      </c>
      <c r="E23" s="84" t="s">
        <v>108</v>
      </c>
      <c r="F23" s="45" t="s">
        <v>109</v>
      </c>
      <c r="G23" s="80">
        <f>SUM(TB_Radiologia1[[#This Row],[CH TEÓRICA]:[CH ONLINE]])</f>
        <v>66</v>
      </c>
      <c r="H23" s="78" t="s">
        <v>80</v>
      </c>
      <c r="I23" s="82">
        <v>33</v>
      </c>
      <c r="J23" s="82">
        <v>33</v>
      </c>
      <c r="K23" s="81">
        <v>0</v>
      </c>
      <c r="L23" s="81">
        <v>0</v>
      </c>
      <c r="M23" s="82">
        <v>0</v>
      </c>
      <c r="N23" s="82" t="s">
        <v>8</v>
      </c>
      <c r="O23" s="42">
        <f>ROUNDUP(TB_Radiologia1[[#This Row],[CH TOTAL]]/Cursos!$E$3,0)</f>
        <v>4</v>
      </c>
      <c r="P23" s="52" cm="1">
        <f t="array" ref="P23">IF(AND(TB_Radiologia1[[#This Row],[TIPIFICAÇÃO]]="TCC",TB_Radiologia1[[#This Row],[TIPO DE OFERTA]]="PRESENCIAL"),SUM(TB_Radiologia1[[#This Row],[CH TEÓRICA]:[CH PRÁTICA]]/66),IF(TB_Radiologia1[[#This Row],[TIPIFICAÇÃO]]="EST",1,IF(AND(IF(OR(TB_Radiologia1[[#This Row],[TIPIFICAÇÃO]]="HB",TB_Radiologia1[[#This Row],[TIPIFICAÇÃO]]="PR"),SUM(TB_Radiologia1[[#This Row],[CH TEÓRICA]:[CH PRÁTICA]])/66,IF(TB_Radiologia1[[#This Row],[TIPIFICAÇÃO]]="EXT",0.5,0))&gt;0.6,IF(OR(TB_Radiologia1[[#This Row],[TIPIFICAÇÃO]]="HB",TB_Radiologia1[[#This Row],[TIPIFICAÇÃO]]="PR"),SUM(TB_Radiologia1[[#This Row],[CH TEÓRICA]:[CH PRÁTICA]])/66,IF(TB_Radiologia1[[#This Row],[TIPIFICAÇÃO]]="EXT",0.5,0))&lt;0.8),1,IF(OR(TB_Radiologia1[[#This Row],[TIPIFICAÇÃO]]="HB",TB_Radiologia1[[#This Row],[TIPIFICAÇÃO]]="PR"),SUM(TB_Radiologia1[[#This Row],[CH TEÓRICA]:[CH PRÁTICA]])/66,IF(TB_Radiologia1[[#This Row],[TIPIFICAÇÃO]]="EXT",0.5,0)))))</f>
        <v>1</v>
      </c>
      <c r="Q23" s="44"/>
      <c r="R23" s="12" t="s">
        <v>68</v>
      </c>
      <c r="S23" s="10" cm="1">
        <f t="array" ref="S23">ROUNDUP(IFERROR(_xlfn.IFS(TB_Radiologia1[[#This Row],[TIPIFICAÇÃO]]="ON.A",0,AND(TB_Radiologia1[[#This Row],[TIPIFICAÇÃO]]="EST",TB_Radiologia1[[#This Row],[TIPO DE OFERTA]]="PRESENCIAL"),0,AND(TB_Radiologia1[[#This Row],[TIPIFICAÇÃO]]="PR",OR(TB_Radiologia1[[#This Row],[TIPO DE OFERTA]]="PRESENCIAL",TB_Radiologia1[[#This Row],[TIPO DE OFERTA]]="SEMI-PRESENCIAL")),TB_Radiologia1[[#This Row],[CH TEÓRICA]]+TB_Radiologia1[[#This Row],[CH PRÁTICA]],AND(TB_Radiologia1[[#This Row],[TIPIFICAÇÃO]]="HB",TB_Radiologia1[[#This Row],[TIPO DE OFERTA]]="PRESENCIAL"),TB_Radiologia1[[#This Row],[CH TEÓRICA]]+TB_Radiologia1[[#This Row],[CH PRÁTICA]],AND(TB_Radiologia1[[#This Row],[TIPIFICAÇÃO]]="EXT",OR(TB_Radiologia1[[#This Row],[TIPO DE OFERTA]]="PRESENCIAL",TB_Radiologia1[[#This Row],[TIPO DE OFERTA]]="SEMI-PRESENCIAL")),33,AND(TB_Radiologia1[[#This Row],[TIPIFICAÇÃO]]="TCC",TB_Radiologia1[[#This Row],[TIPO DE OFERTA]]="PRESENCIAL"),SUM(TB_Radiologia1[[#This Row],[CH TEÓRICA]],TB_Radiologia1[[#This Row],[CH PRÁTICA]]))/Cursos!$E$3,0),0)</f>
        <v>4</v>
      </c>
      <c r="T23" s="10">
        <f>IF(TB_Radiologia1[[#This Row],[TIPIFICAÇÃO]]="ON.S",ROUNDUP(TB_Radiologia1[[#This Row],[CH TEÓRICA]]/Cursos!$E$3,0),0)</f>
        <v>0</v>
      </c>
      <c r="U23" s="10" cm="1">
        <f t="array" ref="U23">IFERROR(_xlfn.IFS(TB_Radiologia1[[#This Row],[TIPIFICAÇÃO]]="ON.A",1,TB_Radiologia1[[#This Row],[TIPIFICAÇÃO]]="PR",0,TB_Radiologia1[[#This Row],[TIPIFICAÇÃO]]="HB",0,AND(TB_Radiologia1[[#This Row],[TIPIFICAÇÃO]]="EXT",OR(TB_Radiologia1[[#This Row],[TIPO DE OFERTA]]="SEMI-PRESENCIAL",TB_Radiologia1[[#This Row],[TIPO DE OFERTA]]="EAD 100%")),1),0)</f>
        <v>0</v>
      </c>
      <c r="V23" s="10" cm="1">
        <f t="array" ref="V23">ROUNDUP(IFERROR(_xlfn.IFS(TB_Radiologia1[[#This Row],[TIPIFICAÇÃO]]="ON.A",0,TB_Radiologia1[[#This Row],[TIPIFICAÇÃO]]="PR",0,TB_Radiologia1[[#This Row],[TIPIFICAÇÃO]]="HB",TB_Radiologia1[[#This Row],[CH ONLINE]],TB_Radiologia1[[#This Row],[TIPIFICAÇÃO]]="ON.S",0,AND(TB_Radiologia1[[#This Row],[TIPIFICAÇÃO]]="EXT",TB_Radiologia1[[#This Row],[TIPO DE OFERTA]]="PRESENCIAL"),TB_Radiologia1[[#This Row],[CRÉDITOS]]-TB_Radiologia1[[#This Row],[CRÉDITOS PAGO PROFESSOR]])/Cursos!$E$3,0),0)</f>
        <v>0</v>
      </c>
      <c r="W23" s="13" t="s">
        <v>77</v>
      </c>
      <c r="X23" s="10"/>
      <c r="Y23" s="10"/>
      <c r="Z23" s="10"/>
      <c r="AA23" s="10"/>
      <c r="AB23" s="10"/>
    </row>
    <row r="24" spans="2:28" x14ac:dyDescent="0.25">
      <c r="B24" s="7" t="str">
        <f t="shared" si="0"/>
        <v>RADIOLOGIA</v>
      </c>
      <c r="C24" s="42" t="s">
        <v>97</v>
      </c>
      <c r="D24" s="46">
        <v>7</v>
      </c>
      <c r="E24" s="83" t="s">
        <v>110</v>
      </c>
      <c r="F24" s="45" t="s">
        <v>111</v>
      </c>
      <c r="G24" s="80">
        <f>SUM(TB_Radiologia1[[#This Row],[CH TEÓRICA]:[CH ONLINE]])</f>
        <v>33</v>
      </c>
      <c r="H24" s="79" t="s">
        <v>80</v>
      </c>
      <c r="I24" s="46">
        <v>33</v>
      </c>
      <c r="J24" s="46">
        <v>0</v>
      </c>
      <c r="K24" s="46">
        <v>0</v>
      </c>
      <c r="L24" s="46">
        <v>0</v>
      </c>
      <c r="M24" s="46">
        <v>0</v>
      </c>
      <c r="N24" s="46" t="s">
        <v>8</v>
      </c>
      <c r="O24" s="42">
        <f>ROUNDUP(TB_Radiologia1[[#This Row],[CH TOTAL]]/Cursos!$E$3,0)</f>
        <v>2</v>
      </c>
      <c r="P24" s="52" cm="1">
        <f t="array" ref="P24">IF(AND(TB_Radiologia1[[#This Row],[TIPIFICAÇÃO]]="TCC",TB_Radiologia1[[#This Row],[TIPO DE OFERTA]]="PRESENCIAL"),SUM(TB_Radiologia1[[#This Row],[CH TEÓRICA]:[CH PRÁTICA]]/66),IF(TB_Radiologia1[[#This Row],[TIPIFICAÇÃO]]="EST",1,IF(AND(IF(OR(TB_Radiologia1[[#This Row],[TIPIFICAÇÃO]]="HB",TB_Radiologia1[[#This Row],[TIPIFICAÇÃO]]="PR"),SUM(TB_Radiologia1[[#This Row],[CH TEÓRICA]:[CH PRÁTICA]])/66,IF(TB_Radiologia1[[#This Row],[TIPIFICAÇÃO]]="EXT",0.5,0))&gt;0.6,IF(OR(TB_Radiologia1[[#This Row],[TIPIFICAÇÃO]]="HB",TB_Radiologia1[[#This Row],[TIPIFICAÇÃO]]="PR"),SUM(TB_Radiologia1[[#This Row],[CH TEÓRICA]:[CH PRÁTICA]])/66,IF(TB_Radiologia1[[#This Row],[TIPIFICAÇÃO]]="EXT",0.5,0))&lt;0.8),1,IF(OR(TB_Radiologia1[[#This Row],[TIPIFICAÇÃO]]="HB",TB_Radiologia1[[#This Row],[TIPIFICAÇÃO]]="PR"),SUM(TB_Radiologia1[[#This Row],[CH TEÓRICA]:[CH PRÁTICA]])/66,IF(TB_Radiologia1[[#This Row],[TIPIFICAÇÃO]]="EXT",0.5,0)))))</f>
        <v>0.5</v>
      </c>
      <c r="Q24" s="44"/>
      <c r="R24" s="12" t="s">
        <v>68</v>
      </c>
      <c r="S24" s="10" cm="1">
        <f t="array" ref="S24">ROUNDUP(IFERROR(_xlfn.IFS(TB_Radiologia1[[#This Row],[TIPIFICAÇÃO]]="ON.A",0,AND(TB_Radiologia1[[#This Row],[TIPIFICAÇÃO]]="EST",TB_Radiologia1[[#This Row],[TIPO DE OFERTA]]="PRESENCIAL"),0,AND(TB_Radiologia1[[#This Row],[TIPIFICAÇÃO]]="PR",OR(TB_Radiologia1[[#This Row],[TIPO DE OFERTA]]="PRESENCIAL",TB_Radiologia1[[#This Row],[TIPO DE OFERTA]]="SEMI-PRESENCIAL")),TB_Radiologia1[[#This Row],[CH TEÓRICA]]+TB_Radiologia1[[#This Row],[CH PRÁTICA]],AND(TB_Radiologia1[[#This Row],[TIPIFICAÇÃO]]="HB",TB_Radiologia1[[#This Row],[TIPO DE OFERTA]]="PRESENCIAL"),TB_Radiologia1[[#This Row],[CH TEÓRICA]]+TB_Radiologia1[[#This Row],[CH PRÁTICA]],AND(TB_Radiologia1[[#This Row],[TIPIFICAÇÃO]]="EXT",OR(TB_Radiologia1[[#This Row],[TIPO DE OFERTA]]="PRESENCIAL",TB_Radiologia1[[#This Row],[TIPO DE OFERTA]]="SEMI-PRESENCIAL")),33,AND(TB_Radiologia1[[#This Row],[TIPIFICAÇÃO]]="TCC",TB_Radiologia1[[#This Row],[TIPO DE OFERTA]]="PRESENCIAL"),SUM(TB_Radiologia1[[#This Row],[CH TEÓRICA]],TB_Radiologia1[[#This Row],[CH PRÁTICA]]))/Cursos!$E$3,0),0)</f>
        <v>2</v>
      </c>
      <c r="T24" s="10">
        <f>IF(TB_Radiologia1[[#This Row],[TIPIFICAÇÃO]]="ON.S",ROUNDUP(TB_Radiologia1[[#This Row],[CH TEÓRICA]]/Cursos!$E$3,0),0)</f>
        <v>0</v>
      </c>
      <c r="U24" s="10" cm="1">
        <f t="array" ref="U24">IFERROR(_xlfn.IFS(TB_Radiologia1[[#This Row],[TIPIFICAÇÃO]]="ON.A",1,TB_Radiologia1[[#This Row],[TIPIFICAÇÃO]]="PR",0,TB_Radiologia1[[#This Row],[TIPIFICAÇÃO]]="HB",0,AND(TB_Radiologia1[[#This Row],[TIPIFICAÇÃO]]="EXT",OR(TB_Radiologia1[[#This Row],[TIPO DE OFERTA]]="SEMI-PRESENCIAL",TB_Radiologia1[[#This Row],[TIPO DE OFERTA]]="EAD 100%")),1),0)</f>
        <v>0</v>
      </c>
      <c r="V24" s="10" cm="1">
        <f t="array" ref="V24">ROUNDUP(IFERROR(_xlfn.IFS(TB_Radiologia1[[#This Row],[TIPIFICAÇÃO]]="ON.A",0,TB_Radiologia1[[#This Row],[TIPIFICAÇÃO]]="PR",0,TB_Radiologia1[[#This Row],[TIPIFICAÇÃO]]="HB",TB_Radiologia1[[#This Row],[CH ONLINE]],TB_Radiologia1[[#This Row],[TIPIFICAÇÃO]]="ON.S",0,AND(TB_Radiologia1[[#This Row],[TIPIFICAÇÃO]]="EXT",TB_Radiologia1[[#This Row],[TIPO DE OFERTA]]="PRESENCIAL"),TB_Radiologia1[[#This Row],[CRÉDITOS]]-TB_Radiologia1[[#This Row],[CRÉDITOS PAGO PROFESSOR]])/Cursos!$E$3,0),0)</f>
        <v>0</v>
      </c>
      <c r="W24" s="13" t="s">
        <v>77</v>
      </c>
      <c r="X24" s="10"/>
      <c r="Y24" s="10"/>
      <c r="Z24" s="10"/>
      <c r="AA24" s="10"/>
      <c r="AB24" s="10"/>
    </row>
    <row r="25" spans="2:28" x14ac:dyDescent="0.25">
      <c r="B25" s="57" t="str">
        <f>$J$2</f>
        <v>RADIOLOGIA</v>
      </c>
      <c r="C25" s="65" t="s">
        <v>96</v>
      </c>
      <c r="D25" s="59"/>
      <c r="E25" s="60"/>
      <c r="F25" s="58"/>
      <c r="G25" s="64">
        <f>SUBTOTAL(9,G18:G24)</f>
        <v>412</v>
      </c>
      <c r="H25" s="64"/>
      <c r="I25" s="64">
        <f t="shared" ref="I25:P25" si="2">SUBTOTAL(9,I18:I24)</f>
        <v>165</v>
      </c>
      <c r="J25" s="64">
        <f t="shared" si="2"/>
        <v>99</v>
      </c>
      <c r="K25" s="64">
        <f t="shared" si="2"/>
        <v>0</v>
      </c>
      <c r="L25" s="64">
        <f t="shared" si="2"/>
        <v>0</v>
      </c>
      <c r="M25" s="64">
        <f t="shared" si="2"/>
        <v>148</v>
      </c>
      <c r="N25" s="64"/>
      <c r="O25" s="64">
        <f t="shared" si="2"/>
        <v>25</v>
      </c>
      <c r="P25" s="64">
        <f t="shared" si="2"/>
        <v>4</v>
      </c>
      <c r="Q25" s="44"/>
      <c r="R25" s="12" t="s">
        <v>68</v>
      </c>
      <c r="S25" s="10" cm="1">
        <f t="array" ref="S25">ROUNDUP(IFERROR(_xlfn.IFS(TB_Radiologia1[[#This Row],[TIPIFICAÇÃO]]="ON.A",0,AND(TB_Radiologia1[[#This Row],[TIPIFICAÇÃO]]="EST",TB_Radiologia1[[#This Row],[TIPO DE OFERTA]]="PRESENCIAL"),0,AND(TB_Radiologia1[[#This Row],[TIPIFICAÇÃO]]="PR",OR(TB_Radiologia1[[#This Row],[TIPO DE OFERTA]]="PRESENCIAL",TB_Radiologia1[[#This Row],[TIPO DE OFERTA]]="SEMI-PRESENCIAL")),TB_Radiologia1[[#This Row],[CH TEÓRICA]]+TB_Radiologia1[[#This Row],[CH PRÁTICA]],AND(TB_Radiologia1[[#This Row],[TIPIFICAÇÃO]]="HB",TB_Radiologia1[[#This Row],[TIPO DE OFERTA]]="PRESENCIAL"),TB_Radiologia1[[#This Row],[CH TEÓRICA]]+TB_Radiologia1[[#This Row],[CH PRÁTICA]],AND(TB_Radiologia1[[#This Row],[TIPIFICAÇÃO]]="EXT",OR(TB_Radiologia1[[#This Row],[TIPO DE OFERTA]]="PRESENCIAL",TB_Radiologia1[[#This Row],[TIPO DE OFERTA]]="SEMI-PRESENCIAL")),33,AND(TB_Radiologia1[[#This Row],[TIPIFICAÇÃO]]="TCC",TB_Radiologia1[[#This Row],[TIPO DE OFERTA]]="PRESENCIAL"),SUM(TB_Radiologia1[[#This Row],[CH TEÓRICA]],TB_Radiologia1[[#This Row],[CH PRÁTICA]]))/Cursos!$E$3,0),0)</f>
        <v>0</v>
      </c>
      <c r="T25" s="10">
        <f>IF(TB_Radiologia1[[#This Row],[TIPIFICAÇÃO]]="ON.S",ROUNDUP(TB_Radiologia1[[#This Row],[CH TEÓRICA]]/Cursos!$E$3,0),0)</f>
        <v>0</v>
      </c>
      <c r="U25" s="10" cm="1">
        <f t="array" ref="U25">IFERROR(_xlfn.IFS(TB_Radiologia1[[#This Row],[TIPIFICAÇÃO]]="ON.A",1,TB_Radiologia1[[#This Row],[TIPIFICAÇÃO]]="PR",0,TB_Radiologia1[[#This Row],[TIPIFICAÇÃO]]="HB",0,AND(TB_Radiologia1[[#This Row],[TIPIFICAÇÃO]]="EXT",OR(TB_Radiologia1[[#This Row],[TIPO DE OFERTA]]="SEMI-PRESENCIAL",TB_Radiologia1[[#This Row],[TIPO DE OFERTA]]="EAD 100%")),1),0)</f>
        <v>0</v>
      </c>
      <c r="V25" s="10" cm="1">
        <f t="array" ref="V25">ROUNDUP(IFERROR(_xlfn.IFS(TB_Radiologia1[[#This Row],[TIPIFICAÇÃO]]="ON.A",0,TB_Radiologia1[[#This Row],[TIPIFICAÇÃO]]="PR",0,TB_Radiologia1[[#This Row],[TIPIFICAÇÃO]]="HB",TB_Radiologia1[[#This Row],[CH ONLINE]],TB_Radiologia1[[#This Row],[TIPIFICAÇÃO]]="ON.S",0,AND(TB_Radiologia1[[#This Row],[TIPIFICAÇÃO]]="EXT",TB_Radiologia1[[#This Row],[TIPO DE OFERTA]]="PRESENCIAL"),TB_Radiologia1[[#This Row],[CRÉDITOS]]-TB_Radiologia1[[#This Row],[CRÉDITOS PAGO PROFESSOR]])/Cursos!$E$3,0),0)</f>
        <v>0</v>
      </c>
      <c r="W25" s="13" t="s">
        <v>77</v>
      </c>
      <c r="X25" s="10"/>
      <c r="Y25" s="10"/>
      <c r="Z25" s="10"/>
      <c r="AA25" s="10"/>
      <c r="AB25" s="10"/>
    </row>
    <row r="26" spans="2:28" x14ac:dyDescent="0.25">
      <c r="B26" s="7" t="str">
        <f t="shared" si="0"/>
        <v>RADIOLOGIA</v>
      </c>
      <c r="C26" s="42" t="s">
        <v>112</v>
      </c>
      <c r="D26" s="46">
        <v>1</v>
      </c>
      <c r="E26" s="95" t="s">
        <v>113</v>
      </c>
      <c r="F26" s="45" t="s">
        <v>114</v>
      </c>
      <c r="G26" s="80">
        <f>SUM(TB_Radiologia1[[#This Row],[CH TEÓRICA]:[CH ONLINE]])</f>
        <v>66</v>
      </c>
      <c r="H26" s="79" t="s">
        <v>93</v>
      </c>
      <c r="I26" s="46">
        <v>0</v>
      </c>
      <c r="J26" s="46">
        <v>0</v>
      </c>
      <c r="K26" s="46">
        <v>0</v>
      </c>
      <c r="L26" s="46">
        <v>0</v>
      </c>
      <c r="M26" s="46">
        <v>66</v>
      </c>
      <c r="N26" s="46" t="s">
        <v>4</v>
      </c>
      <c r="O26" s="42">
        <f>ROUNDUP(TB_Radiologia1[[#This Row],[CH TOTAL]]/Cursos!$E$3,0)</f>
        <v>4</v>
      </c>
      <c r="P26" s="52" cm="1">
        <f t="array" ref="P26">IF(AND(TB_Radiologia1[[#This Row],[TIPIFICAÇÃO]]="TCC",TB_Radiologia1[[#This Row],[TIPO DE OFERTA]]="PRESENCIAL"),SUM(TB_Radiologia1[[#This Row],[CH TEÓRICA]:[CH PRÁTICA]]/66),IF(TB_Radiologia1[[#This Row],[TIPIFICAÇÃO]]="EST",1,IF(AND(IF(OR(TB_Radiologia1[[#This Row],[TIPIFICAÇÃO]]="HB",TB_Radiologia1[[#This Row],[TIPIFICAÇÃO]]="PR"),SUM(TB_Radiologia1[[#This Row],[CH TEÓRICA]:[CH PRÁTICA]])/66,IF(TB_Radiologia1[[#This Row],[TIPIFICAÇÃO]]="EXT",0.5,0))&gt;0.6,IF(OR(TB_Radiologia1[[#This Row],[TIPIFICAÇÃO]]="HB",TB_Radiologia1[[#This Row],[TIPIFICAÇÃO]]="PR"),SUM(TB_Radiologia1[[#This Row],[CH TEÓRICA]:[CH PRÁTICA]])/66,IF(TB_Radiologia1[[#This Row],[TIPIFICAÇÃO]]="EXT",0.5,0))&lt;0.8),1,IF(OR(TB_Radiologia1[[#This Row],[TIPIFICAÇÃO]]="HB",TB_Radiologia1[[#This Row],[TIPIFICAÇÃO]]="PR"),SUM(TB_Radiologia1[[#This Row],[CH TEÓRICA]:[CH PRÁTICA]])/66,IF(TB_Radiologia1[[#This Row],[TIPIFICAÇÃO]]="EXT",0.5,0)))))</f>
        <v>0</v>
      </c>
      <c r="Q26" s="44"/>
      <c r="R26" s="12" t="s">
        <v>68</v>
      </c>
      <c r="S26" s="10" cm="1">
        <f t="array" ref="S26">ROUNDUP(IFERROR(_xlfn.IFS(TB_Radiologia1[[#This Row],[TIPIFICAÇÃO]]="ON.A",0,AND(TB_Radiologia1[[#This Row],[TIPIFICAÇÃO]]="EST",TB_Radiologia1[[#This Row],[TIPO DE OFERTA]]="PRESENCIAL"),0,AND(TB_Radiologia1[[#This Row],[TIPIFICAÇÃO]]="PR",OR(TB_Radiologia1[[#This Row],[TIPO DE OFERTA]]="PRESENCIAL",TB_Radiologia1[[#This Row],[TIPO DE OFERTA]]="SEMI-PRESENCIAL")),TB_Radiologia1[[#This Row],[CH TEÓRICA]]+TB_Radiologia1[[#This Row],[CH PRÁTICA]],AND(TB_Radiologia1[[#This Row],[TIPIFICAÇÃO]]="HB",TB_Radiologia1[[#This Row],[TIPO DE OFERTA]]="PRESENCIAL"),TB_Radiologia1[[#This Row],[CH TEÓRICA]]+TB_Radiologia1[[#This Row],[CH PRÁTICA]],AND(TB_Radiologia1[[#This Row],[TIPIFICAÇÃO]]="EXT",OR(TB_Radiologia1[[#This Row],[TIPO DE OFERTA]]="PRESENCIAL",TB_Radiologia1[[#This Row],[TIPO DE OFERTA]]="SEMI-PRESENCIAL")),33,AND(TB_Radiologia1[[#This Row],[TIPIFICAÇÃO]]="TCC",TB_Radiologia1[[#This Row],[TIPO DE OFERTA]]="PRESENCIAL"),SUM(TB_Radiologia1[[#This Row],[CH TEÓRICA]],TB_Radiologia1[[#This Row],[CH PRÁTICA]]))/Cursos!$E$3,0),0)</f>
        <v>0</v>
      </c>
      <c r="T26" s="10">
        <f>IF(TB_Radiologia1[[#This Row],[TIPIFICAÇÃO]]="ON.S",ROUNDUP(TB_Radiologia1[[#This Row],[CH TEÓRICA]]/Cursos!$E$3,0),0)</f>
        <v>0</v>
      </c>
      <c r="U26" s="10" cm="1">
        <f t="array" ref="U26">IFERROR(_xlfn.IFS(TB_Radiologia1[[#This Row],[TIPIFICAÇÃO]]="ON.A",1,TB_Radiologia1[[#This Row],[TIPIFICAÇÃO]]="PR",0,TB_Radiologia1[[#This Row],[TIPIFICAÇÃO]]="HB",0,AND(TB_Radiologia1[[#This Row],[TIPIFICAÇÃO]]="EXT",OR(TB_Radiologia1[[#This Row],[TIPO DE OFERTA]]="SEMI-PRESENCIAL",TB_Radiologia1[[#This Row],[TIPO DE OFERTA]]="EAD 100%")),1),0)</f>
        <v>1</v>
      </c>
      <c r="V26" s="10" cm="1">
        <f t="array" ref="V26">ROUNDUP(IFERROR(_xlfn.IFS(TB_Radiologia1[[#This Row],[TIPIFICAÇÃO]]="ON.A",0,TB_Radiologia1[[#This Row],[TIPIFICAÇÃO]]="PR",0,TB_Radiologia1[[#This Row],[TIPIFICAÇÃO]]="HB",TB_Radiologia1[[#This Row],[CH ONLINE]],TB_Radiologia1[[#This Row],[TIPIFICAÇÃO]]="ON.S",0,AND(TB_Radiologia1[[#This Row],[TIPIFICAÇÃO]]="EXT",TB_Radiologia1[[#This Row],[TIPO DE OFERTA]]="PRESENCIAL"),TB_Radiologia1[[#This Row],[CRÉDITOS]]-TB_Radiologia1[[#This Row],[CRÉDITOS PAGO PROFESSOR]])/Cursos!$E$3,0),0)</f>
        <v>0</v>
      </c>
      <c r="W26" s="13" t="s">
        <v>77</v>
      </c>
      <c r="X26" s="10"/>
      <c r="Y26" s="10"/>
      <c r="Z26" s="10"/>
      <c r="AA26" s="10"/>
      <c r="AB26" s="10"/>
    </row>
    <row r="27" spans="2:28" x14ac:dyDescent="0.25">
      <c r="B27" s="7" t="str">
        <f t="shared" si="0"/>
        <v>RADIOLOGIA</v>
      </c>
      <c r="C27" s="42" t="s">
        <v>112</v>
      </c>
      <c r="D27" s="46">
        <v>2</v>
      </c>
      <c r="E27" s="83" t="s">
        <v>115</v>
      </c>
      <c r="F27" s="45" t="s">
        <v>116</v>
      </c>
      <c r="G27" s="80">
        <f>SUM(TB_Radiologia1[[#This Row],[CH TEÓRICA]:[CH ONLINE]])</f>
        <v>66</v>
      </c>
      <c r="H27" s="79" t="s">
        <v>80</v>
      </c>
      <c r="I27" s="46">
        <v>33</v>
      </c>
      <c r="J27" s="46">
        <v>0</v>
      </c>
      <c r="K27" s="46">
        <v>0</v>
      </c>
      <c r="L27" s="46">
        <v>0</v>
      </c>
      <c r="M27" s="46">
        <v>33</v>
      </c>
      <c r="N27" s="46" t="s">
        <v>10</v>
      </c>
      <c r="O27" s="42">
        <f>ROUNDUP(TB_Radiologia1[[#This Row],[CH TOTAL]]/Cursos!$E$3,0)</f>
        <v>4</v>
      </c>
      <c r="P27" s="52" cm="1">
        <f t="array" ref="P27">IF(AND(TB_Radiologia1[[#This Row],[TIPIFICAÇÃO]]="TCC",TB_Radiologia1[[#This Row],[TIPO DE OFERTA]]="PRESENCIAL"),SUM(TB_Radiologia1[[#This Row],[CH TEÓRICA]:[CH PRÁTICA]]/66),IF(TB_Radiologia1[[#This Row],[TIPIFICAÇÃO]]="EST",1,IF(AND(IF(OR(TB_Radiologia1[[#This Row],[TIPIFICAÇÃO]]="HB",TB_Radiologia1[[#This Row],[TIPIFICAÇÃO]]="PR"),SUM(TB_Radiologia1[[#This Row],[CH TEÓRICA]:[CH PRÁTICA]])/66,IF(TB_Radiologia1[[#This Row],[TIPIFICAÇÃO]]="EXT",0.5,0))&gt;0.6,IF(OR(TB_Radiologia1[[#This Row],[TIPIFICAÇÃO]]="HB",TB_Radiologia1[[#This Row],[TIPIFICAÇÃO]]="PR"),SUM(TB_Radiologia1[[#This Row],[CH TEÓRICA]:[CH PRÁTICA]])/66,IF(TB_Radiologia1[[#This Row],[TIPIFICAÇÃO]]="EXT",0.5,0))&lt;0.8),1,IF(OR(TB_Radiologia1[[#This Row],[TIPIFICAÇÃO]]="HB",TB_Radiologia1[[#This Row],[TIPIFICAÇÃO]]="PR"),SUM(TB_Radiologia1[[#This Row],[CH TEÓRICA]:[CH PRÁTICA]])/66,IF(TB_Radiologia1[[#This Row],[TIPIFICAÇÃO]]="EXT",0.5,0)))))</f>
        <v>0.5</v>
      </c>
      <c r="Q27" s="44"/>
      <c r="R27" s="12" t="s">
        <v>68</v>
      </c>
      <c r="S27" s="10" cm="1">
        <f t="array" ref="S27">ROUNDUP(IFERROR(_xlfn.IFS(TB_Radiologia1[[#This Row],[TIPIFICAÇÃO]]="ON.A",0,AND(TB_Radiologia1[[#This Row],[TIPIFICAÇÃO]]="EST",TB_Radiologia1[[#This Row],[TIPO DE OFERTA]]="PRESENCIAL"),0,AND(TB_Radiologia1[[#This Row],[TIPIFICAÇÃO]]="PR",OR(TB_Radiologia1[[#This Row],[TIPO DE OFERTA]]="PRESENCIAL",TB_Radiologia1[[#This Row],[TIPO DE OFERTA]]="SEMI-PRESENCIAL")),TB_Radiologia1[[#This Row],[CH TEÓRICA]]+TB_Radiologia1[[#This Row],[CH PRÁTICA]],AND(TB_Radiologia1[[#This Row],[TIPIFICAÇÃO]]="HB",TB_Radiologia1[[#This Row],[TIPO DE OFERTA]]="PRESENCIAL"),TB_Radiologia1[[#This Row],[CH TEÓRICA]]+TB_Radiologia1[[#This Row],[CH PRÁTICA]],AND(TB_Radiologia1[[#This Row],[TIPIFICAÇÃO]]="EXT",OR(TB_Radiologia1[[#This Row],[TIPO DE OFERTA]]="PRESENCIAL",TB_Radiologia1[[#This Row],[TIPO DE OFERTA]]="SEMI-PRESENCIAL")),33,AND(TB_Radiologia1[[#This Row],[TIPIFICAÇÃO]]="TCC",TB_Radiologia1[[#This Row],[TIPO DE OFERTA]]="PRESENCIAL"),SUM(TB_Radiologia1[[#This Row],[CH TEÓRICA]],TB_Radiologia1[[#This Row],[CH PRÁTICA]]))/Cursos!$E$3,0),0)</f>
        <v>2</v>
      </c>
      <c r="T27" s="10">
        <f>IF(TB_Radiologia1[[#This Row],[TIPIFICAÇÃO]]="ON.S",ROUNDUP(TB_Radiologia1[[#This Row],[CH TEÓRICA]]/Cursos!$E$3,0),0)</f>
        <v>0</v>
      </c>
      <c r="U27" s="10" cm="1">
        <f t="array" ref="U27">IFERROR(_xlfn.IFS(TB_Radiologia1[[#This Row],[TIPIFICAÇÃO]]="ON.A",1,TB_Radiologia1[[#This Row],[TIPIFICAÇÃO]]="PR",0,TB_Radiologia1[[#This Row],[TIPIFICAÇÃO]]="HB",0,AND(TB_Radiologia1[[#This Row],[TIPIFICAÇÃO]]="EXT",OR(TB_Radiologia1[[#This Row],[TIPO DE OFERTA]]="SEMI-PRESENCIAL",TB_Radiologia1[[#This Row],[TIPO DE OFERTA]]="EAD 100%")),1),0)</f>
        <v>0</v>
      </c>
      <c r="V27" s="10" cm="1">
        <f t="array" ref="V27">ROUNDUP(IFERROR(_xlfn.IFS(TB_Radiologia1[[#This Row],[TIPIFICAÇÃO]]="ON.A",0,TB_Radiologia1[[#This Row],[TIPIFICAÇÃO]]="PR",0,TB_Radiologia1[[#This Row],[TIPIFICAÇÃO]]="HB",TB_Radiologia1[[#This Row],[CH ONLINE]],TB_Radiologia1[[#This Row],[TIPIFICAÇÃO]]="ON.S",0,AND(TB_Radiologia1[[#This Row],[TIPIFICAÇÃO]]="EXT",TB_Radiologia1[[#This Row],[TIPO DE OFERTA]]="PRESENCIAL"),TB_Radiologia1[[#This Row],[CRÉDITOS]]-TB_Radiologia1[[#This Row],[CRÉDITOS PAGO PROFESSOR]])/Cursos!$E$3,0),0)</f>
        <v>2</v>
      </c>
      <c r="W27" s="13" t="s">
        <v>77</v>
      </c>
      <c r="X27" s="10"/>
      <c r="Y27" s="10"/>
      <c r="Z27" s="10"/>
      <c r="AA27" s="10"/>
      <c r="AB27" s="10"/>
    </row>
    <row r="28" spans="2:28" x14ac:dyDescent="0.25">
      <c r="B28" s="7" t="str">
        <f t="shared" si="0"/>
        <v>RADIOLOGIA</v>
      </c>
      <c r="C28" s="42" t="s">
        <v>112</v>
      </c>
      <c r="D28" s="46">
        <v>3</v>
      </c>
      <c r="E28" s="83" t="s">
        <v>117</v>
      </c>
      <c r="F28" s="45" t="s">
        <v>118</v>
      </c>
      <c r="G28" s="80">
        <f>SUM(TB_Radiologia1[[#This Row],[CH TEÓRICA]:[CH ONLINE]])</f>
        <v>33</v>
      </c>
      <c r="H28" s="79" t="s">
        <v>80</v>
      </c>
      <c r="I28" s="46">
        <v>33</v>
      </c>
      <c r="J28" s="46">
        <v>0</v>
      </c>
      <c r="K28" s="46">
        <v>0</v>
      </c>
      <c r="L28" s="46">
        <v>0</v>
      </c>
      <c r="M28" s="46">
        <v>0</v>
      </c>
      <c r="N28" s="46" t="s">
        <v>8</v>
      </c>
      <c r="O28" s="42">
        <f>ROUNDUP(TB_Radiologia1[[#This Row],[CH TOTAL]]/Cursos!$E$3,0)</f>
        <v>2</v>
      </c>
      <c r="P28" s="52" cm="1">
        <f t="array" ref="P28">IF(AND(TB_Radiologia1[[#This Row],[TIPIFICAÇÃO]]="TCC",TB_Radiologia1[[#This Row],[TIPO DE OFERTA]]="PRESENCIAL"),SUM(TB_Radiologia1[[#This Row],[CH TEÓRICA]:[CH PRÁTICA]]/66),IF(TB_Radiologia1[[#This Row],[TIPIFICAÇÃO]]="EST",1,IF(AND(IF(OR(TB_Radiologia1[[#This Row],[TIPIFICAÇÃO]]="HB",TB_Radiologia1[[#This Row],[TIPIFICAÇÃO]]="PR"),SUM(TB_Radiologia1[[#This Row],[CH TEÓRICA]:[CH PRÁTICA]])/66,IF(TB_Radiologia1[[#This Row],[TIPIFICAÇÃO]]="EXT",0.5,0))&gt;0.6,IF(OR(TB_Radiologia1[[#This Row],[TIPIFICAÇÃO]]="HB",TB_Radiologia1[[#This Row],[TIPIFICAÇÃO]]="PR"),SUM(TB_Radiologia1[[#This Row],[CH TEÓRICA]:[CH PRÁTICA]])/66,IF(TB_Radiologia1[[#This Row],[TIPIFICAÇÃO]]="EXT",0.5,0))&lt;0.8),1,IF(OR(TB_Radiologia1[[#This Row],[TIPIFICAÇÃO]]="HB",TB_Radiologia1[[#This Row],[TIPIFICAÇÃO]]="PR"),SUM(TB_Radiologia1[[#This Row],[CH TEÓRICA]:[CH PRÁTICA]])/66,IF(TB_Radiologia1[[#This Row],[TIPIFICAÇÃO]]="EXT",0.5,0)))))</f>
        <v>0.5</v>
      </c>
      <c r="Q28" s="44"/>
      <c r="R28" s="12" t="s">
        <v>68</v>
      </c>
      <c r="S28" s="10" cm="1">
        <f t="array" ref="S28">ROUNDUP(IFERROR(_xlfn.IFS(TB_Radiologia1[[#This Row],[TIPIFICAÇÃO]]="ON.A",0,AND(TB_Radiologia1[[#This Row],[TIPIFICAÇÃO]]="EST",TB_Radiologia1[[#This Row],[TIPO DE OFERTA]]="PRESENCIAL"),0,AND(TB_Radiologia1[[#This Row],[TIPIFICAÇÃO]]="PR",OR(TB_Radiologia1[[#This Row],[TIPO DE OFERTA]]="PRESENCIAL",TB_Radiologia1[[#This Row],[TIPO DE OFERTA]]="SEMI-PRESENCIAL")),TB_Radiologia1[[#This Row],[CH TEÓRICA]]+TB_Radiologia1[[#This Row],[CH PRÁTICA]],AND(TB_Radiologia1[[#This Row],[TIPIFICAÇÃO]]="HB",TB_Radiologia1[[#This Row],[TIPO DE OFERTA]]="PRESENCIAL"),TB_Radiologia1[[#This Row],[CH TEÓRICA]]+TB_Radiologia1[[#This Row],[CH PRÁTICA]],AND(TB_Radiologia1[[#This Row],[TIPIFICAÇÃO]]="EXT",OR(TB_Radiologia1[[#This Row],[TIPO DE OFERTA]]="PRESENCIAL",TB_Radiologia1[[#This Row],[TIPO DE OFERTA]]="SEMI-PRESENCIAL")),33,AND(TB_Radiologia1[[#This Row],[TIPIFICAÇÃO]]="TCC",TB_Radiologia1[[#This Row],[TIPO DE OFERTA]]="PRESENCIAL"),SUM(TB_Radiologia1[[#This Row],[CH TEÓRICA]],TB_Radiologia1[[#This Row],[CH PRÁTICA]]))/Cursos!$E$3,0),0)</f>
        <v>2</v>
      </c>
      <c r="T28" s="10">
        <f>IF(TB_Radiologia1[[#This Row],[TIPIFICAÇÃO]]="ON.S",ROUNDUP(TB_Radiologia1[[#This Row],[CH TEÓRICA]]/Cursos!$E$3,0),0)</f>
        <v>0</v>
      </c>
      <c r="U28" s="10" cm="1">
        <f t="array" ref="U28">IFERROR(_xlfn.IFS(TB_Radiologia1[[#This Row],[TIPIFICAÇÃO]]="ON.A",1,TB_Radiologia1[[#This Row],[TIPIFICAÇÃO]]="PR",0,TB_Radiologia1[[#This Row],[TIPIFICAÇÃO]]="HB",0,AND(TB_Radiologia1[[#This Row],[TIPIFICAÇÃO]]="EXT",OR(TB_Radiologia1[[#This Row],[TIPO DE OFERTA]]="SEMI-PRESENCIAL",TB_Radiologia1[[#This Row],[TIPO DE OFERTA]]="EAD 100%")),1),0)</f>
        <v>0</v>
      </c>
      <c r="V28" s="10" cm="1">
        <f t="array" ref="V28">ROUNDUP(IFERROR(_xlfn.IFS(TB_Radiologia1[[#This Row],[TIPIFICAÇÃO]]="ON.A",0,TB_Radiologia1[[#This Row],[TIPIFICAÇÃO]]="PR",0,TB_Radiologia1[[#This Row],[TIPIFICAÇÃO]]="HB",TB_Radiologia1[[#This Row],[CH ONLINE]],TB_Radiologia1[[#This Row],[TIPIFICAÇÃO]]="ON.S",0,AND(TB_Radiologia1[[#This Row],[TIPIFICAÇÃO]]="EXT",TB_Radiologia1[[#This Row],[TIPO DE OFERTA]]="PRESENCIAL"),TB_Radiologia1[[#This Row],[CRÉDITOS]]-TB_Radiologia1[[#This Row],[CRÉDITOS PAGO PROFESSOR]])/Cursos!$E$3,0),0)</f>
        <v>0</v>
      </c>
      <c r="W28" s="13" t="s">
        <v>77</v>
      </c>
      <c r="X28" s="10"/>
      <c r="Y28" s="10"/>
      <c r="Z28" s="10"/>
      <c r="AA28" s="10"/>
      <c r="AB28" s="10"/>
    </row>
    <row r="29" spans="2:28" x14ac:dyDescent="0.25">
      <c r="B29" s="7" t="str">
        <f t="shared" si="0"/>
        <v>RADIOLOGIA</v>
      </c>
      <c r="C29" s="42" t="s">
        <v>112</v>
      </c>
      <c r="D29" s="46">
        <v>4</v>
      </c>
      <c r="E29" s="83" t="s">
        <v>119</v>
      </c>
      <c r="F29" s="45" t="s">
        <v>120</v>
      </c>
      <c r="G29" s="80">
        <f>SUM(TB_Radiologia1[[#This Row],[CH TEÓRICA]:[CH ONLINE]])</f>
        <v>49</v>
      </c>
      <c r="H29" s="79" t="s">
        <v>80</v>
      </c>
      <c r="I29" s="46">
        <v>33</v>
      </c>
      <c r="J29" s="46">
        <v>16</v>
      </c>
      <c r="K29" s="46">
        <v>0</v>
      </c>
      <c r="L29" s="46">
        <v>0</v>
      </c>
      <c r="M29" s="46">
        <v>0</v>
      </c>
      <c r="N29" s="46" t="s">
        <v>8</v>
      </c>
      <c r="O29" s="42">
        <f>ROUNDUP(TB_Radiologia1[[#This Row],[CH TOTAL]]/Cursos!$E$3,0)</f>
        <v>3</v>
      </c>
      <c r="P29" s="52" cm="1">
        <f t="array" ref="P29">IF(AND(TB_Radiologia1[[#This Row],[TIPIFICAÇÃO]]="TCC",TB_Radiologia1[[#This Row],[TIPO DE OFERTA]]="PRESENCIAL"),SUM(TB_Radiologia1[[#This Row],[CH TEÓRICA]:[CH PRÁTICA]]/66),IF(TB_Radiologia1[[#This Row],[TIPIFICAÇÃO]]="EST",1,IF(AND(IF(OR(TB_Radiologia1[[#This Row],[TIPIFICAÇÃO]]="HB",TB_Radiologia1[[#This Row],[TIPIFICAÇÃO]]="PR"),SUM(TB_Radiologia1[[#This Row],[CH TEÓRICA]:[CH PRÁTICA]])/66,IF(TB_Radiologia1[[#This Row],[TIPIFICAÇÃO]]="EXT",0.5,0))&gt;0.6,IF(OR(TB_Radiologia1[[#This Row],[TIPIFICAÇÃO]]="HB",TB_Radiologia1[[#This Row],[TIPIFICAÇÃO]]="PR"),SUM(TB_Radiologia1[[#This Row],[CH TEÓRICA]:[CH PRÁTICA]])/66,IF(TB_Radiologia1[[#This Row],[TIPIFICAÇÃO]]="EXT",0.5,0))&lt;0.8),1,IF(OR(TB_Radiologia1[[#This Row],[TIPIFICAÇÃO]]="HB",TB_Radiologia1[[#This Row],[TIPIFICAÇÃO]]="PR"),SUM(TB_Radiologia1[[#This Row],[CH TEÓRICA]:[CH PRÁTICA]])/66,IF(TB_Radiologia1[[#This Row],[TIPIFICAÇÃO]]="EXT",0.5,0)))))</f>
        <v>1</v>
      </c>
      <c r="Q29" s="44"/>
      <c r="R29" s="12" t="s">
        <v>68</v>
      </c>
      <c r="S29" s="10" cm="1">
        <f t="array" ref="S29">ROUNDUP(IFERROR(_xlfn.IFS(TB_Radiologia1[[#This Row],[TIPIFICAÇÃO]]="ON.A",0,AND(TB_Radiologia1[[#This Row],[TIPIFICAÇÃO]]="EST",TB_Radiologia1[[#This Row],[TIPO DE OFERTA]]="PRESENCIAL"),0,AND(TB_Radiologia1[[#This Row],[TIPIFICAÇÃO]]="PR",OR(TB_Radiologia1[[#This Row],[TIPO DE OFERTA]]="PRESENCIAL",TB_Radiologia1[[#This Row],[TIPO DE OFERTA]]="SEMI-PRESENCIAL")),TB_Radiologia1[[#This Row],[CH TEÓRICA]]+TB_Radiologia1[[#This Row],[CH PRÁTICA]],AND(TB_Radiologia1[[#This Row],[TIPIFICAÇÃO]]="HB",TB_Radiologia1[[#This Row],[TIPO DE OFERTA]]="PRESENCIAL"),TB_Radiologia1[[#This Row],[CH TEÓRICA]]+TB_Radiologia1[[#This Row],[CH PRÁTICA]],AND(TB_Radiologia1[[#This Row],[TIPIFICAÇÃO]]="EXT",OR(TB_Radiologia1[[#This Row],[TIPO DE OFERTA]]="PRESENCIAL",TB_Radiologia1[[#This Row],[TIPO DE OFERTA]]="SEMI-PRESENCIAL")),33,AND(TB_Radiologia1[[#This Row],[TIPIFICAÇÃO]]="TCC",TB_Radiologia1[[#This Row],[TIPO DE OFERTA]]="PRESENCIAL"),SUM(TB_Radiologia1[[#This Row],[CH TEÓRICA]],TB_Radiologia1[[#This Row],[CH PRÁTICA]]))/Cursos!$E$3,0),0)</f>
        <v>3</v>
      </c>
      <c r="T29" s="10">
        <f>IF(TB_Radiologia1[[#This Row],[TIPIFICAÇÃO]]="ON.S",ROUNDUP(TB_Radiologia1[[#This Row],[CH TEÓRICA]]/Cursos!$E$3,0),0)</f>
        <v>0</v>
      </c>
      <c r="U29" s="10" cm="1">
        <f t="array" ref="U29">IFERROR(_xlfn.IFS(TB_Radiologia1[[#This Row],[TIPIFICAÇÃO]]="ON.A",1,TB_Radiologia1[[#This Row],[TIPIFICAÇÃO]]="PR",0,TB_Radiologia1[[#This Row],[TIPIFICAÇÃO]]="HB",0,AND(TB_Radiologia1[[#This Row],[TIPIFICAÇÃO]]="EXT",OR(TB_Radiologia1[[#This Row],[TIPO DE OFERTA]]="SEMI-PRESENCIAL",TB_Radiologia1[[#This Row],[TIPO DE OFERTA]]="EAD 100%")),1),0)</f>
        <v>0</v>
      </c>
      <c r="V29" s="10" cm="1">
        <f t="array" ref="V29">ROUNDUP(IFERROR(_xlfn.IFS(TB_Radiologia1[[#This Row],[TIPIFICAÇÃO]]="ON.A",0,TB_Radiologia1[[#This Row],[TIPIFICAÇÃO]]="PR",0,TB_Radiologia1[[#This Row],[TIPIFICAÇÃO]]="HB",TB_Radiologia1[[#This Row],[CH ONLINE]],TB_Radiologia1[[#This Row],[TIPIFICAÇÃO]]="ON.S",0,AND(TB_Radiologia1[[#This Row],[TIPIFICAÇÃO]]="EXT",TB_Radiologia1[[#This Row],[TIPO DE OFERTA]]="PRESENCIAL"),TB_Radiologia1[[#This Row],[CRÉDITOS]]-TB_Radiologia1[[#This Row],[CRÉDITOS PAGO PROFESSOR]])/Cursos!$E$3,0),0)</f>
        <v>0</v>
      </c>
      <c r="W29" s="13" t="s">
        <v>77</v>
      </c>
      <c r="X29" s="10"/>
      <c r="Y29" s="10"/>
      <c r="Z29" s="10"/>
      <c r="AA29" s="10"/>
      <c r="AB29" s="10"/>
    </row>
    <row r="30" spans="2:28" ht="14.1" customHeight="1" x14ac:dyDescent="0.25">
      <c r="B30" s="7" t="str">
        <f t="shared" si="0"/>
        <v>RADIOLOGIA</v>
      </c>
      <c r="C30" s="42" t="s">
        <v>112</v>
      </c>
      <c r="D30" s="46">
        <v>5</v>
      </c>
      <c r="E30" s="83" t="s">
        <v>121</v>
      </c>
      <c r="F30" s="45" t="s">
        <v>122</v>
      </c>
      <c r="G30" s="80">
        <f>SUM(TB_Radiologia1[[#This Row],[CH TEÓRICA]:[CH ONLINE]])</f>
        <v>66</v>
      </c>
      <c r="H30" s="79" t="s">
        <v>80</v>
      </c>
      <c r="I30" s="46">
        <v>33</v>
      </c>
      <c r="J30" s="46">
        <v>33</v>
      </c>
      <c r="K30" s="46">
        <v>0</v>
      </c>
      <c r="L30" s="46">
        <v>0</v>
      </c>
      <c r="M30" s="46">
        <v>0</v>
      </c>
      <c r="N30" s="46" t="s">
        <v>8</v>
      </c>
      <c r="O30" s="42">
        <f>ROUNDUP(TB_Radiologia1[[#This Row],[CH TOTAL]]/Cursos!$E$3,0)</f>
        <v>4</v>
      </c>
      <c r="P30" s="52" cm="1">
        <f t="array" ref="P30">IF(AND(TB_Radiologia1[[#This Row],[TIPIFICAÇÃO]]="TCC",TB_Radiologia1[[#This Row],[TIPO DE OFERTA]]="PRESENCIAL"),SUM(TB_Radiologia1[[#This Row],[CH TEÓRICA]:[CH PRÁTICA]]/66),IF(TB_Radiologia1[[#This Row],[TIPIFICAÇÃO]]="EST",1,IF(AND(IF(OR(TB_Radiologia1[[#This Row],[TIPIFICAÇÃO]]="HB",TB_Radiologia1[[#This Row],[TIPIFICAÇÃO]]="PR"),SUM(TB_Radiologia1[[#This Row],[CH TEÓRICA]:[CH PRÁTICA]])/66,IF(TB_Radiologia1[[#This Row],[TIPIFICAÇÃO]]="EXT",0.5,0))&gt;0.6,IF(OR(TB_Radiologia1[[#This Row],[TIPIFICAÇÃO]]="HB",TB_Radiologia1[[#This Row],[TIPIFICAÇÃO]]="PR"),SUM(TB_Radiologia1[[#This Row],[CH TEÓRICA]:[CH PRÁTICA]])/66,IF(TB_Radiologia1[[#This Row],[TIPIFICAÇÃO]]="EXT",0.5,0))&lt;0.8),1,IF(OR(TB_Radiologia1[[#This Row],[TIPIFICAÇÃO]]="HB",TB_Radiologia1[[#This Row],[TIPIFICAÇÃO]]="PR"),SUM(TB_Radiologia1[[#This Row],[CH TEÓRICA]:[CH PRÁTICA]])/66,IF(TB_Radiologia1[[#This Row],[TIPIFICAÇÃO]]="EXT",0.5,0)))))</f>
        <v>1</v>
      </c>
      <c r="Q30" s="44"/>
      <c r="R30" s="12" t="s">
        <v>68</v>
      </c>
      <c r="S30" s="10" cm="1">
        <f t="array" ref="S30">ROUNDUP(IFERROR(_xlfn.IFS(TB_Radiologia1[[#This Row],[TIPIFICAÇÃO]]="ON.A",0,AND(TB_Radiologia1[[#This Row],[TIPIFICAÇÃO]]="EST",TB_Radiologia1[[#This Row],[TIPO DE OFERTA]]="PRESENCIAL"),0,AND(TB_Radiologia1[[#This Row],[TIPIFICAÇÃO]]="PR",OR(TB_Radiologia1[[#This Row],[TIPO DE OFERTA]]="PRESENCIAL",TB_Radiologia1[[#This Row],[TIPO DE OFERTA]]="SEMI-PRESENCIAL")),TB_Radiologia1[[#This Row],[CH TEÓRICA]]+TB_Radiologia1[[#This Row],[CH PRÁTICA]],AND(TB_Radiologia1[[#This Row],[TIPIFICAÇÃO]]="HB",TB_Radiologia1[[#This Row],[TIPO DE OFERTA]]="PRESENCIAL"),TB_Radiologia1[[#This Row],[CH TEÓRICA]]+TB_Radiologia1[[#This Row],[CH PRÁTICA]],AND(TB_Radiologia1[[#This Row],[TIPIFICAÇÃO]]="EXT",OR(TB_Radiologia1[[#This Row],[TIPO DE OFERTA]]="PRESENCIAL",TB_Radiologia1[[#This Row],[TIPO DE OFERTA]]="SEMI-PRESENCIAL")),33,AND(TB_Radiologia1[[#This Row],[TIPIFICAÇÃO]]="TCC",TB_Radiologia1[[#This Row],[TIPO DE OFERTA]]="PRESENCIAL"),SUM(TB_Radiologia1[[#This Row],[CH TEÓRICA]],TB_Radiologia1[[#This Row],[CH PRÁTICA]]))/Cursos!$E$3,0),0)</f>
        <v>4</v>
      </c>
      <c r="T30" s="10">
        <f>IF(TB_Radiologia1[[#This Row],[TIPIFICAÇÃO]]="ON.S",ROUNDUP(TB_Radiologia1[[#This Row],[CH TEÓRICA]]/Cursos!$E$3,0),0)</f>
        <v>0</v>
      </c>
      <c r="U30" s="10" cm="1">
        <f t="array" ref="U30">IFERROR(_xlfn.IFS(TB_Radiologia1[[#This Row],[TIPIFICAÇÃO]]="ON.A",1,TB_Radiologia1[[#This Row],[TIPIFICAÇÃO]]="PR",0,TB_Radiologia1[[#This Row],[TIPIFICAÇÃO]]="HB",0,AND(TB_Radiologia1[[#This Row],[TIPIFICAÇÃO]]="EXT",OR(TB_Radiologia1[[#This Row],[TIPO DE OFERTA]]="SEMI-PRESENCIAL",TB_Radiologia1[[#This Row],[TIPO DE OFERTA]]="EAD 100%")),1),0)</f>
        <v>0</v>
      </c>
      <c r="V30" s="10" cm="1">
        <f t="array" ref="V30">ROUNDUP(IFERROR(_xlfn.IFS(TB_Radiologia1[[#This Row],[TIPIFICAÇÃO]]="ON.A",0,TB_Radiologia1[[#This Row],[TIPIFICAÇÃO]]="PR",0,TB_Radiologia1[[#This Row],[TIPIFICAÇÃO]]="HB",TB_Radiologia1[[#This Row],[CH ONLINE]],TB_Radiologia1[[#This Row],[TIPIFICAÇÃO]]="ON.S",0,AND(TB_Radiologia1[[#This Row],[TIPIFICAÇÃO]]="EXT",TB_Radiologia1[[#This Row],[TIPO DE OFERTA]]="PRESENCIAL"),TB_Radiologia1[[#This Row],[CRÉDITOS]]-TB_Radiologia1[[#This Row],[CRÉDITOS PAGO PROFESSOR]])/Cursos!$E$3,0),0)</f>
        <v>0</v>
      </c>
      <c r="W30" s="13" t="s">
        <v>77</v>
      </c>
      <c r="X30" s="10"/>
      <c r="Y30" s="10"/>
      <c r="Z30" s="10"/>
      <c r="AA30" s="10"/>
      <c r="AB30" s="10"/>
    </row>
    <row r="31" spans="2:28" x14ac:dyDescent="0.25">
      <c r="B31" s="7" t="str">
        <f t="shared" si="0"/>
        <v>RADIOLOGIA</v>
      </c>
      <c r="C31" s="42" t="s">
        <v>112</v>
      </c>
      <c r="D31" s="46">
        <v>6</v>
      </c>
      <c r="E31" s="83" t="s">
        <v>123</v>
      </c>
      <c r="F31" s="43" t="s">
        <v>124</v>
      </c>
      <c r="G31" s="80">
        <f>SUM(TB_Radiologia1[[#This Row],[CH TEÓRICA]:[CH ONLINE]])</f>
        <v>90</v>
      </c>
      <c r="H31" s="79" t="s">
        <v>90</v>
      </c>
      <c r="I31" s="46">
        <v>0</v>
      </c>
      <c r="J31" s="46">
        <v>0</v>
      </c>
      <c r="K31" s="46">
        <v>0</v>
      </c>
      <c r="L31" s="46">
        <v>90</v>
      </c>
      <c r="M31" s="46">
        <v>0</v>
      </c>
      <c r="N31" s="46" t="s">
        <v>12</v>
      </c>
      <c r="O31" s="42">
        <f>ROUNDUP(TB_Radiologia1[[#This Row],[CH TOTAL]]/Cursos!$E$3,0)</f>
        <v>6</v>
      </c>
      <c r="P31" s="52" cm="1">
        <f t="array" ref="P31">IF(AND(TB_Radiologia1[[#This Row],[TIPIFICAÇÃO]]="TCC",TB_Radiologia1[[#This Row],[TIPO DE OFERTA]]="PRESENCIAL"),SUM(TB_Radiologia1[[#This Row],[CH TEÓRICA]:[CH PRÁTICA]]/66),IF(TB_Radiologia1[[#This Row],[TIPIFICAÇÃO]]="EST",1,IF(AND(IF(OR(TB_Radiologia1[[#This Row],[TIPIFICAÇÃO]]="HB",TB_Radiologia1[[#This Row],[TIPIFICAÇÃO]]="PR"),SUM(TB_Radiologia1[[#This Row],[CH TEÓRICA]:[CH PRÁTICA]])/66,IF(TB_Radiologia1[[#This Row],[TIPIFICAÇÃO]]="EXT",0.5,0))&gt;0.6,IF(OR(TB_Radiologia1[[#This Row],[TIPIFICAÇÃO]]="HB",TB_Radiologia1[[#This Row],[TIPIFICAÇÃO]]="PR"),SUM(TB_Radiologia1[[#This Row],[CH TEÓRICA]:[CH PRÁTICA]])/66,IF(TB_Radiologia1[[#This Row],[TIPIFICAÇÃO]]="EXT",0.5,0))&lt;0.8),1,IF(OR(TB_Radiologia1[[#This Row],[TIPIFICAÇÃO]]="HB",TB_Radiologia1[[#This Row],[TIPIFICAÇÃO]]="PR"),SUM(TB_Radiologia1[[#This Row],[CH TEÓRICA]:[CH PRÁTICA]])/66,IF(TB_Radiologia1[[#This Row],[TIPIFICAÇÃO]]="EXT",0.5,0)))))</f>
        <v>0.5</v>
      </c>
      <c r="Q31" s="44"/>
      <c r="R31" s="12" t="s">
        <v>68</v>
      </c>
      <c r="S31" s="10" cm="1">
        <f t="array" ref="S31">ROUNDUP(IFERROR(_xlfn.IFS(TB_Radiologia1[[#This Row],[TIPIFICAÇÃO]]="ON.A",0,AND(TB_Radiologia1[[#This Row],[TIPIFICAÇÃO]]="EST",TB_Radiologia1[[#This Row],[TIPO DE OFERTA]]="PRESENCIAL"),0,AND(TB_Radiologia1[[#This Row],[TIPIFICAÇÃO]]="PR",OR(TB_Radiologia1[[#This Row],[TIPO DE OFERTA]]="PRESENCIAL",TB_Radiologia1[[#This Row],[TIPO DE OFERTA]]="SEMI-PRESENCIAL")),TB_Radiologia1[[#This Row],[CH TEÓRICA]]+TB_Radiologia1[[#This Row],[CH PRÁTICA]],AND(TB_Radiologia1[[#This Row],[TIPIFICAÇÃO]]="HB",TB_Radiologia1[[#This Row],[TIPO DE OFERTA]]="PRESENCIAL"),TB_Radiologia1[[#This Row],[CH TEÓRICA]]+TB_Radiologia1[[#This Row],[CH PRÁTICA]],AND(TB_Radiologia1[[#This Row],[TIPIFICAÇÃO]]="EXT",OR(TB_Radiologia1[[#This Row],[TIPO DE OFERTA]]="PRESENCIAL",TB_Radiologia1[[#This Row],[TIPO DE OFERTA]]="SEMI-PRESENCIAL")),33,AND(TB_Radiologia1[[#This Row],[TIPIFICAÇÃO]]="TCC",TB_Radiologia1[[#This Row],[TIPO DE OFERTA]]="PRESENCIAL"),SUM(TB_Radiologia1[[#This Row],[CH TEÓRICA]],TB_Radiologia1[[#This Row],[CH PRÁTICA]]))/Cursos!$E$3,0),0)</f>
        <v>2</v>
      </c>
      <c r="T31" s="10">
        <f>IF(TB_Radiologia1[[#This Row],[TIPIFICAÇÃO]]="ON.S",ROUNDUP(TB_Radiologia1[[#This Row],[CH TEÓRICA]]/Cursos!$E$3,0),0)</f>
        <v>0</v>
      </c>
      <c r="U31" s="10" cm="1">
        <f t="array" ref="U31">IFERROR(_xlfn.IFS(TB_Radiologia1[[#This Row],[TIPIFICAÇÃO]]="ON.A",1,TB_Radiologia1[[#This Row],[TIPIFICAÇÃO]]="PR",0,TB_Radiologia1[[#This Row],[TIPIFICAÇÃO]]="HB",0,AND(TB_Radiologia1[[#This Row],[TIPIFICAÇÃO]]="EXT",OR(TB_Radiologia1[[#This Row],[TIPO DE OFERTA]]="SEMI-PRESENCIAL",TB_Radiologia1[[#This Row],[TIPO DE OFERTA]]="EAD 100%")),1),0)</f>
        <v>0</v>
      </c>
      <c r="V31" s="10" cm="1">
        <f t="array" ref="V31">ROUNDUP(IFERROR(_xlfn.IFS(TB_Radiologia1[[#This Row],[TIPIFICAÇÃO]]="ON.A",0,TB_Radiologia1[[#This Row],[TIPIFICAÇÃO]]="PR",0,TB_Radiologia1[[#This Row],[TIPIFICAÇÃO]]="HB",TB_Radiologia1[[#This Row],[CH ONLINE]],TB_Radiologia1[[#This Row],[TIPIFICAÇÃO]]="ON.S",0,AND(TB_Radiologia1[[#This Row],[TIPIFICAÇÃO]]="EXT",TB_Radiologia1[[#This Row],[TIPO DE OFERTA]]="PRESENCIAL"),TB_Radiologia1[[#This Row],[CRÉDITOS]]-TB_Radiologia1[[#This Row],[CRÉDITOS PAGO PROFESSOR]])/Cursos!$E$3,0),0)</f>
        <v>1</v>
      </c>
      <c r="W31" s="13" t="s">
        <v>77</v>
      </c>
      <c r="X31" s="10"/>
      <c r="Y31" s="10"/>
      <c r="Z31" s="10"/>
      <c r="AA31" s="10"/>
      <c r="AB31" s="10"/>
    </row>
    <row r="32" spans="2:28" x14ac:dyDescent="0.25">
      <c r="B32" s="57" t="str">
        <f>$J$2</f>
        <v>RADIOLOGIA</v>
      </c>
      <c r="C32" s="65" t="s">
        <v>96</v>
      </c>
      <c r="D32" s="59"/>
      <c r="E32" s="60"/>
      <c r="F32" s="58"/>
      <c r="G32" s="69">
        <f>SUBTOTAL(9,G26:G31)</f>
        <v>370</v>
      </c>
      <c r="H32" s="69"/>
      <c r="I32" s="69">
        <f t="shared" ref="I32:P32" si="3">SUBTOTAL(9,I26:I31)</f>
        <v>132</v>
      </c>
      <c r="J32" s="69">
        <f t="shared" si="3"/>
        <v>49</v>
      </c>
      <c r="K32" s="69">
        <f t="shared" si="3"/>
        <v>0</v>
      </c>
      <c r="L32" s="69">
        <f t="shared" si="3"/>
        <v>90</v>
      </c>
      <c r="M32" s="69">
        <f t="shared" si="3"/>
        <v>99</v>
      </c>
      <c r="N32" s="69"/>
      <c r="O32" s="69">
        <f t="shared" si="3"/>
        <v>23</v>
      </c>
      <c r="P32" s="69">
        <f t="shared" si="3"/>
        <v>3.5</v>
      </c>
      <c r="Q32" s="44"/>
      <c r="R32" s="12" t="s">
        <v>68</v>
      </c>
      <c r="S32" s="10" cm="1">
        <f t="array" ref="S32">ROUNDUP(IFERROR(_xlfn.IFS(TB_Radiologia1[[#This Row],[TIPIFICAÇÃO]]="ON.A",0,AND(TB_Radiologia1[[#This Row],[TIPIFICAÇÃO]]="EST",TB_Radiologia1[[#This Row],[TIPO DE OFERTA]]="PRESENCIAL"),0,AND(TB_Radiologia1[[#This Row],[TIPIFICAÇÃO]]="PR",OR(TB_Radiologia1[[#This Row],[TIPO DE OFERTA]]="PRESENCIAL",TB_Radiologia1[[#This Row],[TIPO DE OFERTA]]="SEMI-PRESENCIAL")),TB_Radiologia1[[#This Row],[CH TEÓRICA]]+TB_Radiologia1[[#This Row],[CH PRÁTICA]],AND(TB_Radiologia1[[#This Row],[TIPIFICAÇÃO]]="HB",TB_Radiologia1[[#This Row],[TIPO DE OFERTA]]="PRESENCIAL"),TB_Radiologia1[[#This Row],[CH TEÓRICA]]+TB_Radiologia1[[#This Row],[CH PRÁTICA]],AND(TB_Radiologia1[[#This Row],[TIPIFICAÇÃO]]="EXT",OR(TB_Radiologia1[[#This Row],[TIPO DE OFERTA]]="PRESENCIAL",TB_Radiologia1[[#This Row],[TIPO DE OFERTA]]="SEMI-PRESENCIAL")),33,AND(TB_Radiologia1[[#This Row],[TIPIFICAÇÃO]]="TCC",TB_Radiologia1[[#This Row],[TIPO DE OFERTA]]="PRESENCIAL"),SUM(TB_Radiologia1[[#This Row],[CH TEÓRICA]],TB_Radiologia1[[#This Row],[CH PRÁTICA]]))/Cursos!$E$3,0),0)</f>
        <v>0</v>
      </c>
      <c r="T32" s="10">
        <f>IF(TB_Radiologia1[[#This Row],[TIPIFICAÇÃO]]="ON.S",ROUNDUP(TB_Radiologia1[[#This Row],[CH TEÓRICA]]/Cursos!$E$3,0),0)</f>
        <v>0</v>
      </c>
      <c r="U32" s="10" cm="1">
        <f t="array" ref="U32">IFERROR(_xlfn.IFS(TB_Radiologia1[[#This Row],[TIPIFICAÇÃO]]="ON.A",1,TB_Radiologia1[[#This Row],[TIPIFICAÇÃO]]="PR",0,TB_Radiologia1[[#This Row],[TIPIFICAÇÃO]]="HB",0,AND(TB_Radiologia1[[#This Row],[TIPIFICAÇÃO]]="EXT",OR(TB_Radiologia1[[#This Row],[TIPO DE OFERTA]]="SEMI-PRESENCIAL",TB_Radiologia1[[#This Row],[TIPO DE OFERTA]]="EAD 100%")),1),0)</f>
        <v>0</v>
      </c>
      <c r="V32" s="10" cm="1">
        <f t="array" ref="V32">ROUNDUP(IFERROR(_xlfn.IFS(TB_Radiologia1[[#This Row],[TIPIFICAÇÃO]]="ON.A",0,TB_Radiologia1[[#This Row],[TIPIFICAÇÃO]]="PR",0,TB_Radiologia1[[#This Row],[TIPIFICAÇÃO]]="HB",TB_Radiologia1[[#This Row],[CH ONLINE]],TB_Radiologia1[[#This Row],[TIPIFICAÇÃO]]="ON.S",0,AND(TB_Radiologia1[[#This Row],[TIPIFICAÇÃO]]="EXT",TB_Radiologia1[[#This Row],[TIPO DE OFERTA]]="PRESENCIAL"),TB_Radiologia1[[#This Row],[CRÉDITOS]]-TB_Radiologia1[[#This Row],[CRÉDITOS PAGO PROFESSOR]])/Cursos!$E$3,0),0)</f>
        <v>0</v>
      </c>
      <c r="W32" s="13" t="s">
        <v>77</v>
      </c>
      <c r="X32" s="10"/>
      <c r="Y32" s="10"/>
      <c r="Z32" s="10"/>
      <c r="AA32" s="10"/>
      <c r="AB32" s="10"/>
    </row>
    <row r="33" spans="2:28" x14ac:dyDescent="0.25">
      <c r="B33" s="7" t="str">
        <f t="shared" si="0"/>
        <v>RADIOLOGIA</v>
      </c>
      <c r="C33" s="42" t="s">
        <v>125</v>
      </c>
      <c r="D33" s="46">
        <v>1</v>
      </c>
      <c r="E33" s="83" t="s">
        <v>126</v>
      </c>
      <c r="F33" s="43" t="s">
        <v>127</v>
      </c>
      <c r="G33" s="80">
        <f>SUM(TB_Radiologia1[[#This Row],[CH TEÓRICA]:[CH ONLINE]])</f>
        <v>66</v>
      </c>
      <c r="H33" s="79" t="s">
        <v>80</v>
      </c>
      <c r="I33" s="46">
        <v>33</v>
      </c>
      <c r="J33" s="46">
        <v>33</v>
      </c>
      <c r="K33" s="46">
        <v>0</v>
      </c>
      <c r="L33" s="46">
        <v>0</v>
      </c>
      <c r="M33" s="46">
        <v>0</v>
      </c>
      <c r="N33" s="46" t="s">
        <v>8</v>
      </c>
      <c r="O33" s="42">
        <f>ROUNDUP(TB_Radiologia1[[#This Row],[CH TOTAL]]/Cursos!$E$3,0)</f>
        <v>4</v>
      </c>
      <c r="P33" s="52" cm="1">
        <f t="array" ref="P33">IF(AND(TB_Radiologia1[[#This Row],[TIPIFICAÇÃO]]="TCC",TB_Radiologia1[[#This Row],[TIPO DE OFERTA]]="PRESENCIAL"),SUM(TB_Radiologia1[[#This Row],[CH TEÓRICA]:[CH PRÁTICA]]/66),IF(TB_Radiologia1[[#This Row],[TIPIFICAÇÃO]]="EST",1,IF(AND(IF(OR(TB_Radiologia1[[#This Row],[TIPIFICAÇÃO]]="HB",TB_Radiologia1[[#This Row],[TIPIFICAÇÃO]]="PR"),SUM(TB_Radiologia1[[#This Row],[CH TEÓRICA]:[CH PRÁTICA]])/66,IF(TB_Radiologia1[[#This Row],[TIPIFICAÇÃO]]="EXT",0.5,0))&gt;0.6,IF(OR(TB_Radiologia1[[#This Row],[TIPIFICAÇÃO]]="HB",TB_Radiologia1[[#This Row],[TIPIFICAÇÃO]]="PR"),SUM(TB_Radiologia1[[#This Row],[CH TEÓRICA]:[CH PRÁTICA]])/66,IF(TB_Radiologia1[[#This Row],[TIPIFICAÇÃO]]="EXT",0.5,0))&lt;0.8),1,IF(OR(TB_Radiologia1[[#This Row],[TIPIFICAÇÃO]]="HB",TB_Radiologia1[[#This Row],[TIPIFICAÇÃO]]="PR"),SUM(TB_Radiologia1[[#This Row],[CH TEÓRICA]:[CH PRÁTICA]])/66,IF(TB_Radiologia1[[#This Row],[TIPIFICAÇÃO]]="EXT",0.5,0)))))</f>
        <v>1</v>
      </c>
      <c r="Q33" s="44"/>
      <c r="R33" s="12" t="s">
        <v>68</v>
      </c>
      <c r="S33" s="10" cm="1">
        <f t="array" ref="S33">ROUNDUP(IFERROR(_xlfn.IFS(TB_Radiologia1[[#This Row],[TIPIFICAÇÃO]]="ON.A",0,AND(TB_Radiologia1[[#This Row],[TIPIFICAÇÃO]]="EST",TB_Radiologia1[[#This Row],[TIPO DE OFERTA]]="PRESENCIAL"),0,AND(TB_Radiologia1[[#This Row],[TIPIFICAÇÃO]]="PR",OR(TB_Radiologia1[[#This Row],[TIPO DE OFERTA]]="PRESENCIAL",TB_Radiologia1[[#This Row],[TIPO DE OFERTA]]="SEMI-PRESENCIAL")),TB_Radiologia1[[#This Row],[CH TEÓRICA]]+TB_Radiologia1[[#This Row],[CH PRÁTICA]],AND(TB_Radiologia1[[#This Row],[TIPIFICAÇÃO]]="HB",TB_Radiologia1[[#This Row],[TIPO DE OFERTA]]="PRESENCIAL"),TB_Radiologia1[[#This Row],[CH TEÓRICA]]+TB_Radiologia1[[#This Row],[CH PRÁTICA]],AND(TB_Radiologia1[[#This Row],[TIPIFICAÇÃO]]="EXT",OR(TB_Radiologia1[[#This Row],[TIPO DE OFERTA]]="PRESENCIAL",TB_Radiologia1[[#This Row],[TIPO DE OFERTA]]="SEMI-PRESENCIAL")),33,AND(TB_Radiologia1[[#This Row],[TIPIFICAÇÃO]]="TCC",TB_Radiologia1[[#This Row],[TIPO DE OFERTA]]="PRESENCIAL"),SUM(TB_Radiologia1[[#This Row],[CH TEÓRICA]],TB_Radiologia1[[#This Row],[CH PRÁTICA]]))/Cursos!$E$3,0),0)</f>
        <v>4</v>
      </c>
      <c r="T33" s="10">
        <f>IF(TB_Radiologia1[[#This Row],[TIPIFICAÇÃO]]="ON.S",ROUNDUP(TB_Radiologia1[[#This Row],[CH TEÓRICA]]/Cursos!$E$3,0),0)</f>
        <v>0</v>
      </c>
      <c r="U33" s="10" cm="1">
        <f t="array" ref="U33">IFERROR(_xlfn.IFS(TB_Radiologia1[[#This Row],[TIPIFICAÇÃO]]="ON.A",1,TB_Radiologia1[[#This Row],[TIPIFICAÇÃO]]="PR",0,TB_Radiologia1[[#This Row],[TIPIFICAÇÃO]]="HB",0,AND(TB_Radiologia1[[#This Row],[TIPIFICAÇÃO]]="EXT",OR(TB_Radiologia1[[#This Row],[TIPO DE OFERTA]]="SEMI-PRESENCIAL",TB_Radiologia1[[#This Row],[TIPO DE OFERTA]]="EAD 100%")),1),0)</f>
        <v>0</v>
      </c>
      <c r="V33" s="10" cm="1">
        <f t="array" ref="V33">ROUNDUP(IFERROR(_xlfn.IFS(TB_Radiologia1[[#This Row],[TIPIFICAÇÃO]]="ON.A",0,TB_Radiologia1[[#This Row],[TIPIFICAÇÃO]]="PR",0,TB_Radiologia1[[#This Row],[TIPIFICAÇÃO]]="HB",TB_Radiologia1[[#This Row],[CH ONLINE]],TB_Radiologia1[[#This Row],[TIPIFICAÇÃO]]="ON.S",0,AND(TB_Radiologia1[[#This Row],[TIPIFICAÇÃO]]="EXT",TB_Radiologia1[[#This Row],[TIPO DE OFERTA]]="PRESENCIAL"),TB_Radiologia1[[#This Row],[CRÉDITOS]]-TB_Radiologia1[[#This Row],[CRÉDITOS PAGO PROFESSOR]])/Cursos!$E$3,0),0)</f>
        <v>0</v>
      </c>
      <c r="W33" s="13" t="s">
        <v>77</v>
      </c>
      <c r="X33" s="10"/>
      <c r="Y33" s="10"/>
      <c r="Z33" s="10"/>
      <c r="AA33" s="10"/>
      <c r="AB33" s="10"/>
    </row>
    <row r="34" spans="2:28" x14ac:dyDescent="0.25">
      <c r="B34" s="7" t="str">
        <f t="shared" si="0"/>
        <v>RADIOLOGIA</v>
      </c>
      <c r="C34" s="42" t="s">
        <v>125</v>
      </c>
      <c r="D34" s="46">
        <v>2</v>
      </c>
      <c r="E34" s="83" t="s">
        <v>128</v>
      </c>
      <c r="F34" s="43" t="s">
        <v>129</v>
      </c>
      <c r="G34" s="80">
        <f>SUM(TB_Radiologia1[[#This Row],[CH TEÓRICA]:[CH ONLINE]])</f>
        <v>66</v>
      </c>
      <c r="H34" s="79" t="s">
        <v>80</v>
      </c>
      <c r="I34" s="46">
        <v>66</v>
      </c>
      <c r="J34" s="46">
        <v>0</v>
      </c>
      <c r="K34" s="46">
        <v>0</v>
      </c>
      <c r="L34" s="46">
        <v>0</v>
      </c>
      <c r="M34" s="46">
        <v>0</v>
      </c>
      <c r="N34" s="46" t="s">
        <v>8</v>
      </c>
      <c r="O34" s="42">
        <f>ROUNDUP(TB_Radiologia1[[#This Row],[CH TOTAL]]/Cursos!$E$3,0)</f>
        <v>4</v>
      </c>
      <c r="P34" s="52" cm="1">
        <f t="array" ref="P34">IF(AND(TB_Radiologia1[[#This Row],[TIPIFICAÇÃO]]="TCC",TB_Radiologia1[[#This Row],[TIPO DE OFERTA]]="PRESENCIAL"),SUM(TB_Radiologia1[[#This Row],[CH TEÓRICA]:[CH PRÁTICA]]/66),IF(TB_Radiologia1[[#This Row],[TIPIFICAÇÃO]]="EST",1,IF(AND(IF(OR(TB_Radiologia1[[#This Row],[TIPIFICAÇÃO]]="HB",TB_Radiologia1[[#This Row],[TIPIFICAÇÃO]]="PR"),SUM(TB_Radiologia1[[#This Row],[CH TEÓRICA]:[CH PRÁTICA]])/66,IF(TB_Radiologia1[[#This Row],[TIPIFICAÇÃO]]="EXT",0.5,0))&gt;0.6,IF(OR(TB_Radiologia1[[#This Row],[TIPIFICAÇÃO]]="HB",TB_Radiologia1[[#This Row],[TIPIFICAÇÃO]]="PR"),SUM(TB_Radiologia1[[#This Row],[CH TEÓRICA]:[CH PRÁTICA]])/66,IF(TB_Radiologia1[[#This Row],[TIPIFICAÇÃO]]="EXT",0.5,0))&lt;0.8),1,IF(OR(TB_Radiologia1[[#This Row],[TIPIFICAÇÃO]]="HB",TB_Radiologia1[[#This Row],[TIPIFICAÇÃO]]="PR"),SUM(TB_Radiologia1[[#This Row],[CH TEÓRICA]:[CH PRÁTICA]])/66,IF(TB_Radiologia1[[#This Row],[TIPIFICAÇÃO]]="EXT",0.5,0)))))</f>
        <v>1</v>
      </c>
      <c r="Q34" s="44"/>
      <c r="R34" s="12" t="s">
        <v>68</v>
      </c>
      <c r="S34" s="10" cm="1">
        <f t="array" ref="S34">ROUNDUP(IFERROR(_xlfn.IFS(TB_Radiologia1[[#This Row],[TIPIFICAÇÃO]]="ON.A",0,AND(TB_Radiologia1[[#This Row],[TIPIFICAÇÃO]]="EST",TB_Radiologia1[[#This Row],[TIPO DE OFERTA]]="PRESENCIAL"),0,AND(TB_Radiologia1[[#This Row],[TIPIFICAÇÃO]]="PR",OR(TB_Radiologia1[[#This Row],[TIPO DE OFERTA]]="PRESENCIAL",TB_Radiologia1[[#This Row],[TIPO DE OFERTA]]="SEMI-PRESENCIAL")),TB_Radiologia1[[#This Row],[CH TEÓRICA]]+TB_Radiologia1[[#This Row],[CH PRÁTICA]],AND(TB_Radiologia1[[#This Row],[TIPIFICAÇÃO]]="HB",TB_Radiologia1[[#This Row],[TIPO DE OFERTA]]="PRESENCIAL"),TB_Radiologia1[[#This Row],[CH TEÓRICA]]+TB_Radiologia1[[#This Row],[CH PRÁTICA]],AND(TB_Radiologia1[[#This Row],[TIPIFICAÇÃO]]="EXT",OR(TB_Radiologia1[[#This Row],[TIPO DE OFERTA]]="PRESENCIAL",TB_Radiologia1[[#This Row],[TIPO DE OFERTA]]="SEMI-PRESENCIAL")),33,AND(TB_Radiologia1[[#This Row],[TIPIFICAÇÃO]]="TCC",TB_Radiologia1[[#This Row],[TIPO DE OFERTA]]="PRESENCIAL"),SUM(TB_Radiologia1[[#This Row],[CH TEÓRICA]],TB_Radiologia1[[#This Row],[CH PRÁTICA]]))/Cursos!$E$3,0),0)</f>
        <v>4</v>
      </c>
      <c r="T34" s="10">
        <f>IF(TB_Radiologia1[[#This Row],[TIPIFICAÇÃO]]="ON.S",ROUNDUP(TB_Radiologia1[[#This Row],[CH TEÓRICA]]/Cursos!$E$3,0),0)</f>
        <v>0</v>
      </c>
      <c r="U34" s="10" cm="1">
        <f t="array" ref="U34">IFERROR(_xlfn.IFS(TB_Radiologia1[[#This Row],[TIPIFICAÇÃO]]="ON.A",1,TB_Radiologia1[[#This Row],[TIPIFICAÇÃO]]="PR",0,TB_Radiologia1[[#This Row],[TIPIFICAÇÃO]]="HB",0,AND(TB_Radiologia1[[#This Row],[TIPIFICAÇÃO]]="EXT",OR(TB_Radiologia1[[#This Row],[TIPO DE OFERTA]]="SEMI-PRESENCIAL",TB_Radiologia1[[#This Row],[TIPO DE OFERTA]]="EAD 100%")),1),0)</f>
        <v>0</v>
      </c>
      <c r="V34" s="10" cm="1">
        <f t="array" ref="V34">ROUNDUP(IFERROR(_xlfn.IFS(TB_Radiologia1[[#This Row],[TIPIFICAÇÃO]]="ON.A",0,TB_Radiologia1[[#This Row],[TIPIFICAÇÃO]]="PR",0,TB_Radiologia1[[#This Row],[TIPIFICAÇÃO]]="HB",TB_Radiologia1[[#This Row],[CH ONLINE]],TB_Radiologia1[[#This Row],[TIPIFICAÇÃO]]="ON.S",0,AND(TB_Radiologia1[[#This Row],[TIPIFICAÇÃO]]="EXT",TB_Radiologia1[[#This Row],[TIPO DE OFERTA]]="PRESENCIAL"),TB_Radiologia1[[#This Row],[CRÉDITOS]]-TB_Radiologia1[[#This Row],[CRÉDITOS PAGO PROFESSOR]])/Cursos!$E$3,0),0)</f>
        <v>0</v>
      </c>
      <c r="W34" s="13" t="s">
        <v>77</v>
      </c>
      <c r="X34" s="10"/>
      <c r="Y34" s="10"/>
      <c r="Z34" s="10"/>
      <c r="AA34" s="10"/>
      <c r="AB34" s="10"/>
    </row>
    <row r="35" spans="2:28" x14ac:dyDescent="0.25">
      <c r="B35" s="7" t="str">
        <f t="shared" si="0"/>
        <v>RADIOLOGIA</v>
      </c>
      <c r="C35" s="42" t="s">
        <v>125</v>
      </c>
      <c r="D35" s="46">
        <v>3</v>
      </c>
      <c r="E35" s="83" t="s">
        <v>130</v>
      </c>
      <c r="F35" s="43" t="s">
        <v>131</v>
      </c>
      <c r="G35" s="80">
        <f>SUM(TB_Radiologia1[[#This Row],[CH TEÓRICA]:[CH ONLINE]])</f>
        <v>49</v>
      </c>
      <c r="H35" s="79" t="s">
        <v>80</v>
      </c>
      <c r="I35" s="46">
        <v>49</v>
      </c>
      <c r="J35" s="46">
        <v>0</v>
      </c>
      <c r="K35" s="46">
        <v>0</v>
      </c>
      <c r="L35" s="46">
        <v>0</v>
      </c>
      <c r="M35" s="46">
        <v>0</v>
      </c>
      <c r="N35" s="46" t="s">
        <v>8</v>
      </c>
      <c r="O35" s="42">
        <f>ROUNDUP(TB_Radiologia1[[#This Row],[CH TOTAL]]/Cursos!$E$3,0)</f>
        <v>3</v>
      </c>
      <c r="P35" s="52" cm="1">
        <f t="array" ref="P35">IF(AND(TB_Radiologia1[[#This Row],[TIPIFICAÇÃO]]="TCC",TB_Radiologia1[[#This Row],[TIPO DE OFERTA]]="PRESENCIAL"),SUM(TB_Radiologia1[[#This Row],[CH TEÓRICA]:[CH PRÁTICA]]/66),IF(TB_Radiologia1[[#This Row],[TIPIFICAÇÃO]]="EST",1,IF(AND(IF(OR(TB_Radiologia1[[#This Row],[TIPIFICAÇÃO]]="HB",TB_Radiologia1[[#This Row],[TIPIFICAÇÃO]]="PR"),SUM(TB_Radiologia1[[#This Row],[CH TEÓRICA]:[CH PRÁTICA]])/66,IF(TB_Radiologia1[[#This Row],[TIPIFICAÇÃO]]="EXT",0.5,0))&gt;0.6,IF(OR(TB_Radiologia1[[#This Row],[TIPIFICAÇÃO]]="HB",TB_Radiologia1[[#This Row],[TIPIFICAÇÃO]]="PR"),SUM(TB_Radiologia1[[#This Row],[CH TEÓRICA]:[CH PRÁTICA]])/66,IF(TB_Radiologia1[[#This Row],[TIPIFICAÇÃO]]="EXT",0.5,0))&lt;0.8),1,IF(OR(TB_Radiologia1[[#This Row],[TIPIFICAÇÃO]]="HB",TB_Radiologia1[[#This Row],[TIPIFICAÇÃO]]="PR"),SUM(TB_Radiologia1[[#This Row],[CH TEÓRICA]:[CH PRÁTICA]])/66,IF(TB_Radiologia1[[#This Row],[TIPIFICAÇÃO]]="EXT",0.5,0)))))</f>
        <v>1</v>
      </c>
      <c r="Q35" s="44"/>
      <c r="R35" s="12" t="s">
        <v>68</v>
      </c>
      <c r="S35" s="10" cm="1">
        <f t="array" ref="S35">ROUNDUP(IFERROR(_xlfn.IFS(TB_Radiologia1[[#This Row],[TIPIFICAÇÃO]]="ON.A",0,AND(TB_Radiologia1[[#This Row],[TIPIFICAÇÃO]]="EST",TB_Radiologia1[[#This Row],[TIPO DE OFERTA]]="PRESENCIAL"),0,AND(TB_Radiologia1[[#This Row],[TIPIFICAÇÃO]]="PR",OR(TB_Radiologia1[[#This Row],[TIPO DE OFERTA]]="PRESENCIAL",TB_Radiologia1[[#This Row],[TIPO DE OFERTA]]="SEMI-PRESENCIAL")),TB_Radiologia1[[#This Row],[CH TEÓRICA]]+TB_Radiologia1[[#This Row],[CH PRÁTICA]],AND(TB_Radiologia1[[#This Row],[TIPIFICAÇÃO]]="HB",TB_Radiologia1[[#This Row],[TIPO DE OFERTA]]="PRESENCIAL"),TB_Radiologia1[[#This Row],[CH TEÓRICA]]+TB_Radiologia1[[#This Row],[CH PRÁTICA]],AND(TB_Radiologia1[[#This Row],[TIPIFICAÇÃO]]="EXT",OR(TB_Radiologia1[[#This Row],[TIPO DE OFERTA]]="PRESENCIAL",TB_Radiologia1[[#This Row],[TIPO DE OFERTA]]="SEMI-PRESENCIAL")),33,AND(TB_Radiologia1[[#This Row],[TIPIFICAÇÃO]]="TCC",TB_Radiologia1[[#This Row],[TIPO DE OFERTA]]="PRESENCIAL"),SUM(TB_Radiologia1[[#This Row],[CH TEÓRICA]],TB_Radiologia1[[#This Row],[CH PRÁTICA]]))/Cursos!$E$3,0),0)</f>
        <v>3</v>
      </c>
      <c r="T35" s="10">
        <f>IF(TB_Radiologia1[[#This Row],[TIPIFICAÇÃO]]="ON.S",ROUNDUP(TB_Radiologia1[[#This Row],[CH TEÓRICA]]/Cursos!$E$3,0),0)</f>
        <v>0</v>
      </c>
      <c r="U35" s="10" cm="1">
        <f t="array" ref="U35">IFERROR(_xlfn.IFS(TB_Radiologia1[[#This Row],[TIPIFICAÇÃO]]="ON.A",1,TB_Radiologia1[[#This Row],[TIPIFICAÇÃO]]="PR",0,TB_Radiologia1[[#This Row],[TIPIFICAÇÃO]]="HB",0,AND(TB_Radiologia1[[#This Row],[TIPIFICAÇÃO]]="EXT",OR(TB_Radiologia1[[#This Row],[TIPO DE OFERTA]]="SEMI-PRESENCIAL",TB_Radiologia1[[#This Row],[TIPO DE OFERTA]]="EAD 100%")),1),0)</f>
        <v>0</v>
      </c>
      <c r="V35" s="10" cm="1">
        <f t="array" ref="V35">ROUNDUP(IFERROR(_xlfn.IFS(TB_Radiologia1[[#This Row],[TIPIFICAÇÃO]]="ON.A",0,TB_Radiologia1[[#This Row],[TIPIFICAÇÃO]]="PR",0,TB_Radiologia1[[#This Row],[TIPIFICAÇÃO]]="HB",TB_Radiologia1[[#This Row],[CH ONLINE]],TB_Radiologia1[[#This Row],[TIPIFICAÇÃO]]="ON.S",0,AND(TB_Radiologia1[[#This Row],[TIPIFICAÇÃO]]="EXT",TB_Radiologia1[[#This Row],[TIPO DE OFERTA]]="PRESENCIAL"),TB_Radiologia1[[#This Row],[CRÉDITOS]]-TB_Radiologia1[[#This Row],[CRÉDITOS PAGO PROFESSOR]])/Cursos!$E$3,0),0)</f>
        <v>0</v>
      </c>
      <c r="W35" s="13" t="s">
        <v>77</v>
      </c>
      <c r="X35" s="10"/>
      <c r="Y35" s="10"/>
      <c r="Z35" s="10"/>
      <c r="AA35" s="10"/>
      <c r="AB35" s="10"/>
    </row>
    <row r="36" spans="2:28" x14ac:dyDescent="0.25">
      <c r="B36" s="7" t="str">
        <f t="shared" si="0"/>
        <v>RADIOLOGIA</v>
      </c>
      <c r="C36" s="42" t="s">
        <v>125</v>
      </c>
      <c r="D36" s="46">
        <v>4</v>
      </c>
      <c r="E36" s="83" t="s">
        <v>132</v>
      </c>
      <c r="F36" s="43" t="s">
        <v>133</v>
      </c>
      <c r="G36" s="80">
        <f>SUM(TB_Radiologia1[[#This Row],[CH TEÓRICA]:[CH ONLINE]])</f>
        <v>66</v>
      </c>
      <c r="H36" s="79" t="s">
        <v>93</v>
      </c>
      <c r="I36" s="46">
        <v>0</v>
      </c>
      <c r="J36" s="46">
        <v>0</v>
      </c>
      <c r="K36" s="46">
        <v>0</v>
      </c>
      <c r="L36" s="46">
        <v>0</v>
      </c>
      <c r="M36" s="46">
        <v>66</v>
      </c>
      <c r="N36" s="46" t="s">
        <v>4</v>
      </c>
      <c r="O36" s="42">
        <f>ROUNDUP(TB_Radiologia1[[#This Row],[CH TOTAL]]/Cursos!$E$3,0)</f>
        <v>4</v>
      </c>
      <c r="P36" s="52" cm="1">
        <f t="array" ref="P36">IF(AND(TB_Radiologia1[[#This Row],[TIPIFICAÇÃO]]="TCC",TB_Radiologia1[[#This Row],[TIPO DE OFERTA]]="PRESENCIAL"),SUM(TB_Radiologia1[[#This Row],[CH TEÓRICA]:[CH PRÁTICA]]/66),IF(TB_Radiologia1[[#This Row],[TIPIFICAÇÃO]]="EST",1,IF(AND(IF(OR(TB_Radiologia1[[#This Row],[TIPIFICAÇÃO]]="HB",TB_Radiologia1[[#This Row],[TIPIFICAÇÃO]]="PR"),SUM(TB_Radiologia1[[#This Row],[CH TEÓRICA]:[CH PRÁTICA]])/66,IF(TB_Radiologia1[[#This Row],[TIPIFICAÇÃO]]="EXT",0.5,0))&gt;0.6,IF(OR(TB_Radiologia1[[#This Row],[TIPIFICAÇÃO]]="HB",TB_Radiologia1[[#This Row],[TIPIFICAÇÃO]]="PR"),SUM(TB_Radiologia1[[#This Row],[CH TEÓRICA]:[CH PRÁTICA]])/66,IF(TB_Radiologia1[[#This Row],[TIPIFICAÇÃO]]="EXT",0.5,0))&lt;0.8),1,IF(OR(TB_Radiologia1[[#This Row],[TIPIFICAÇÃO]]="HB",TB_Radiologia1[[#This Row],[TIPIFICAÇÃO]]="PR"),SUM(TB_Radiologia1[[#This Row],[CH TEÓRICA]:[CH PRÁTICA]])/66,IF(TB_Radiologia1[[#This Row],[TIPIFICAÇÃO]]="EXT",0.5,0)))))</f>
        <v>0</v>
      </c>
      <c r="Q36" s="44"/>
      <c r="R36" s="12" t="s">
        <v>68</v>
      </c>
      <c r="S36" s="10" cm="1">
        <f t="array" ref="S36">ROUNDUP(IFERROR(_xlfn.IFS(TB_Radiologia1[[#This Row],[TIPIFICAÇÃO]]="ON.A",0,AND(TB_Radiologia1[[#This Row],[TIPIFICAÇÃO]]="EST",TB_Radiologia1[[#This Row],[TIPO DE OFERTA]]="PRESENCIAL"),0,AND(TB_Radiologia1[[#This Row],[TIPIFICAÇÃO]]="PR",OR(TB_Radiologia1[[#This Row],[TIPO DE OFERTA]]="PRESENCIAL",TB_Radiologia1[[#This Row],[TIPO DE OFERTA]]="SEMI-PRESENCIAL")),TB_Radiologia1[[#This Row],[CH TEÓRICA]]+TB_Radiologia1[[#This Row],[CH PRÁTICA]],AND(TB_Radiologia1[[#This Row],[TIPIFICAÇÃO]]="HB",TB_Radiologia1[[#This Row],[TIPO DE OFERTA]]="PRESENCIAL"),TB_Radiologia1[[#This Row],[CH TEÓRICA]]+TB_Radiologia1[[#This Row],[CH PRÁTICA]],AND(TB_Radiologia1[[#This Row],[TIPIFICAÇÃO]]="EXT",OR(TB_Radiologia1[[#This Row],[TIPO DE OFERTA]]="PRESENCIAL",TB_Radiologia1[[#This Row],[TIPO DE OFERTA]]="SEMI-PRESENCIAL")),33,AND(TB_Radiologia1[[#This Row],[TIPIFICAÇÃO]]="TCC",TB_Radiologia1[[#This Row],[TIPO DE OFERTA]]="PRESENCIAL"),SUM(TB_Radiologia1[[#This Row],[CH TEÓRICA]],TB_Radiologia1[[#This Row],[CH PRÁTICA]]))/Cursos!$E$3,0),0)</f>
        <v>0</v>
      </c>
      <c r="T36" s="10">
        <f>IF(TB_Radiologia1[[#This Row],[TIPIFICAÇÃO]]="ON.S",ROUNDUP(TB_Radiologia1[[#This Row],[CH TEÓRICA]]/Cursos!$E$3,0),0)</f>
        <v>0</v>
      </c>
      <c r="U36" s="10" cm="1">
        <f t="array" ref="U36">IFERROR(_xlfn.IFS(TB_Radiologia1[[#This Row],[TIPIFICAÇÃO]]="ON.A",1,TB_Radiologia1[[#This Row],[TIPIFICAÇÃO]]="PR",0,TB_Radiologia1[[#This Row],[TIPIFICAÇÃO]]="HB",0,AND(TB_Radiologia1[[#This Row],[TIPIFICAÇÃO]]="EXT",OR(TB_Radiologia1[[#This Row],[TIPO DE OFERTA]]="SEMI-PRESENCIAL",TB_Radiologia1[[#This Row],[TIPO DE OFERTA]]="EAD 100%")),1),0)</f>
        <v>1</v>
      </c>
      <c r="V36" s="10" cm="1">
        <f t="array" ref="V36">ROUNDUP(IFERROR(_xlfn.IFS(TB_Radiologia1[[#This Row],[TIPIFICAÇÃO]]="ON.A",0,TB_Radiologia1[[#This Row],[TIPIFICAÇÃO]]="PR",0,TB_Radiologia1[[#This Row],[TIPIFICAÇÃO]]="HB",TB_Radiologia1[[#This Row],[CH ONLINE]],TB_Radiologia1[[#This Row],[TIPIFICAÇÃO]]="ON.S",0,AND(TB_Radiologia1[[#This Row],[TIPIFICAÇÃO]]="EXT",TB_Radiologia1[[#This Row],[TIPO DE OFERTA]]="PRESENCIAL"),TB_Radiologia1[[#This Row],[CRÉDITOS]]-TB_Radiologia1[[#This Row],[CRÉDITOS PAGO PROFESSOR]])/Cursos!$E$3,0),0)</f>
        <v>0</v>
      </c>
      <c r="W36" s="13" t="s">
        <v>77</v>
      </c>
      <c r="X36" s="10"/>
      <c r="Y36" s="10"/>
      <c r="Z36" s="10"/>
      <c r="AA36" s="10"/>
      <c r="AB36" s="10"/>
    </row>
    <row r="37" spans="2:28" x14ac:dyDescent="0.25">
      <c r="B37" s="7" t="str">
        <f t="shared" si="0"/>
        <v>RADIOLOGIA</v>
      </c>
      <c r="C37" s="42" t="s">
        <v>125</v>
      </c>
      <c r="D37" s="82">
        <v>5</v>
      </c>
      <c r="E37" s="84" t="s">
        <v>134</v>
      </c>
      <c r="F37" s="43" t="s">
        <v>135</v>
      </c>
      <c r="G37" s="80">
        <f>SUM(TB_Radiologia1[[#This Row],[CH TEÓRICA]:[CH ONLINE]])</f>
        <v>33</v>
      </c>
      <c r="H37" s="78" t="s">
        <v>80</v>
      </c>
      <c r="I37" s="82">
        <v>33</v>
      </c>
      <c r="J37" s="82">
        <v>0</v>
      </c>
      <c r="K37" s="81">
        <v>0</v>
      </c>
      <c r="L37" s="81">
        <v>0</v>
      </c>
      <c r="M37" s="82">
        <v>0</v>
      </c>
      <c r="N37" s="82" t="s">
        <v>8</v>
      </c>
      <c r="O37" s="42">
        <f>ROUNDUP(TB_Radiologia1[[#This Row],[CH TOTAL]]/Cursos!$E$3,0)</f>
        <v>2</v>
      </c>
      <c r="P37" s="52" cm="1">
        <f t="array" ref="P37">IF(AND(TB_Radiologia1[[#This Row],[TIPIFICAÇÃO]]="TCC",TB_Radiologia1[[#This Row],[TIPO DE OFERTA]]="PRESENCIAL"),SUM(TB_Radiologia1[[#This Row],[CH TEÓRICA]:[CH PRÁTICA]]/66),IF(TB_Radiologia1[[#This Row],[TIPIFICAÇÃO]]="EST",1,IF(AND(IF(OR(TB_Radiologia1[[#This Row],[TIPIFICAÇÃO]]="HB",TB_Radiologia1[[#This Row],[TIPIFICAÇÃO]]="PR"),SUM(TB_Radiologia1[[#This Row],[CH TEÓRICA]:[CH PRÁTICA]])/66,IF(TB_Radiologia1[[#This Row],[TIPIFICAÇÃO]]="EXT",0.5,0))&gt;0.6,IF(OR(TB_Radiologia1[[#This Row],[TIPIFICAÇÃO]]="HB",TB_Radiologia1[[#This Row],[TIPIFICAÇÃO]]="PR"),SUM(TB_Radiologia1[[#This Row],[CH TEÓRICA]:[CH PRÁTICA]])/66,IF(TB_Radiologia1[[#This Row],[TIPIFICAÇÃO]]="EXT",0.5,0))&lt;0.8),1,IF(OR(TB_Radiologia1[[#This Row],[TIPIFICAÇÃO]]="HB",TB_Radiologia1[[#This Row],[TIPIFICAÇÃO]]="PR"),SUM(TB_Radiologia1[[#This Row],[CH TEÓRICA]:[CH PRÁTICA]])/66,IF(TB_Radiologia1[[#This Row],[TIPIFICAÇÃO]]="EXT",0.5,0)))))</f>
        <v>0.5</v>
      </c>
      <c r="Q37" s="44"/>
      <c r="R37" s="12" t="s">
        <v>68</v>
      </c>
      <c r="S37" s="10" cm="1">
        <f t="array" ref="S37">ROUNDUP(IFERROR(_xlfn.IFS(TB_Radiologia1[[#This Row],[TIPIFICAÇÃO]]="ON.A",0,AND(TB_Radiologia1[[#This Row],[TIPIFICAÇÃO]]="EST",TB_Radiologia1[[#This Row],[TIPO DE OFERTA]]="PRESENCIAL"),0,AND(TB_Radiologia1[[#This Row],[TIPIFICAÇÃO]]="PR",OR(TB_Radiologia1[[#This Row],[TIPO DE OFERTA]]="PRESENCIAL",TB_Radiologia1[[#This Row],[TIPO DE OFERTA]]="SEMI-PRESENCIAL")),TB_Radiologia1[[#This Row],[CH TEÓRICA]]+TB_Radiologia1[[#This Row],[CH PRÁTICA]],AND(TB_Radiologia1[[#This Row],[TIPIFICAÇÃO]]="HB",TB_Radiologia1[[#This Row],[TIPO DE OFERTA]]="PRESENCIAL"),TB_Radiologia1[[#This Row],[CH TEÓRICA]]+TB_Radiologia1[[#This Row],[CH PRÁTICA]],AND(TB_Radiologia1[[#This Row],[TIPIFICAÇÃO]]="EXT",OR(TB_Radiologia1[[#This Row],[TIPO DE OFERTA]]="PRESENCIAL",TB_Radiologia1[[#This Row],[TIPO DE OFERTA]]="SEMI-PRESENCIAL")),33,AND(TB_Radiologia1[[#This Row],[TIPIFICAÇÃO]]="TCC",TB_Radiologia1[[#This Row],[TIPO DE OFERTA]]="PRESENCIAL"),SUM(TB_Radiologia1[[#This Row],[CH TEÓRICA]],TB_Radiologia1[[#This Row],[CH PRÁTICA]]))/Cursos!$E$3,0),0)</f>
        <v>2</v>
      </c>
      <c r="T37" s="10">
        <f>IF(TB_Radiologia1[[#This Row],[TIPIFICAÇÃO]]="ON.S",ROUNDUP(TB_Radiologia1[[#This Row],[CH TEÓRICA]]/Cursos!$E$3,0),0)</f>
        <v>0</v>
      </c>
      <c r="U37" s="10" cm="1">
        <f t="array" ref="U37">IFERROR(_xlfn.IFS(TB_Radiologia1[[#This Row],[TIPIFICAÇÃO]]="ON.A",1,TB_Radiologia1[[#This Row],[TIPIFICAÇÃO]]="PR",0,TB_Radiologia1[[#This Row],[TIPIFICAÇÃO]]="HB",0,AND(TB_Radiologia1[[#This Row],[TIPIFICAÇÃO]]="EXT",OR(TB_Radiologia1[[#This Row],[TIPO DE OFERTA]]="SEMI-PRESENCIAL",TB_Radiologia1[[#This Row],[TIPO DE OFERTA]]="EAD 100%")),1),0)</f>
        <v>0</v>
      </c>
      <c r="V37" s="10" cm="1">
        <f t="array" ref="V37">ROUNDUP(IFERROR(_xlfn.IFS(TB_Radiologia1[[#This Row],[TIPIFICAÇÃO]]="ON.A",0,TB_Radiologia1[[#This Row],[TIPIFICAÇÃO]]="PR",0,TB_Radiologia1[[#This Row],[TIPIFICAÇÃO]]="HB",TB_Radiologia1[[#This Row],[CH ONLINE]],TB_Radiologia1[[#This Row],[TIPIFICAÇÃO]]="ON.S",0,AND(TB_Radiologia1[[#This Row],[TIPIFICAÇÃO]]="EXT",TB_Radiologia1[[#This Row],[TIPO DE OFERTA]]="PRESENCIAL"),TB_Radiologia1[[#This Row],[CRÉDITOS]]-TB_Radiologia1[[#This Row],[CRÉDITOS PAGO PROFESSOR]])/Cursos!$E$3,0),0)</f>
        <v>0</v>
      </c>
      <c r="W37" s="13" t="s">
        <v>77</v>
      </c>
      <c r="X37" s="10"/>
      <c r="Y37" s="10"/>
      <c r="Z37" s="10"/>
      <c r="AA37" s="10"/>
      <c r="AB37" s="10"/>
    </row>
    <row r="38" spans="2:28" s="55" customFormat="1" x14ac:dyDescent="0.25">
      <c r="B38" s="10" t="str">
        <f t="shared" si="0"/>
        <v>RADIOLOGIA</v>
      </c>
      <c r="C38" s="54" t="s">
        <v>125</v>
      </c>
      <c r="D38" s="46">
        <v>6</v>
      </c>
      <c r="E38" s="83" t="s">
        <v>136</v>
      </c>
      <c r="F38" s="56" t="s">
        <v>137</v>
      </c>
      <c r="G38" s="80">
        <f>SUM(TB_Radiologia1[[#This Row],[CH TEÓRICA]:[CH ONLINE]])</f>
        <v>90</v>
      </c>
      <c r="H38" s="79" t="s">
        <v>90</v>
      </c>
      <c r="I38" s="46">
        <v>0</v>
      </c>
      <c r="J38" s="46">
        <v>0</v>
      </c>
      <c r="K38" s="46">
        <v>0</v>
      </c>
      <c r="L38" s="46">
        <v>90</v>
      </c>
      <c r="M38" s="46">
        <v>0</v>
      </c>
      <c r="N38" s="46" t="s">
        <v>12</v>
      </c>
      <c r="O38" s="42">
        <f>ROUNDUP(TB_Radiologia1[[#This Row],[CH TOTAL]]/Cursos!$E$3,0)</f>
        <v>6</v>
      </c>
      <c r="P38" s="52" cm="1">
        <f t="array" ref="P38">IF(AND(TB_Radiologia1[[#This Row],[TIPIFICAÇÃO]]="TCC",TB_Radiologia1[[#This Row],[TIPO DE OFERTA]]="PRESENCIAL"),SUM(TB_Radiologia1[[#This Row],[CH TEÓRICA]:[CH PRÁTICA]]/66),IF(TB_Radiologia1[[#This Row],[TIPIFICAÇÃO]]="EST",1,IF(AND(IF(OR(TB_Radiologia1[[#This Row],[TIPIFICAÇÃO]]="HB",TB_Radiologia1[[#This Row],[TIPIFICAÇÃO]]="PR"),SUM(TB_Radiologia1[[#This Row],[CH TEÓRICA]:[CH PRÁTICA]])/66,IF(TB_Radiologia1[[#This Row],[TIPIFICAÇÃO]]="EXT",0.5,0))&gt;0.6,IF(OR(TB_Radiologia1[[#This Row],[TIPIFICAÇÃO]]="HB",TB_Radiologia1[[#This Row],[TIPIFICAÇÃO]]="PR"),SUM(TB_Radiologia1[[#This Row],[CH TEÓRICA]:[CH PRÁTICA]])/66,IF(TB_Radiologia1[[#This Row],[TIPIFICAÇÃO]]="EXT",0.5,0))&lt;0.8),1,IF(OR(TB_Radiologia1[[#This Row],[TIPIFICAÇÃO]]="HB",TB_Radiologia1[[#This Row],[TIPIFICAÇÃO]]="PR"),SUM(TB_Radiologia1[[#This Row],[CH TEÓRICA]:[CH PRÁTICA]])/66,IF(TB_Radiologia1[[#This Row],[TIPIFICAÇÃO]]="EXT",0.5,0)))))</f>
        <v>0.5</v>
      </c>
      <c r="Q38" s="53"/>
      <c r="R38" s="12" t="s">
        <v>68</v>
      </c>
      <c r="S38" s="10" cm="1">
        <f t="array" ref="S38">ROUNDUP(IFERROR(_xlfn.IFS(TB_Radiologia1[[#This Row],[TIPIFICAÇÃO]]="ON.A",0,AND(TB_Radiologia1[[#This Row],[TIPIFICAÇÃO]]="EST",TB_Radiologia1[[#This Row],[TIPO DE OFERTA]]="PRESENCIAL"),0,AND(TB_Radiologia1[[#This Row],[TIPIFICAÇÃO]]="PR",OR(TB_Radiologia1[[#This Row],[TIPO DE OFERTA]]="PRESENCIAL",TB_Radiologia1[[#This Row],[TIPO DE OFERTA]]="SEMI-PRESENCIAL")),TB_Radiologia1[[#This Row],[CH TEÓRICA]]+TB_Radiologia1[[#This Row],[CH PRÁTICA]],AND(TB_Radiologia1[[#This Row],[TIPIFICAÇÃO]]="HB",TB_Radiologia1[[#This Row],[TIPO DE OFERTA]]="PRESENCIAL"),TB_Radiologia1[[#This Row],[CH TEÓRICA]]+TB_Radiologia1[[#This Row],[CH PRÁTICA]],AND(TB_Radiologia1[[#This Row],[TIPIFICAÇÃO]]="EXT",OR(TB_Radiologia1[[#This Row],[TIPO DE OFERTA]]="PRESENCIAL",TB_Radiologia1[[#This Row],[TIPO DE OFERTA]]="SEMI-PRESENCIAL")),33,AND(TB_Radiologia1[[#This Row],[TIPIFICAÇÃO]]="TCC",TB_Radiologia1[[#This Row],[TIPO DE OFERTA]]="PRESENCIAL"),SUM(TB_Radiologia1[[#This Row],[CH TEÓRICA]],TB_Radiologia1[[#This Row],[CH PRÁTICA]]))/Cursos!$E$3,0),0)</f>
        <v>2</v>
      </c>
      <c r="T38" s="10">
        <f>IF(TB_Radiologia1[[#This Row],[TIPIFICAÇÃO]]="ON.S",ROUNDUP(TB_Radiologia1[[#This Row],[CH TEÓRICA]]/Cursos!$E$3,0),0)</f>
        <v>0</v>
      </c>
      <c r="U38" s="10" cm="1">
        <f t="array" ref="U38">IFERROR(_xlfn.IFS(TB_Radiologia1[[#This Row],[TIPIFICAÇÃO]]="ON.A",1,TB_Radiologia1[[#This Row],[TIPIFICAÇÃO]]="PR",0,TB_Radiologia1[[#This Row],[TIPIFICAÇÃO]]="HB",0,AND(TB_Radiologia1[[#This Row],[TIPIFICAÇÃO]]="EXT",OR(TB_Radiologia1[[#This Row],[TIPO DE OFERTA]]="SEMI-PRESENCIAL",TB_Radiologia1[[#This Row],[TIPO DE OFERTA]]="EAD 100%")),1),0)</f>
        <v>0</v>
      </c>
      <c r="V38" s="10" cm="1">
        <f t="array" ref="V38">ROUNDUP(IFERROR(_xlfn.IFS(TB_Radiologia1[[#This Row],[TIPIFICAÇÃO]]="ON.A",0,TB_Radiologia1[[#This Row],[TIPIFICAÇÃO]]="PR",0,TB_Radiologia1[[#This Row],[TIPIFICAÇÃO]]="HB",TB_Radiologia1[[#This Row],[CH ONLINE]],TB_Radiologia1[[#This Row],[TIPIFICAÇÃO]]="ON.S",0,AND(TB_Radiologia1[[#This Row],[TIPIFICAÇÃO]]="EXT",TB_Radiologia1[[#This Row],[TIPO DE OFERTA]]="PRESENCIAL"),TB_Radiologia1[[#This Row],[CRÉDITOS]]-TB_Radiologia1[[#This Row],[CRÉDITOS PAGO PROFESSOR]])/Cursos!$E$3,0),0)</f>
        <v>1</v>
      </c>
      <c r="W38" s="13" t="s">
        <v>77</v>
      </c>
      <c r="X38" s="10"/>
      <c r="Y38" s="10"/>
      <c r="Z38" s="10"/>
      <c r="AA38" s="10"/>
      <c r="AB38" s="10"/>
    </row>
    <row r="39" spans="2:28" s="55" customFormat="1" x14ac:dyDescent="0.25">
      <c r="B39" s="10" t="str">
        <f t="shared" si="0"/>
        <v>RADIOLOGIA</v>
      </c>
      <c r="C39" s="54" t="s">
        <v>125</v>
      </c>
      <c r="D39" s="46">
        <v>7</v>
      </c>
      <c r="E39" s="83" t="s">
        <v>138</v>
      </c>
      <c r="F39" s="56" t="s">
        <v>139</v>
      </c>
      <c r="G39" s="80">
        <f>SUM(TB_Radiologia1[[#This Row],[CH TEÓRICA]:[CH ONLINE]])</f>
        <v>49</v>
      </c>
      <c r="H39" s="79" t="s">
        <v>80</v>
      </c>
      <c r="I39" s="46">
        <v>49</v>
      </c>
      <c r="J39" s="46">
        <v>0</v>
      </c>
      <c r="K39" s="46">
        <v>0</v>
      </c>
      <c r="L39" s="46">
        <v>0</v>
      </c>
      <c r="M39" s="46">
        <v>0</v>
      </c>
      <c r="N39" s="46" t="s">
        <v>8</v>
      </c>
      <c r="O39" s="42">
        <f>ROUNDUP(TB_Radiologia1[[#This Row],[CH TOTAL]]/Cursos!$E$3,0)</f>
        <v>3</v>
      </c>
      <c r="P39" s="52" cm="1">
        <f t="array" ref="P39">IF(AND(TB_Radiologia1[[#This Row],[TIPIFICAÇÃO]]="TCC",TB_Radiologia1[[#This Row],[TIPO DE OFERTA]]="PRESENCIAL"),SUM(TB_Radiologia1[[#This Row],[CH TEÓRICA]:[CH PRÁTICA]]/66),IF(TB_Radiologia1[[#This Row],[TIPIFICAÇÃO]]="EST",1,IF(AND(IF(OR(TB_Radiologia1[[#This Row],[TIPIFICAÇÃO]]="HB",TB_Radiologia1[[#This Row],[TIPIFICAÇÃO]]="PR"),SUM(TB_Radiologia1[[#This Row],[CH TEÓRICA]:[CH PRÁTICA]])/66,IF(TB_Radiologia1[[#This Row],[TIPIFICAÇÃO]]="EXT",0.5,0))&gt;0.6,IF(OR(TB_Radiologia1[[#This Row],[TIPIFICAÇÃO]]="HB",TB_Radiologia1[[#This Row],[TIPIFICAÇÃO]]="PR"),SUM(TB_Radiologia1[[#This Row],[CH TEÓRICA]:[CH PRÁTICA]])/66,IF(TB_Radiologia1[[#This Row],[TIPIFICAÇÃO]]="EXT",0.5,0))&lt;0.8),1,IF(OR(TB_Radiologia1[[#This Row],[TIPIFICAÇÃO]]="HB",TB_Radiologia1[[#This Row],[TIPIFICAÇÃO]]="PR"),SUM(TB_Radiologia1[[#This Row],[CH TEÓRICA]:[CH PRÁTICA]])/66,IF(TB_Radiologia1[[#This Row],[TIPIFICAÇÃO]]="EXT",0.5,0)))))</f>
        <v>1</v>
      </c>
      <c r="Q39" s="53"/>
      <c r="R39" s="12" t="s">
        <v>68</v>
      </c>
      <c r="S39" s="10" cm="1">
        <f t="array" ref="S39">ROUNDUP(IFERROR(_xlfn.IFS(TB_Radiologia1[[#This Row],[TIPIFICAÇÃO]]="ON.A",0,AND(TB_Radiologia1[[#This Row],[TIPIFICAÇÃO]]="EST",TB_Radiologia1[[#This Row],[TIPO DE OFERTA]]="PRESENCIAL"),0,AND(TB_Radiologia1[[#This Row],[TIPIFICAÇÃO]]="PR",OR(TB_Radiologia1[[#This Row],[TIPO DE OFERTA]]="PRESENCIAL",TB_Radiologia1[[#This Row],[TIPO DE OFERTA]]="SEMI-PRESENCIAL")),TB_Radiologia1[[#This Row],[CH TEÓRICA]]+TB_Radiologia1[[#This Row],[CH PRÁTICA]],AND(TB_Radiologia1[[#This Row],[TIPIFICAÇÃO]]="HB",TB_Radiologia1[[#This Row],[TIPO DE OFERTA]]="PRESENCIAL"),TB_Radiologia1[[#This Row],[CH TEÓRICA]]+TB_Radiologia1[[#This Row],[CH PRÁTICA]],AND(TB_Radiologia1[[#This Row],[TIPIFICAÇÃO]]="EXT",OR(TB_Radiologia1[[#This Row],[TIPO DE OFERTA]]="PRESENCIAL",TB_Radiologia1[[#This Row],[TIPO DE OFERTA]]="SEMI-PRESENCIAL")),33,AND(TB_Radiologia1[[#This Row],[TIPIFICAÇÃO]]="TCC",TB_Radiologia1[[#This Row],[TIPO DE OFERTA]]="PRESENCIAL"),SUM(TB_Radiologia1[[#This Row],[CH TEÓRICA]],TB_Radiologia1[[#This Row],[CH PRÁTICA]]))/Cursos!$E$3,0),0)</f>
        <v>3</v>
      </c>
      <c r="T39" s="10">
        <f>IF(TB_Radiologia1[[#This Row],[TIPIFICAÇÃO]]="ON.S",ROUNDUP(TB_Radiologia1[[#This Row],[CH TEÓRICA]]/Cursos!$E$3,0),0)</f>
        <v>0</v>
      </c>
      <c r="U39" s="10" cm="1">
        <f t="array" ref="U39">IFERROR(_xlfn.IFS(TB_Radiologia1[[#This Row],[TIPIFICAÇÃO]]="ON.A",1,TB_Radiologia1[[#This Row],[TIPIFICAÇÃO]]="PR",0,TB_Radiologia1[[#This Row],[TIPIFICAÇÃO]]="HB",0,AND(TB_Radiologia1[[#This Row],[TIPIFICAÇÃO]]="EXT",OR(TB_Radiologia1[[#This Row],[TIPO DE OFERTA]]="SEMI-PRESENCIAL",TB_Radiologia1[[#This Row],[TIPO DE OFERTA]]="EAD 100%")),1),0)</f>
        <v>0</v>
      </c>
      <c r="V39" s="10" cm="1">
        <f t="array" ref="V39">ROUNDUP(IFERROR(_xlfn.IFS(TB_Radiologia1[[#This Row],[TIPIFICAÇÃO]]="ON.A",0,TB_Radiologia1[[#This Row],[TIPIFICAÇÃO]]="PR",0,TB_Radiologia1[[#This Row],[TIPIFICAÇÃO]]="HB",TB_Radiologia1[[#This Row],[CH ONLINE]],TB_Radiologia1[[#This Row],[TIPIFICAÇÃO]]="ON.S",0,AND(TB_Radiologia1[[#This Row],[TIPIFICAÇÃO]]="EXT",TB_Radiologia1[[#This Row],[TIPO DE OFERTA]]="PRESENCIAL"),TB_Radiologia1[[#This Row],[CRÉDITOS]]-TB_Radiologia1[[#This Row],[CRÉDITOS PAGO PROFESSOR]])/Cursos!$E$3,0),0)</f>
        <v>0</v>
      </c>
      <c r="W39" s="13" t="s">
        <v>77</v>
      </c>
      <c r="X39" s="10"/>
      <c r="Y39" s="10"/>
      <c r="Z39" s="10"/>
      <c r="AA39" s="10"/>
      <c r="AB39" s="10"/>
    </row>
    <row r="40" spans="2:28" s="55" customFormat="1" x14ac:dyDescent="0.25">
      <c r="B40" s="57" t="str">
        <f>$J$2</f>
        <v>RADIOLOGIA</v>
      </c>
      <c r="C40" s="65" t="s">
        <v>96</v>
      </c>
      <c r="D40" s="59"/>
      <c r="E40" s="60"/>
      <c r="F40" s="58"/>
      <c r="G40" s="69">
        <f>SUBTOTAL(9,G33:G39)</f>
        <v>419</v>
      </c>
      <c r="H40" s="69"/>
      <c r="I40" s="69">
        <f t="shared" ref="I40:P40" si="4">SUBTOTAL(9,I33:I39)</f>
        <v>230</v>
      </c>
      <c r="J40" s="69">
        <f t="shared" si="4"/>
        <v>33</v>
      </c>
      <c r="K40" s="69">
        <f t="shared" si="4"/>
        <v>0</v>
      </c>
      <c r="L40" s="69">
        <f t="shared" si="4"/>
        <v>90</v>
      </c>
      <c r="M40" s="69">
        <f t="shared" si="4"/>
        <v>66</v>
      </c>
      <c r="N40" s="69"/>
      <c r="O40" s="69">
        <f t="shared" si="4"/>
        <v>26</v>
      </c>
      <c r="P40" s="69">
        <f t="shared" si="4"/>
        <v>5</v>
      </c>
      <c r="Q40" s="53"/>
      <c r="R40" s="12" t="s">
        <v>68</v>
      </c>
      <c r="S40" s="10" cm="1">
        <f t="array" ref="S40">ROUNDUP(IFERROR(_xlfn.IFS(TB_Radiologia1[[#This Row],[TIPIFICAÇÃO]]="ON.A",0,AND(TB_Radiologia1[[#This Row],[TIPIFICAÇÃO]]="EST",TB_Radiologia1[[#This Row],[TIPO DE OFERTA]]="PRESENCIAL"),0,AND(TB_Radiologia1[[#This Row],[TIPIFICAÇÃO]]="PR",OR(TB_Radiologia1[[#This Row],[TIPO DE OFERTA]]="PRESENCIAL",TB_Radiologia1[[#This Row],[TIPO DE OFERTA]]="SEMI-PRESENCIAL")),TB_Radiologia1[[#This Row],[CH TEÓRICA]]+TB_Radiologia1[[#This Row],[CH PRÁTICA]],AND(TB_Radiologia1[[#This Row],[TIPIFICAÇÃO]]="HB",TB_Radiologia1[[#This Row],[TIPO DE OFERTA]]="PRESENCIAL"),TB_Radiologia1[[#This Row],[CH TEÓRICA]]+TB_Radiologia1[[#This Row],[CH PRÁTICA]],AND(TB_Radiologia1[[#This Row],[TIPIFICAÇÃO]]="EXT",OR(TB_Radiologia1[[#This Row],[TIPO DE OFERTA]]="PRESENCIAL",TB_Radiologia1[[#This Row],[TIPO DE OFERTA]]="SEMI-PRESENCIAL")),33,AND(TB_Radiologia1[[#This Row],[TIPIFICAÇÃO]]="TCC",TB_Radiologia1[[#This Row],[TIPO DE OFERTA]]="PRESENCIAL"),SUM(TB_Radiologia1[[#This Row],[CH TEÓRICA]],TB_Radiologia1[[#This Row],[CH PRÁTICA]]))/Cursos!$E$3,0),0)</f>
        <v>0</v>
      </c>
      <c r="T40" s="10">
        <f>IF(TB_Radiologia1[[#This Row],[TIPIFICAÇÃO]]="ON.S",ROUNDUP(TB_Radiologia1[[#This Row],[CH TEÓRICA]]/Cursos!$E$3,0),0)</f>
        <v>0</v>
      </c>
      <c r="U40" s="10" cm="1">
        <f t="array" ref="U40">IFERROR(_xlfn.IFS(TB_Radiologia1[[#This Row],[TIPIFICAÇÃO]]="ON.A",1,TB_Radiologia1[[#This Row],[TIPIFICAÇÃO]]="PR",0,TB_Radiologia1[[#This Row],[TIPIFICAÇÃO]]="HB",0,AND(TB_Radiologia1[[#This Row],[TIPIFICAÇÃO]]="EXT",OR(TB_Radiologia1[[#This Row],[TIPO DE OFERTA]]="SEMI-PRESENCIAL",TB_Radiologia1[[#This Row],[TIPO DE OFERTA]]="EAD 100%")),1),0)</f>
        <v>0</v>
      </c>
      <c r="V40" s="10" cm="1">
        <f t="array" ref="V40">ROUNDUP(IFERROR(_xlfn.IFS(TB_Radiologia1[[#This Row],[TIPIFICAÇÃO]]="ON.A",0,TB_Radiologia1[[#This Row],[TIPIFICAÇÃO]]="PR",0,TB_Radiologia1[[#This Row],[TIPIFICAÇÃO]]="HB",TB_Radiologia1[[#This Row],[CH ONLINE]],TB_Radiologia1[[#This Row],[TIPIFICAÇÃO]]="ON.S",0,AND(TB_Radiologia1[[#This Row],[TIPIFICAÇÃO]]="EXT",TB_Radiologia1[[#This Row],[TIPO DE OFERTA]]="PRESENCIAL"),TB_Radiologia1[[#This Row],[CRÉDITOS]]-TB_Radiologia1[[#This Row],[CRÉDITOS PAGO PROFESSOR]])/Cursos!$E$3,0),0)</f>
        <v>0</v>
      </c>
      <c r="W40" s="13" t="s">
        <v>77</v>
      </c>
      <c r="X40" s="10"/>
      <c r="Y40" s="10"/>
      <c r="Z40" s="10"/>
      <c r="AA40" s="10"/>
      <c r="AB40" s="10"/>
    </row>
    <row r="41" spans="2:28" x14ac:dyDescent="0.25">
      <c r="B41" s="7" t="str">
        <f t="shared" si="0"/>
        <v>RADIOLOGIA</v>
      </c>
      <c r="C41" s="42" t="s">
        <v>140</v>
      </c>
      <c r="D41" s="46">
        <v>1</v>
      </c>
      <c r="E41" s="79" t="s">
        <v>141</v>
      </c>
      <c r="F41" s="45" t="s">
        <v>142</v>
      </c>
      <c r="G41" s="80">
        <f>SUM(TB_Radiologia1[[#This Row],[CH TEÓRICA]:[CH ONLINE]])</f>
        <v>66</v>
      </c>
      <c r="H41" s="79" t="s">
        <v>80</v>
      </c>
      <c r="I41" s="46">
        <v>33</v>
      </c>
      <c r="J41" s="46">
        <v>33</v>
      </c>
      <c r="K41" s="46">
        <v>0</v>
      </c>
      <c r="L41" s="46">
        <v>0</v>
      </c>
      <c r="M41" s="46">
        <v>0</v>
      </c>
      <c r="N41" s="46" t="s">
        <v>8</v>
      </c>
      <c r="O41" s="42">
        <f>ROUNDUP(TB_Radiologia1[[#This Row],[CH TOTAL]]/Cursos!$E$3,0)</f>
        <v>4</v>
      </c>
      <c r="P41" s="52" cm="1">
        <f t="array" ref="P41">IF(AND(TB_Radiologia1[[#This Row],[TIPIFICAÇÃO]]="TCC",TB_Radiologia1[[#This Row],[TIPO DE OFERTA]]="PRESENCIAL"),SUM(TB_Radiologia1[[#This Row],[CH TEÓRICA]:[CH PRÁTICA]]/66),IF(TB_Radiologia1[[#This Row],[TIPIFICAÇÃO]]="EST",1,IF(AND(IF(OR(TB_Radiologia1[[#This Row],[TIPIFICAÇÃO]]="HB",TB_Radiologia1[[#This Row],[TIPIFICAÇÃO]]="PR"),SUM(TB_Radiologia1[[#This Row],[CH TEÓRICA]:[CH PRÁTICA]])/66,IF(TB_Radiologia1[[#This Row],[TIPIFICAÇÃO]]="EXT",0.5,0))&gt;0.6,IF(OR(TB_Radiologia1[[#This Row],[TIPIFICAÇÃO]]="HB",TB_Radiologia1[[#This Row],[TIPIFICAÇÃO]]="PR"),SUM(TB_Radiologia1[[#This Row],[CH TEÓRICA]:[CH PRÁTICA]])/66,IF(TB_Radiologia1[[#This Row],[TIPIFICAÇÃO]]="EXT",0.5,0))&lt;0.8),1,IF(OR(TB_Radiologia1[[#This Row],[TIPIFICAÇÃO]]="HB",TB_Radiologia1[[#This Row],[TIPIFICAÇÃO]]="PR"),SUM(TB_Radiologia1[[#This Row],[CH TEÓRICA]:[CH PRÁTICA]])/66,IF(TB_Radiologia1[[#This Row],[TIPIFICAÇÃO]]="EXT",0.5,0)))))</f>
        <v>1</v>
      </c>
      <c r="Q41" s="44"/>
      <c r="R41" s="12" t="s">
        <v>68</v>
      </c>
      <c r="S41" s="10" cm="1">
        <f t="array" ref="S41">ROUNDUP(IFERROR(_xlfn.IFS(TB_Radiologia1[[#This Row],[TIPIFICAÇÃO]]="ON.A",0,AND(TB_Radiologia1[[#This Row],[TIPIFICAÇÃO]]="EST",TB_Radiologia1[[#This Row],[TIPO DE OFERTA]]="PRESENCIAL"),0,AND(TB_Radiologia1[[#This Row],[TIPIFICAÇÃO]]="PR",OR(TB_Radiologia1[[#This Row],[TIPO DE OFERTA]]="PRESENCIAL",TB_Radiologia1[[#This Row],[TIPO DE OFERTA]]="SEMI-PRESENCIAL")),TB_Radiologia1[[#This Row],[CH TEÓRICA]]+TB_Radiologia1[[#This Row],[CH PRÁTICA]],AND(TB_Radiologia1[[#This Row],[TIPIFICAÇÃO]]="HB",TB_Radiologia1[[#This Row],[TIPO DE OFERTA]]="PRESENCIAL"),TB_Radiologia1[[#This Row],[CH TEÓRICA]]+TB_Radiologia1[[#This Row],[CH PRÁTICA]],AND(TB_Radiologia1[[#This Row],[TIPIFICAÇÃO]]="EXT",OR(TB_Radiologia1[[#This Row],[TIPO DE OFERTA]]="PRESENCIAL",TB_Radiologia1[[#This Row],[TIPO DE OFERTA]]="SEMI-PRESENCIAL")),33,AND(TB_Radiologia1[[#This Row],[TIPIFICAÇÃO]]="TCC",TB_Radiologia1[[#This Row],[TIPO DE OFERTA]]="PRESENCIAL"),SUM(TB_Radiologia1[[#This Row],[CH TEÓRICA]],TB_Radiologia1[[#This Row],[CH PRÁTICA]]))/Cursos!$E$3,0),0)</f>
        <v>4</v>
      </c>
      <c r="T41" s="10">
        <f>IF(TB_Radiologia1[[#This Row],[TIPIFICAÇÃO]]="ON.S",ROUNDUP(TB_Radiologia1[[#This Row],[CH TEÓRICA]]/Cursos!$E$3,0),0)</f>
        <v>0</v>
      </c>
      <c r="U41" s="10" cm="1">
        <f t="array" ref="U41">IFERROR(_xlfn.IFS(TB_Radiologia1[[#This Row],[TIPIFICAÇÃO]]="ON.A",1,TB_Radiologia1[[#This Row],[TIPIFICAÇÃO]]="PR",0,TB_Radiologia1[[#This Row],[TIPIFICAÇÃO]]="HB",0,AND(TB_Radiologia1[[#This Row],[TIPIFICAÇÃO]]="EXT",OR(TB_Radiologia1[[#This Row],[TIPO DE OFERTA]]="SEMI-PRESENCIAL",TB_Radiologia1[[#This Row],[TIPO DE OFERTA]]="EAD 100%")),1),0)</f>
        <v>0</v>
      </c>
      <c r="V41" s="10" cm="1">
        <f t="array" ref="V41">ROUNDUP(IFERROR(_xlfn.IFS(TB_Radiologia1[[#This Row],[TIPIFICAÇÃO]]="ON.A",0,TB_Radiologia1[[#This Row],[TIPIFICAÇÃO]]="PR",0,TB_Radiologia1[[#This Row],[TIPIFICAÇÃO]]="HB",TB_Radiologia1[[#This Row],[CH ONLINE]],TB_Radiologia1[[#This Row],[TIPIFICAÇÃO]]="ON.S",0,AND(TB_Radiologia1[[#This Row],[TIPIFICAÇÃO]]="EXT",TB_Radiologia1[[#This Row],[TIPO DE OFERTA]]="PRESENCIAL"),TB_Radiologia1[[#This Row],[CRÉDITOS]]-TB_Radiologia1[[#This Row],[CRÉDITOS PAGO PROFESSOR]])/Cursos!$E$3,0),0)</f>
        <v>0</v>
      </c>
      <c r="W41" s="13" t="s">
        <v>77</v>
      </c>
      <c r="X41" s="10"/>
      <c r="Y41" s="10"/>
      <c r="Z41" s="10"/>
      <c r="AA41" s="10"/>
      <c r="AB41" s="10"/>
    </row>
    <row r="42" spans="2:28" x14ac:dyDescent="0.25">
      <c r="B42" s="7" t="str">
        <f t="shared" si="0"/>
        <v>RADIOLOGIA</v>
      </c>
      <c r="C42" s="42" t="s">
        <v>140</v>
      </c>
      <c r="D42" s="46">
        <v>2</v>
      </c>
      <c r="E42" s="79" t="s">
        <v>143</v>
      </c>
      <c r="F42" s="45" t="s">
        <v>144</v>
      </c>
      <c r="G42" s="80">
        <f>SUM(TB_Radiologia1[[#This Row],[CH TEÓRICA]:[CH ONLINE]])</f>
        <v>66</v>
      </c>
      <c r="H42" s="79" t="s">
        <v>80</v>
      </c>
      <c r="I42" s="46">
        <v>33</v>
      </c>
      <c r="J42" s="46">
        <v>33</v>
      </c>
      <c r="K42" s="46">
        <v>0</v>
      </c>
      <c r="L42" s="46">
        <v>0</v>
      </c>
      <c r="M42" s="46">
        <v>0</v>
      </c>
      <c r="N42" s="46" t="s">
        <v>8</v>
      </c>
      <c r="O42" s="42">
        <f>ROUNDUP(TB_Radiologia1[[#This Row],[CH TOTAL]]/Cursos!$E$3,0)</f>
        <v>4</v>
      </c>
      <c r="P42" s="52" cm="1">
        <f t="array" ref="P42">IF(AND(TB_Radiologia1[[#This Row],[TIPIFICAÇÃO]]="TCC",TB_Radiologia1[[#This Row],[TIPO DE OFERTA]]="PRESENCIAL"),SUM(TB_Radiologia1[[#This Row],[CH TEÓRICA]:[CH PRÁTICA]]/66),IF(TB_Radiologia1[[#This Row],[TIPIFICAÇÃO]]="EST",1,IF(AND(IF(OR(TB_Radiologia1[[#This Row],[TIPIFICAÇÃO]]="HB",TB_Radiologia1[[#This Row],[TIPIFICAÇÃO]]="PR"),SUM(TB_Radiologia1[[#This Row],[CH TEÓRICA]:[CH PRÁTICA]])/66,IF(TB_Radiologia1[[#This Row],[TIPIFICAÇÃO]]="EXT",0.5,0))&gt;0.6,IF(OR(TB_Radiologia1[[#This Row],[TIPIFICAÇÃO]]="HB",TB_Radiologia1[[#This Row],[TIPIFICAÇÃO]]="PR"),SUM(TB_Radiologia1[[#This Row],[CH TEÓRICA]:[CH PRÁTICA]])/66,IF(TB_Radiologia1[[#This Row],[TIPIFICAÇÃO]]="EXT",0.5,0))&lt;0.8),1,IF(OR(TB_Radiologia1[[#This Row],[TIPIFICAÇÃO]]="HB",TB_Radiologia1[[#This Row],[TIPIFICAÇÃO]]="PR"),SUM(TB_Radiologia1[[#This Row],[CH TEÓRICA]:[CH PRÁTICA]])/66,IF(TB_Radiologia1[[#This Row],[TIPIFICAÇÃO]]="EXT",0.5,0)))))</f>
        <v>1</v>
      </c>
      <c r="Q42" s="44"/>
      <c r="R42" s="12" t="s">
        <v>68</v>
      </c>
      <c r="S42" s="10" cm="1">
        <f t="array" ref="S42">ROUNDUP(IFERROR(_xlfn.IFS(TB_Radiologia1[[#This Row],[TIPIFICAÇÃO]]="ON.A",0,AND(TB_Radiologia1[[#This Row],[TIPIFICAÇÃO]]="EST",TB_Radiologia1[[#This Row],[TIPO DE OFERTA]]="PRESENCIAL"),0,AND(TB_Radiologia1[[#This Row],[TIPIFICAÇÃO]]="PR",OR(TB_Radiologia1[[#This Row],[TIPO DE OFERTA]]="PRESENCIAL",TB_Radiologia1[[#This Row],[TIPO DE OFERTA]]="SEMI-PRESENCIAL")),TB_Radiologia1[[#This Row],[CH TEÓRICA]]+TB_Radiologia1[[#This Row],[CH PRÁTICA]],AND(TB_Radiologia1[[#This Row],[TIPIFICAÇÃO]]="HB",TB_Radiologia1[[#This Row],[TIPO DE OFERTA]]="PRESENCIAL"),TB_Radiologia1[[#This Row],[CH TEÓRICA]]+TB_Radiologia1[[#This Row],[CH PRÁTICA]],AND(TB_Radiologia1[[#This Row],[TIPIFICAÇÃO]]="EXT",OR(TB_Radiologia1[[#This Row],[TIPO DE OFERTA]]="PRESENCIAL",TB_Radiologia1[[#This Row],[TIPO DE OFERTA]]="SEMI-PRESENCIAL")),33,AND(TB_Radiologia1[[#This Row],[TIPIFICAÇÃO]]="TCC",TB_Radiologia1[[#This Row],[TIPO DE OFERTA]]="PRESENCIAL"),SUM(TB_Radiologia1[[#This Row],[CH TEÓRICA]],TB_Radiologia1[[#This Row],[CH PRÁTICA]]))/Cursos!$E$3,0),0)</f>
        <v>4</v>
      </c>
      <c r="T42" s="10">
        <f>IF(TB_Radiologia1[[#This Row],[TIPIFICAÇÃO]]="ON.S",ROUNDUP(TB_Radiologia1[[#This Row],[CH TEÓRICA]]/Cursos!$E$3,0),0)</f>
        <v>0</v>
      </c>
      <c r="U42" s="10" cm="1">
        <f t="array" ref="U42">IFERROR(_xlfn.IFS(TB_Radiologia1[[#This Row],[TIPIFICAÇÃO]]="ON.A",1,TB_Radiologia1[[#This Row],[TIPIFICAÇÃO]]="PR",0,TB_Radiologia1[[#This Row],[TIPIFICAÇÃO]]="HB",0,AND(TB_Radiologia1[[#This Row],[TIPIFICAÇÃO]]="EXT",OR(TB_Radiologia1[[#This Row],[TIPO DE OFERTA]]="SEMI-PRESENCIAL",TB_Radiologia1[[#This Row],[TIPO DE OFERTA]]="EAD 100%")),1),0)</f>
        <v>0</v>
      </c>
      <c r="V42" s="10" cm="1">
        <f t="array" ref="V42">ROUNDUP(IFERROR(_xlfn.IFS(TB_Radiologia1[[#This Row],[TIPIFICAÇÃO]]="ON.A",0,TB_Radiologia1[[#This Row],[TIPIFICAÇÃO]]="PR",0,TB_Radiologia1[[#This Row],[TIPIFICAÇÃO]]="HB",TB_Radiologia1[[#This Row],[CH ONLINE]],TB_Radiologia1[[#This Row],[TIPIFICAÇÃO]]="ON.S",0,AND(TB_Radiologia1[[#This Row],[TIPIFICAÇÃO]]="EXT",TB_Radiologia1[[#This Row],[TIPO DE OFERTA]]="PRESENCIAL"),TB_Radiologia1[[#This Row],[CRÉDITOS]]-TB_Radiologia1[[#This Row],[CRÉDITOS PAGO PROFESSOR]])/Cursos!$E$3,0),0)</f>
        <v>0</v>
      </c>
      <c r="W42" s="13" t="s">
        <v>77</v>
      </c>
      <c r="X42" s="10"/>
      <c r="Y42" s="10"/>
      <c r="Z42" s="10"/>
      <c r="AA42" s="10"/>
      <c r="AB42" s="10"/>
    </row>
    <row r="43" spans="2:28" x14ac:dyDescent="0.25">
      <c r="B43" s="7" t="str">
        <f t="shared" si="0"/>
        <v>RADIOLOGIA</v>
      </c>
      <c r="C43" s="42" t="s">
        <v>140</v>
      </c>
      <c r="D43" s="46">
        <v>3</v>
      </c>
      <c r="E43" s="79" t="s">
        <v>145</v>
      </c>
      <c r="F43" s="45" t="s">
        <v>146</v>
      </c>
      <c r="G43" s="80">
        <f>SUM(TB_Radiologia1[[#This Row],[CH TEÓRICA]:[CH ONLINE]])</f>
        <v>49</v>
      </c>
      <c r="H43" s="79" t="s">
        <v>80</v>
      </c>
      <c r="I43" s="46">
        <v>33</v>
      </c>
      <c r="J43" s="46">
        <v>16</v>
      </c>
      <c r="K43" s="46">
        <v>0</v>
      </c>
      <c r="L43" s="46">
        <v>0</v>
      </c>
      <c r="M43" s="46">
        <v>0</v>
      </c>
      <c r="N43" s="46" t="s">
        <v>8</v>
      </c>
      <c r="O43" s="42">
        <f>ROUNDUP(TB_Radiologia1[[#This Row],[CH TOTAL]]/Cursos!$E$3,0)</f>
        <v>3</v>
      </c>
      <c r="P43" s="52" cm="1">
        <f t="array" ref="P43">IF(AND(TB_Radiologia1[[#This Row],[TIPIFICAÇÃO]]="TCC",TB_Radiologia1[[#This Row],[TIPO DE OFERTA]]="PRESENCIAL"),SUM(TB_Radiologia1[[#This Row],[CH TEÓRICA]:[CH PRÁTICA]]/66),IF(TB_Radiologia1[[#This Row],[TIPIFICAÇÃO]]="EST",1,IF(AND(IF(OR(TB_Radiologia1[[#This Row],[TIPIFICAÇÃO]]="HB",TB_Radiologia1[[#This Row],[TIPIFICAÇÃO]]="PR"),SUM(TB_Radiologia1[[#This Row],[CH TEÓRICA]:[CH PRÁTICA]])/66,IF(TB_Radiologia1[[#This Row],[TIPIFICAÇÃO]]="EXT",0.5,0))&gt;0.6,IF(OR(TB_Radiologia1[[#This Row],[TIPIFICAÇÃO]]="HB",TB_Radiologia1[[#This Row],[TIPIFICAÇÃO]]="PR"),SUM(TB_Radiologia1[[#This Row],[CH TEÓRICA]:[CH PRÁTICA]])/66,IF(TB_Radiologia1[[#This Row],[TIPIFICAÇÃO]]="EXT",0.5,0))&lt;0.8),1,IF(OR(TB_Radiologia1[[#This Row],[TIPIFICAÇÃO]]="HB",TB_Radiologia1[[#This Row],[TIPIFICAÇÃO]]="PR"),SUM(TB_Radiologia1[[#This Row],[CH TEÓRICA]:[CH PRÁTICA]])/66,IF(TB_Radiologia1[[#This Row],[TIPIFICAÇÃO]]="EXT",0.5,0)))))</f>
        <v>1</v>
      </c>
      <c r="Q43" s="44"/>
      <c r="R43" s="12" t="s">
        <v>68</v>
      </c>
      <c r="S43" s="10" cm="1">
        <f t="array" ref="S43">ROUNDUP(IFERROR(_xlfn.IFS(TB_Radiologia1[[#This Row],[TIPIFICAÇÃO]]="ON.A",0,AND(TB_Radiologia1[[#This Row],[TIPIFICAÇÃO]]="EST",TB_Radiologia1[[#This Row],[TIPO DE OFERTA]]="PRESENCIAL"),0,AND(TB_Radiologia1[[#This Row],[TIPIFICAÇÃO]]="PR",OR(TB_Radiologia1[[#This Row],[TIPO DE OFERTA]]="PRESENCIAL",TB_Radiologia1[[#This Row],[TIPO DE OFERTA]]="SEMI-PRESENCIAL")),TB_Radiologia1[[#This Row],[CH TEÓRICA]]+TB_Radiologia1[[#This Row],[CH PRÁTICA]],AND(TB_Radiologia1[[#This Row],[TIPIFICAÇÃO]]="HB",TB_Radiologia1[[#This Row],[TIPO DE OFERTA]]="PRESENCIAL"),TB_Radiologia1[[#This Row],[CH TEÓRICA]]+TB_Radiologia1[[#This Row],[CH PRÁTICA]],AND(TB_Radiologia1[[#This Row],[TIPIFICAÇÃO]]="EXT",OR(TB_Radiologia1[[#This Row],[TIPO DE OFERTA]]="PRESENCIAL",TB_Radiologia1[[#This Row],[TIPO DE OFERTA]]="SEMI-PRESENCIAL")),33,AND(TB_Radiologia1[[#This Row],[TIPIFICAÇÃO]]="TCC",TB_Radiologia1[[#This Row],[TIPO DE OFERTA]]="PRESENCIAL"),SUM(TB_Radiologia1[[#This Row],[CH TEÓRICA]],TB_Radiologia1[[#This Row],[CH PRÁTICA]]))/Cursos!$E$3,0),0)</f>
        <v>3</v>
      </c>
      <c r="T43" s="10">
        <f>IF(TB_Radiologia1[[#This Row],[TIPIFICAÇÃO]]="ON.S",ROUNDUP(TB_Radiologia1[[#This Row],[CH TEÓRICA]]/Cursos!$E$3,0),0)</f>
        <v>0</v>
      </c>
      <c r="U43" s="10" cm="1">
        <f t="array" ref="U43">IFERROR(_xlfn.IFS(TB_Radiologia1[[#This Row],[TIPIFICAÇÃO]]="ON.A",1,TB_Radiologia1[[#This Row],[TIPIFICAÇÃO]]="PR",0,TB_Radiologia1[[#This Row],[TIPIFICAÇÃO]]="HB",0,AND(TB_Radiologia1[[#This Row],[TIPIFICAÇÃO]]="EXT",OR(TB_Radiologia1[[#This Row],[TIPO DE OFERTA]]="SEMI-PRESENCIAL",TB_Radiologia1[[#This Row],[TIPO DE OFERTA]]="EAD 100%")),1),0)</f>
        <v>0</v>
      </c>
      <c r="V43" s="10" cm="1">
        <f t="array" ref="V43">ROUNDUP(IFERROR(_xlfn.IFS(TB_Radiologia1[[#This Row],[TIPIFICAÇÃO]]="ON.A",0,TB_Radiologia1[[#This Row],[TIPIFICAÇÃO]]="PR",0,TB_Radiologia1[[#This Row],[TIPIFICAÇÃO]]="HB",TB_Radiologia1[[#This Row],[CH ONLINE]],TB_Radiologia1[[#This Row],[TIPIFICAÇÃO]]="ON.S",0,AND(TB_Radiologia1[[#This Row],[TIPIFICAÇÃO]]="EXT",TB_Radiologia1[[#This Row],[TIPO DE OFERTA]]="PRESENCIAL"),TB_Radiologia1[[#This Row],[CRÉDITOS]]-TB_Radiologia1[[#This Row],[CRÉDITOS PAGO PROFESSOR]])/Cursos!$E$3,0),0)</f>
        <v>0</v>
      </c>
      <c r="W43" s="13" t="s">
        <v>77</v>
      </c>
      <c r="X43" s="10"/>
      <c r="Y43" s="10"/>
      <c r="Z43" s="10"/>
      <c r="AA43" s="10"/>
      <c r="AB43" s="10"/>
    </row>
    <row r="44" spans="2:28" x14ac:dyDescent="0.25">
      <c r="B44" s="7" t="str">
        <f t="shared" si="0"/>
        <v>RADIOLOGIA</v>
      </c>
      <c r="C44" s="42" t="s">
        <v>140</v>
      </c>
      <c r="D44" s="46">
        <v>4</v>
      </c>
      <c r="E44" s="79" t="s">
        <v>147</v>
      </c>
      <c r="F44" s="45" t="s">
        <v>127</v>
      </c>
      <c r="G44" s="80">
        <f>SUM(TB_Radiologia1[[#This Row],[CH TEÓRICA]:[CH ONLINE]])</f>
        <v>49</v>
      </c>
      <c r="H44" s="79" t="s">
        <v>80</v>
      </c>
      <c r="I44" s="46">
        <v>49</v>
      </c>
      <c r="J44" s="46">
        <v>0</v>
      </c>
      <c r="K44" s="46">
        <v>0</v>
      </c>
      <c r="L44" s="46">
        <v>0</v>
      </c>
      <c r="M44" s="46">
        <v>0</v>
      </c>
      <c r="N44" s="46" t="s">
        <v>8</v>
      </c>
      <c r="O44" s="42">
        <f>ROUNDUP(TB_Radiologia1[[#This Row],[CH TOTAL]]/Cursos!$E$3,0)</f>
        <v>3</v>
      </c>
      <c r="P44" s="52" cm="1">
        <f t="array" ref="P44">IF(AND(TB_Radiologia1[[#This Row],[TIPIFICAÇÃO]]="TCC",TB_Radiologia1[[#This Row],[TIPO DE OFERTA]]="PRESENCIAL"),SUM(TB_Radiologia1[[#This Row],[CH TEÓRICA]:[CH PRÁTICA]]/66),IF(TB_Radiologia1[[#This Row],[TIPIFICAÇÃO]]="EST",1,IF(AND(IF(OR(TB_Radiologia1[[#This Row],[TIPIFICAÇÃO]]="HB",TB_Radiologia1[[#This Row],[TIPIFICAÇÃO]]="PR"),SUM(TB_Radiologia1[[#This Row],[CH TEÓRICA]:[CH PRÁTICA]])/66,IF(TB_Radiologia1[[#This Row],[TIPIFICAÇÃO]]="EXT",0.5,0))&gt;0.6,IF(OR(TB_Radiologia1[[#This Row],[TIPIFICAÇÃO]]="HB",TB_Radiologia1[[#This Row],[TIPIFICAÇÃO]]="PR"),SUM(TB_Radiologia1[[#This Row],[CH TEÓRICA]:[CH PRÁTICA]])/66,IF(TB_Radiologia1[[#This Row],[TIPIFICAÇÃO]]="EXT",0.5,0))&lt;0.8),1,IF(OR(TB_Radiologia1[[#This Row],[TIPIFICAÇÃO]]="HB",TB_Radiologia1[[#This Row],[TIPIFICAÇÃO]]="PR"),SUM(TB_Radiologia1[[#This Row],[CH TEÓRICA]:[CH PRÁTICA]])/66,IF(TB_Radiologia1[[#This Row],[TIPIFICAÇÃO]]="EXT",0.5,0)))))</f>
        <v>1</v>
      </c>
      <c r="Q44" s="44"/>
      <c r="R44" s="12" t="s">
        <v>68</v>
      </c>
      <c r="S44" s="10" cm="1">
        <f t="array" ref="S44">ROUNDUP(IFERROR(_xlfn.IFS(TB_Radiologia1[[#This Row],[TIPIFICAÇÃO]]="ON.A",0,AND(TB_Radiologia1[[#This Row],[TIPIFICAÇÃO]]="EST",TB_Radiologia1[[#This Row],[TIPO DE OFERTA]]="PRESENCIAL"),0,AND(TB_Radiologia1[[#This Row],[TIPIFICAÇÃO]]="PR",OR(TB_Radiologia1[[#This Row],[TIPO DE OFERTA]]="PRESENCIAL",TB_Radiologia1[[#This Row],[TIPO DE OFERTA]]="SEMI-PRESENCIAL")),TB_Radiologia1[[#This Row],[CH TEÓRICA]]+TB_Radiologia1[[#This Row],[CH PRÁTICA]],AND(TB_Radiologia1[[#This Row],[TIPIFICAÇÃO]]="HB",TB_Radiologia1[[#This Row],[TIPO DE OFERTA]]="PRESENCIAL"),TB_Radiologia1[[#This Row],[CH TEÓRICA]]+TB_Radiologia1[[#This Row],[CH PRÁTICA]],AND(TB_Radiologia1[[#This Row],[TIPIFICAÇÃO]]="EXT",OR(TB_Radiologia1[[#This Row],[TIPO DE OFERTA]]="PRESENCIAL",TB_Radiologia1[[#This Row],[TIPO DE OFERTA]]="SEMI-PRESENCIAL")),33,AND(TB_Radiologia1[[#This Row],[TIPIFICAÇÃO]]="TCC",TB_Radiologia1[[#This Row],[TIPO DE OFERTA]]="PRESENCIAL"),SUM(TB_Radiologia1[[#This Row],[CH TEÓRICA]],TB_Radiologia1[[#This Row],[CH PRÁTICA]]))/Cursos!$E$3,0),0)</f>
        <v>3</v>
      </c>
      <c r="T44" s="10">
        <f>IF(TB_Radiologia1[[#This Row],[TIPIFICAÇÃO]]="ON.S",ROUNDUP(TB_Radiologia1[[#This Row],[CH TEÓRICA]]/Cursos!$E$3,0),0)</f>
        <v>0</v>
      </c>
      <c r="U44" s="10" cm="1">
        <f t="array" ref="U44">IFERROR(_xlfn.IFS(TB_Radiologia1[[#This Row],[TIPIFICAÇÃO]]="ON.A",1,TB_Radiologia1[[#This Row],[TIPIFICAÇÃO]]="PR",0,TB_Radiologia1[[#This Row],[TIPIFICAÇÃO]]="HB",0,AND(TB_Radiologia1[[#This Row],[TIPIFICAÇÃO]]="EXT",OR(TB_Radiologia1[[#This Row],[TIPO DE OFERTA]]="SEMI-PRESENCIAL",TB_Radiologia1[[#This Row],[TIPO DE OFERTA]]="EAD 100%")),1),0)</f>
        <v>0</v>
      </c>
      <c r="V44" s="10" cm="1">
        <f t="array" ref="V44">ROUNDUP(IFERROR(_xlfn.IFS(TB_Radiologia1[[#This Row],[TIPIFICAÇÃO]]="ON.A",0,TB_Radiologia1[[#This Row],[TIPIFICAÇÃO]]="PR",0,TB_Radiologia1[[#This Row],[TIPIFICAÇÃO]]="HB",TB_Radiologia1[[#This Row],[CH ONLINE]],TB_Radiologia1[[#This Row],[TIPIFICAÇÃO]]="ON.S",0,AND(TB_Radiologia1[[#This Row],[TIPIFICAÇÃO]]="EXT",TB_Radiologia1[[#This Row],[TIPO DE OFERTA]]="PRESENCIAL"),TB_Radiologia1[[#This Row],[CRÉDITOS]]-TB_Radiologia1[[#This Row],[CRÉDITOS PAGO PROFESSOR]])/Cursos!$E$3,0),0)</f>
        <v>0</v>
      </c>
      <c r="W44" s="13" t="s">
        <v>77</v>
      </c>
      <c r="X44" s="10"/>
      <c r="Y44" s="10"/>
      <c r="Z44" s="10"/>
      <c r="AA44" s="10"/>
      <c r="AB44" s="10"/>
    </row>
    <row r="45" spans="2:28" x14ac:dyDescent="0.25">
      <c r="B45" s="7" t="str">
        <f t="shared" si="0"/>
        <v>RADIOLOGIA</v>
      </c>
      <c r="C45" s="42" t="s">
        <v>140</v>
      </c>
      <c r="D45" s="46">
        <v>5</v>
      </c>
      <c r="E45" s="79" t="s">
        <v>148</v>
      </c>
      <c r="F45" s="45" t="s">
        <v>149</v>
      </c>
      <c r="G45" s="80">
        <f>SUM(TB_Radiologia1[[#This Row],[CH TEÓRICA]:[CH ONLINE]])</f>
        <v>244</v>
      </c>
      <c r="H45" s="79" t="s">
        <v>44</v>
      </c>
      <c r="I45" s="46">
        <v>0</v>
      </c>
      <c r="J45" s="46">
        <v>0</v>
      </c>
      <c r="K45" s="46">
        <v>244</v>
      </c>
      <c r="L45" s="46">
        <v>0</v>
      </c>
      <c r="M45" s="46">
        <v>0</v>
      </c>
      <c r="N45" s="46" t="s">
        <v>14</v>
      </c>
      <c r="O45" s="42">
        <f>ROUNDUP(TB_Radiologia1[[#This Row],[CH TOTAL]]/Cursos!$E$3,0)</f>
        <v>15</v>
      </c>
      <c r="P45" s="52" cm="1">
        <f t="array" ref="P45">IF(AND(TB_Radiologia1[[#This Row],[TIPIFICAÇÃO]]="TCC",TB_Radiologia1[[#This Row],[TIPO DE OFERTA]]="PRESENCIAL"),SUM(TB_Radiologia1[[#This Row],[CH TEÓRICA]:[CH PRÁTICA]]/66),IF(TB_Radiologia1[[#This Row],[TIPIFICAÇÃO]]="EST",1,IF(AND(IF(OR(TB_Radiologia1[[#This Row],[TIPIFICAÇÃO]]="HB",TB_Radiologia1[[#This Row],[TIPIFICAÇÃO]]="PR"),SUM(TB_Radiologia1[[#This Row],[CH TEÓRICA]:[CH PRÁTICA]])/66,IF(TB_Radiologia1[[#This Row],[TIPIFICAÇÃO]]="EXT",0.5,0))&gt;0.6,IF(OR(TB_Radiologia1[[#This Row],[TIPIFICAÇÃO]]="HB",TB_Radiologia1[[#This Row],[TIPIFICAÇÃO]]="PR"),SUM(TB_Radiologia1[[#This Row],[CH TEÓRICA]:[CH PRÁTICA]])/66,IF(TB_Radiologia1[[#This Row],[TIPIFICAÇÃO]]="EXT",0.5,0))&lt;0.8),1,IF(OR(TB_Radiologia1[[#This Row],[TIPIFICAÇÃO]]="HB",TB_Radiologia1[[#This Row],[TIPIFICAÇÃO]]="PR"),SUM(TB_Radiologia1[[#This Row],[CH TEÓRICA]:[CH PRÁTICA]])/66,IF(TB_Radiologia1[[#This Row],[TIPIFICAÇÃO]]="EXT",0.5,0)))))</f>
        <v>1</v>
      </c>
      <c r="Q45" s="44"/>
      <c r="R45" s="12" t="s">
        <v>68</v>
      </c>
      <c r="S45" s="10" cm="1">
        <f t="array" ref="S45">ROUNDUP(IFERROR(_xlfn.IFS(TB_Radiologia1[[#This Row],[TIPIFICAÇÃO]]="ON.A",0,AND(TB_Radiologia1[[#This Row],[TIPIFICAÇÃO]]="EST",TB_Radiologia1[[#This Row],[TIPO DE OFERTA]]="PRESENCIAL"),0,AND(TB_Radiologia1[[#This Row],[TIPIFICAÇÃO]]="PR",OR(TB_Radiologia1[[#This Row],[TIPO DE OFERTA]]="PRESENCIAL",TB_Radiologia1[[#This Row],[TIPO DE OFERTA]]="SEMI-PRESENCIAL")),TB_Radiologia1[[#This Row],[CH TEÓRICA]]+TB_Radiologia1[[#This Row],[CH PRÁTICA]],AND(TB_Radiologia1[[#This Row],[TIPIFICAÇÃO]]="HB",TB_Radiologia1[[#This Row],[TIPO DE OFERTA]]="PRESENCIAL"),TB_Radiologia1[[#This Row],[CH TEÓRICA]]+TB_Radiologia1[[#This Row],[CH PRÁTICA]],AND(TB_Radiologia1[[#This Row],[TIPIFICAÇÃO]]="EXT",OR(TB_Radiologia1[[#This Row],[TIPO DE OFERTA]]="PRESENCIAL",TB_Radiologia1[[#This Row],[TIPO DE OFERTA]]="SEMI-PRESENCIAL")),33,AND(TB_Radiologia1[[#This Row],[TIPIFICAÇÃO]]="TCC",TB_Radiologia1[[#This Row],[TIPO DE OFERTA]]="PRESENCIAL"),SUM(TB_Radiologia1[[#This Row],[CH TEÓRICA]],TB_Radiologia1[[#This Row],[CH PRÁTICA]]))/Cursos!$E$3,0),0)</f>
        <v>0</v>
      </c>
      <c r="T45" s="10">
        <f>IF(TB_Radiologia1[[#This Row],[TIPIFICAÇÃO]]="ON.S",ROUNDUP(TB_Radiologia1[[#This Row],[CH TEÓRICA]]/Cursos!$E$3,0),0)</f>
        <v>0</v>
      </c>
      <c r="U45" s="10" cm="1">
        <f t="array" ref="U45">IFERROR(_xlfn.IFS(TB_Radiologia1[[#This Row],[TIPIFICAÇÃO]]="ON.A",1,TB_Radiologia1[[#This Row],[TIPIFICAÇÃO]]="PR",0,TB_Radiologia1[[#This Row],[TIPIFICAÇÃO]]="HB",0,AND(TB_Radiologia1[[#This Row],[TIPIFICAÇÃO]]="EXT",OR(TB_Radiologia1[[#This Row],[TIPO DE OFERTA]]="SEMI-PRESENCIAL",TB_Radiologia1[[#This Row],[TIPO DE OFERTA]]="EAD 100%")),1),0)</f>
        <v>0</v>
      </c>
      <c r="V45" s="10" cm="1">
        <f t="array" ref="V45">ROUNDUP(IFERROR(_xlfn.IFS(TB_Radiologia1[[#This Row],[TIPIFICAÇÃO]]="ON.A",0,TB_Radiologia1[[#This Row],[TIPIFICAÇÃO]]="PR",0,TB_Radiologia1[[#This Row],[TIPIFICAÇÃO]]="HB",TB_Radiologia1[[#This Row],[CH ONLINE]],TB_Radiologia1[[#This Row],[TIPIFICAÇÃO]]="ON.S",0,AND(TB_Radiologia1[[#This Row],[TIPIFICAÇÃO]]="EXT",TB_Radiologia1[[#This Row],[TIPO DE OFERTA]]="PRESENCIAL"),TB_Radiologia1[[#This Row],[CRÉDITOS]]-TB_Radiologia1[[#This Row],[CRÉDITOS PAGO PROFESSOR]])/Cursos!$E$3,0),0)</f>
        <v>0</v>
      </c>
      <c r="W45" s="13" t="s">
        <v>77</v>
      </c>
      <c r="X45" s="10"/>
      <c r="Y45" s="10"/>
      <c r="Z45" s="10"/>
      <c r="AA45" s="10"/>
      <c r="AB45" s="10"/>
    </row>
    <row r="46" spans="2:28" x14ac:dyDescent="0.25">
      <c r="B46" s="57" t="str">
        <f>$J$2</f>
        <v>RADIOLOGIA</v>
      </c>
      <c r="C46" s="65" t="s">
        <v>96</v>
      </c>
      <c r="D46" s="59"/>
      <c r="E46" s="60"/>
      <c r="F46" s="58"/>
      <c r="G46" s="69">
        <f t="shared" ref="G46:P46" si="5">SUBTOTAL(9,G41:G45)</f>
        <v>474</v>
      </c>
      <c r="H46" s="69"/>
      <c r="I46" s="69">
        <f t="shared" si="5"/>
        <v>148</v>
      </c>
      <c r="J46" s="69">
        <f t="shared" si="5"/>
        <v>82</v>
      </c>
      <c r="K46" s="69">
        <f t="shared" si="5"/>
        <v>244</v>
      </c>
      <c r="L46" s="69">
        <f t="shared" si="5"/>
        <v>0</v>
      </c>
      <c r="M46" s="69">
        <f t="shared" si="5"/>
        <v>0</v>
      </c>
      <c r="N46" s="69"/>
      <c r="O46" s="69">
        <f t="shared" si="5"/>
        <v>29</v>
      </c>
      <c r="P46" s="69">
        <f t="shared" si="5"/>
        <v>5</v>
      </c>
      <c r="Q46" s="44"/>
      <c r="R46" s="12" t="s">
        <v>68</v>
      </c>
      <c r="S46" s="10" cm="1">
        <f t="array" ref="S46">ROUNDUP(IFERROR(_xlfn.IFS(TB_Radiologia1[[#This Row],[TIPIFICAÇÃO]]="ON.A",0,AND(TB_Radiologia1[[#This Row],[TIPIFICAÇÃO]]="EST",TB_Radiologia1[[#This Row],[TIPO DE OFERTA]]="PRESENCIAL"),0,AND(TB_Radiologia1[[#This Row],[TIPIFICAÇÃO]]="PR",OR(TB_Radiologia1[[#This Row],[TIPO DE OFERTA]]="PRESENCIAL",TB_Radiologia1[[#This Row],[TIPO DE OFERTA]]="SEMI-PRESENCIAL")),TB_Radiologia1[[#This Row],[CH TEÓRICA]]+TB_Radiologia1[[#This Row],[CH PRÁTICA]],AND(TB_Radiologia1[[#This Row],[TIPIFICAÇÃO]]="HB",TB_Radiologia1[[#This Row],[TIPO DE OFERTA]]="PRESENCIAL"),TB_Radiologia1[[#This Row],[CH TEÓRICA]]+TB_Radiologia1[[#This Row],[CH PRÁTICA]],AND(TB_Radiologia1[[#This Row],[TIPIFICAÇÃO]]="EXT",OR(TB_Radiologia1[[#This Row],[TIPO DE OFERTA]]="PRESENCIAL",TB_Radiologia1[[#This Row],[TIPO DE OFERTA]]="SEMI-PRESENCIAL")),33,AND(TB_Radiologia1[[#This Row],[TIPIFICAÇÃO]]="TCC",TB_Radiologia1[[#This Row],[TIPO DE OFERTA]]="PRESENCIAL"),SUM(TB_Radiologia1[[#This Row],[CH TEÓRICA]],TB_Radiologia1[[#This Row],[CH PRÁTICA]]))/Cursos!$E$3,0),0)</f>
        <v>0</v>
      </c>
      <c r="T46" s="10">
        <f>IF(TB_Radiologia1[[#This Row],[TIPIFICAÇÃO]]="ON.S",ROUNDUP(TB_Radiologia1[[#This Row],[CH TEÓRICA]]/Cursos!$E$3,0),0)</f>
        <v>0</v>
      </c>
      <c r="U46" s="10" cm="1">
        <f t="array" ref="U46">IFERROR(_xlfn.IFS(TB_Radiologia1[[#This Row],[TIPIFICAÇÃO]]="ON.A",1,TB_Radiologia1[[#This Row],[TIPIFICAÇÃO]]="PR",0,TB_Radiologia1[[#This Row],[TIPIFICAÇÃO]]="HB",0,AND(TB_Radiologia1[[#This Row],[TIPIFICAÇÃO]]="EXT",OR(TB_Radiologia1[[#This Row],[TIPO DE OFERTA]]="SEMI-PRESENCIAL",TB_Radiologia1[[#This Row],[TIPO DE OFERTA]]="EAD 100%")),1),0)</f>
        <v>0</v>
      </c>
      <c r="V46" s="10" cm="1">
        <f t="array" ref="V46">ROUNDUP(IFERROR(_xlfn.IFS(TB_Radiologia1[[#This Row],[TIPIFICAÇÃO]]="ON.A",0,TB_Radiologia1[[#This Row],[TIPIFICAÇÃO]]="PR",0,TB_Radiologia1[[#This Row],[TIPIFICAÇÃO]]="HB",TB_Radiologia1[[#This Row],[CH ONLINE]],TB_Radiologia1[[#This Row],[TIPIFICAÇÃO]]="ON.S",0,AND(TB_Radiologia1[[#This Row],[TIPIFICAÇÃO]]="EXT",TB_Radiologia1[[#This Row],[TIPO DE OFERTA]]="PRESENCIAL"),TB_Radiologia1[[#This Row],[CRÉDITOS]]-TB_Radiologia1[[#This Row],[CRÉDITOS PAGO PROFESSOR]])/Cursos!$E$3,0),0)</f>
        <v>0</v>
      </c>
      <c r="W46" s="13" t="s">
        <v>77</v>
      </c>
      <c r="X46" s="10"/>
      <c r="Y46" s="10"/>
      <c r="Z46" s="10"/>
      <c r="AA46" s="10"/>
      <c r="AB46" s="10"/>
    </row>
    <row r="47" spans="2:28" x14ac:dyDescent="0.25">
      <c r="B47" s="7" t="str">
        <f t="shared" si="0"/>
        <v>RADIOLOGIA</v>
      </c>
      <c r="C47" s="42" t="s">
        <v>150</v>
      </c>
      <c r="D47" s="46">
        <v>1</v>
      </c>
      <c r="E47" s="79" t="s">
        <v>151</v>
      </c>
      <c r="F47" s="45" t="s">
        <v>152</v>
      </c>
      <c r="G47" s="80">
        <f>SUM(TB_Radiologia1[[#This Row],[CH TEÓRICA]:[CH ONLINE]])</f>
        <v>66</v>
      </c>
      <c r="H47" s="85" t="s">
        <v>80</v>
      </c>
      <c r="I47" s="46">
        <v>66</v>
      </c>
      <c r="J47" s="46">
        <v>0</v>
      </c>
      <c r="K47" s="46">
        <v>0</v>
      </c>
      <c r="L47" s="46">
        <v>0</v>
      </c>
      <c r="M47" s="46">
        <v>0</v>
      </c>
      <c r="N47" s="46" t="s">
        <v>8</v>
      </c>
      <c r="O47" s="42">
        <f>ROUNDUP(TB_Radiologia1[[#This Row],[CH TOTAL]]/Cursos!$E$3,0)</f>
        <v>4</v>
      </c>
      <c r="P47" s="52" cm="1">
        <f t="array" ref="P47">IF(AND(TB_Radiologia1[[#This Row],[TIPIFICAÇÃO]]="TCC",TB_Radiologia1[[#This Row],[TIPO DE OFERTA]]="PRESENCIAL"),SUM(TB_Radiologia1[[#This Row],[CH TEÓRICA]:[CH PRÁTICA]]/66),IF(TB_Radiologia1[[#This Row],[TIPIFICAÇÃO]]="EST",1,IF(AND(IF(OR(TB_Radiologia1[[#This Row],[TIPIFICAÇÃO]]="HB",TB_Radiologia1[[#This Row],[TIPIFICAÇÃO]]="PR"),SUM(TB_Radiologia1[[#This Row],[CH TEÓRICA]:[CH PRÁTICA]])/66,IF(TB_Radiologia1[[#This Row],[TIPIFICAÇÃO]]="EXT",0.5,0))&gt;0.6,IF(OR(TB_Radiologia1[[#This Row],[TIPIFICAÇÃO]]="HB",TB_Radiologia1[[#This Row],[TIPIFICAÇÃO]]="PR"),SUM(TB_Radiologia1[[#This Row],[CH TEÓRICA]:[CH PRÁTICA]])/66,IF(TB_Radiologia1[[#This Row],[TIPIFICAÇÃO]]="EXT",0.5,0))&lt;0.8),1,IF(OR(TB_Radiologia1[[#This Row],[TIPIFICAÇÃO]]="HB",TB_Radiologia1[[#This Row],[TIPIFICAÇÃO]]="PR"),SUM(TB_Radiologia1[[#This Row],[CH TEÓRICA]:[CH PRÁTICA]])/66,IF(TB_Radiologia1[[#This Row],[TIPIFICAÇÃO]]="EXT",0.5,0)))))</f>
        <v>1</v>
      </c>
      <c r="Q47" s="44"/>
      <c r="R47" s="12" t="s">
        <v>68</v>
      </c>
      <c r="S47" s="10" cm="1">
        <f t="array" ref="S47">ROUNDUP(IFERROR(_xlfn.IFS(TB_Radiologia1[[#This Row],[TIPIFICAÇÃO]]="ON.A",0,AND(TB_Radiologia1[[#This Row],[TIPIFICAÇÃO]]="EST",TB_Radiologia1[[#This Row],[TIPO DE OFERTA]]="PRESENCIAL"),0,AND(TB_Radiologia1[[#This Row],[TIPIFICAÇÃO]]="PR",OR(TB_Radiologia1[[#This Row],[TIPO DE OFERTA]]="PRESENCIAL",TB_Radiologia1[[#This Row],[TIPO DE OFERTA]]="SEMI-PRESENCIAL")),TB_Radiologia1[[#This Row],[CH TEÓRICA]]+TB_Radiologia1[[#This Row],[CH PRÁTICA]],AND(TB_Radiologia1[[#This Row],[TIPIFICAÇÃO]]="HB",TB_Radiologia1[[#This Row],[TIPO DE OFERTA]]="PRESENCIAL"),TB_Radiologia1[[#This Row],[CH TEÓRICA]]+TB_Radiologia1[[#This Row],[CH PRÁTICA]],AND(TB_Radiologia1[[#This Row],[TIPIFICAÇÃO]]="EXT",OR(TB_Radiologia1[[#This Row],[TIPO DE OFERTA]]="PRESENCIAL",TB_Radiologia1[[#This Row],[TIPO DE OFERTA]]="SEMI-PRESENCIAL")),33,AND(TB_Radiologia1[[#This Row],[TIPIFICAÇÃO]]="TCC",TB_Radiologia1[[#This Row],[TIPO DE OFERTA]]="PRESENCIAL"),SUM(TB_Radiologia1[[#This Row],[CH TEÓRICA]],TB_Radiologia1[[#This Row],[CH PRÁTICA]]))/Cursos!$E$3,0),0)</f>
        <v>4</v>
      </c>
      <c r="T47" s="10">
        <f>IF(TB_Radiologia1[[#This Row],[TIPIFICAÇÃO]]="ON.S",ROUNDUP(TB_Radiologia1[[#This Row],[CH TEÓRICA]]/Cursos!$E$3,0),0)</f>
        <v>0</v>
      </c>
      <c r="U47" s="10" cm="1">
        <f t="array" ref="U47">IFERROR(_xlfn.IFS(TB_Radiologia1[[#This Row],[TIPIFICAÇÃO]]="ON.A",1,TB_Radiologia1[[#This Row],[TIPIFICAÇÃO]]="PR",0,TB_Radiologia1[[#This Row],[TIPIFICAÇÃO]]="HB",0,AND(TB_Radiologia1[[#This Row],[TIPIFICAÇÃO]]="EXT",OR(TB_Radiologia1[[#This Row],[TIPO DE OFERTA]]="SEMI-PRESENCIAL",TB_Radiologia1[[#This Row],[TIPO DE OFERTA]]="EAD 100%")),1),0)</f>
        <v>0</v>
      </c>
      <c r="V47" s="10" cm="1">
        <f t="array" ref="V47">ROUNDUP(IFERROR(_xlfn.IFS(TB_Radiologia1[[#This Row],[TIPIFICAÇÃO]]="ON.A",0,TB_Radiologia1[[#This Row],[TIPIFICAÇÃO]]="PR",0,TB_Radiologia1[[#This Row],[TIPIFICAÇÃO]]="HB",TB_Radiologia1[[#This Row],[CH ONLINE]],TB_Radiologia1[[#This Row],[TIPIFICAÇÃO]]="ON.S",0,AND(TB_Radiologia1[[#This Row],[TIPIFICAÇÃO]]="EXT",TB_Radiologia1[[#This Row],[TIPO DE OFERTA]]="PRESENCIAL"),TB_Radiologia1[[#This Row],[CRÉDITOS]]-TB_Radiologia1[[#This Row],[CRÉDITOS PAGO PROFESSOR]])/Cursos!$E$3,0),0)</f>
        <v>0</v>
      </c>
      <c r="W47" s="13" t="s">
        <v>77</v>
      </c>
      <c r="X47" s="10"/>
      <c r="Y47" s="10"/>
      <c r="Z47" s="10"/>
      <c r="AA47" s="10"/>
      <c r="AB47" s="10"/>
    </row>
    <row r="48" spans="2:28" x14ac:dyDescent="0.25">
      <c r="B48" s="7" t="str">
        <f t="shared" si="0"/>
        <v>RADIOLOGIA</v>
      </c>
      <c r="C48" s="42" t="s">
        <v>150</v>
      </c>
      <c r="D48" s="46">
        <v>2</v>
      </c>
      <c r="E48" s="79" t="s">
        <v>153</v>
      </c>
      <c r="F48" s="45" t="s">
        <v>154</v>
      </c>
      <c r="G48" s="80">
        <f>SUM(TB_Radiologia1[[#This Row],[CH TEÓRICA]:[CH ONLINE]])</f>
        <v>49</v>
      </c>
      <c r="H48" s="85" t="s">
        <v>80</v>
      </c>
      <c r="I48" s="46">
        <v>33</v>
      </c>
      <c r="J48" s="46">
        <v>16</v>
      </c>
      <c r="K48" s="46">
        <v>0</v>
      </c>
      <c r="L48" s="46">
        <v>0</v>
      </c>
      <c r="M48" s="46">
        <v>0</v>
      </c>
      <c r="N48" s="46" t="s">
        <v>8</v>
      </c>
      <c r="O48" s="42">
        <f>ROUNDUP(TB_Radiologia1[[#This Row],[CH TOTAL]]/Cursos!$E$3,0)</f>
        <v>3</v>
      </c>
      <c r="P48" s="52" cm="1">
        <f t="array" ref="P48">IF(AND(TB_Radiologia1[[#This Row],[TIPIFICAÇÃO]]="TCC",TB_Radiologia1[[#This Row],[TIPO DE OFERTA]]="PRESENCIAL"),SUM(TB_Radiologia1[[#This Row],[CH TEÓRICA]:[CH PRÁTICA]]/66),IF(TB_Radiologia1[[#This Row],[TIPIFICAÇÃO]]="EST",1,IF(AND(IF(OR(TB_Radiologia1[[#This Row],[TIPIFICAÇÃO]]="HB",TB_Radiologia1[[#This Row],[TIPIFICAÇÃO]]="PR"),SUM(TB_Radiologia1[[#This Row],[CH TEÓRICA]:[CH PRÁTICA]])/66,IF(TB_Radiologia1[[#This Row],[TIPIFICAÇÃO]]="EXT",0.5,0))&gt;0.6,IF(OR(TB_Radiologia1[[#This Row],[TIPIFICAÇÃO]]="HB",TB_Radiologia1[[#This Row],[TIPIFICAÇÃO]]="PR"),SUM(TB_Radiologia1[[#This Row],[CH TEÓRICA]:[CH PRÁTICA]])/66,IF(TB_Radiologia1[[#This Row],[TIPIFICAÇÃO]]="EXT",0.5,0))&lt;0.8),1,IF(OR(TB_Radiologia1[[#This Row],[TIPIFICAÇÃO]]="HB",TB_Radiologia1[[#This Row],[TIPIFICAÇÃO]]="PR"),SUM(TB_Radiologia1[[#This Row],[CH TEÓRICA]:[CH PRÁTICA]])/66,IF(TB_Radiologia1[[#This Row],[TIPIFICAÇÃO]]="EXT",0.5,0)))))</f>
        <v>1</v>
      </c>
      <c r="Q48" s="44"/>
      <c r="R48" s="12" t="s">
        <v>68</v>
      </c>
      <c r="S48" s="10" cm="1">
        <f t="array" ref="S48">ROUNDUP(IFERROR(_xlfn.IFS(TB_Radiologia1[[#This Row],[TIPIFICAÇÃO]]="ON.A",0,AND(TB_Radiologia1[[#This Row],[TIPIFICAÇÃO]]="EST",TB_Radiologia1[[#This Row],[TIPO DE OFERTA]]="PRESENCIAL"),0,AND(TB_Radiologia1[[#This Row],[TIPIFICAÇÃO]]="PR",OR(TB_Radiologia1[[#This Row],[TIPO DE OFERTA]]="PRESENCIAL",TB_Radiologia1[[#This Row],[TIPO DE OFERTA]]="SEMI-PRESENCIAL")),TB_Radiologia1[[#This Row],[CH TEÓRICA]]+TB_Radiologia1[[#This Row],[CH PRÁTICA]],AND(TB_Radiologia1[[#This Row],[TIPIFICAÇÃO]]="HB",TB_Radiologia1[[#This Row],[TIPO DE OFERTA]]="PRESENCIAL"),TB_Radiologia1[[#This Row],[CH TEÓRICA]]+TB_Radiologia1[[#This Row],[CH PRÁTICA]],AND(TB_Radiologia1[[#This Row],[TIPIFICAÇÃO]]="EXT",OR(TB_Radiologia1[[#This Row],[TIPO DE OFERTA]]="PRESENCIAL",TB_Radiologia1[[#This Row],[TIPO DE OFERTA]]="SEMI-PRESENCIAL")),33,AND(TB_Radiologia1[[#This Row],[TIPIFICAÇÃO]]="TCC",TB_Radiologia1[[#This Row],[TIPO DE OFERTA]]="PRESENCIAL"),SUM(TB_Radiologia1[[#This Row],[CH TEÓRICA]],TB_Radiologia1[[#This Row],[CH PRÁTICA]]))/Cursos!$E$3,0),0)</f>
        <v>3</v>
      </c>
      <c r="T48" s="10">
        <f>IF(TB_Radiologia1[[#This Row],[TIPIFICAÇÃO]]="ON.S",ROUNDUP(TB_Radiologia1[[#This Row],[CH TEÓRICA]]/Cursos!$E$3,0),0)</f>
        <v>0</v>
      </c>
      <c r="U48" s="10" cm="1">
        <f t="array" ref="U48">IFERROR(_xlfn.IFS(TB_Radiologia1[[#This Row],[TIPIFICAÇÃO]]="ON.A",1,TB_Radiologia1[[#This Row],[TIPIFICAÇÃO]]="PR",0,TB_Radiologia1[[#This Row],[TIPIFICAÇÃO]]="HB",0,AND(TB_Radiologia1[[#This Row],[TIPIFICAÇÃO]]="EXT",OR(TB_Radiologia1[[#This Row],[TIPO DE OFERTA]]="SEMI-PRESENCIAL",TB_Radiologia1[[#This Row],[TIPO DE OFERTA]]="EAD 100%")),1),0)</f>
        <v>0</v>
      </c>
      <c r="V48" s="10" cm="1">
        <f t="array" ref="V48">ROUNDUP(IFERROR(_xlfn.IFS(TB_Radiologia1[[#This Row],[TIPIFICAÇÃO]]="ON.A",0,TB_Radiologia1[[#This Row],[TIPIFICAÇÃO]]="PR",0,TB_Radiologia1[[#This Row],[TIPIFICAÇÃO]]="HB",TB_Radiologia1[[#This Row],[CH ONLINE]],TB_Radiologia1[[#This Row],[TIPIFICAÇÃO]]="ON.S",0,AND(TB_Radiologia1[[#This Row],[TIPIFICAÇÃO]]="EXT",TB_Radiologia1[[#This Row],[TIPO DE OFERTA]]="PRESENCIAL"),TB_Radiologia1[[#This Row],[CRÉDITOS]]-TB_Radiologia1[[#This Row],[CRÉDITOS PAGO PROFESSOR]])/Cursos!$E$3,0),0)</f>
        <v>0</v>
      </c>
      <c r="W48" s="13" t="s">
        <v>77</v>
      </c>
      <c r="X48" s="10"/>
      <c r="Y48" s="10"/>
      <c r="Z48" s="10"/>
      <c r="AA48" s="10"/>
      <c r="AB48" s="10"/>
    </row>
    <row r="49" spans="2:28" x14ac:dyDescent="0.25">
      <c r="B49" s="7" t="str">
        <f t="shared" si="0"/>
        <v>RADIOLOGIA</v>
      </c>
      <c r="C49" s="42" t="s">
        <v>150</v>
      </c>
      <c r="D49" s="46">
        <v>3</v>
      </c>
      <c r="E49" s="79" t="s">
        <v>155</v>
      </c>
      <c r="F49" s="45" t="s">
        <v>156</v>
      </c>
      <c r="G49" s="80">
        <f>SUM(TB_Radiologia1[[#This Row],[CH TEÓRICA]:[CH ONLINE]])</f>
        <v>33</v>
      </c>
      <c r="H49" s="85" t="s">
        <v>80</v>
      </c>
      <c r="I49" s="46">
        <v>33</v>
      </c>
      <c r="J49" s="46">
        <v>0</v>
      </c>
      <c r="K49" s="46">
        <v>0</v>
      </c>
      <c r="L49" s="46">
        <v>0</v>
      </c>
      <c r="M49" s="46">
        <v>0</v>
      </c>
      <c r="N49" s="46" t="s">
        <v>8</v>
      </c>
      <c r="O49" s="42">
        <f>ROUNDUP(TB_Radiologia1[[#This Row],[CH TOTAL]]/Cursos!$E$3,0)</f>
        <v>2</v>
      </c>
      <c r="P49" s="52" cm="1">
        <f t="array" ref="P49">IF(AND(TB_Radiologia1[[#This Row],[TIPIFICAÇÃO]]="TCC",TB_Radiologia1[[#This Row],[TIPO DE OFERTA]]="PRESENCIAL"),SUM(TB_Radiologia1[[#This Row],[CH TEÓRICA]:[CH PRÁTICA]]/66),IF(TB_Radiologia1[[#This Row],[TIPIFICAÇÃO]]="EST",1,IF(AND(IF(OR(TB_Radiologia1[[#This Row],[TIPIFICAÇÃO]]="HB",TB_Radiologia1[[#This Row],[TIPIFICAÇÃO]]="PR"),SUM(TB_Radiologia1[[#This Row],[CH TEÓRICA]:[CH PRÁTICA]])/66,IF(TB_Radiologia1[[#This Row],[TIPIFICAÇÃO]]="EXT",0.5,0))&gt;0.6,IF(OR(TB_Radiologia1[[#This Row],[TIPIFICAÇÃO]]="HB",TB_Radiologia1[[#This Row],[TIPIFICAÇÃO]]="PR"),SUM(TB_Radiologia1[[#This Row],[CH TEÓRICA]:[CH PRÁTICA]])/66,IF(TB_Radiologia1[[#This Row],[TIPIFICAÇÃO]]="EXT",0.5,0))&lt;0.8),1,IF(OR(TB_Radiologia1[[#This Row],[TIPIFICAÇÃO]]="HB",TB_Radiologia1[[#This Row],[TIPIFICAÇÃO]]="PR"),SUM(TB_Radiologia1[[#This Row],[CH TEÓRICA]:[CH PRÁTICA]])/66,IF(TB_Radiologia1[[#This Row],[TIPIFICAÇÃO]]="EXT",0.5,0)))))</f>
        <v>0.5</v>
      </c>
      <c r="Q49" s="44"/>
      <c r="R49" s="12" t="s">
        <v>68</v>
      </c>
      <c r="S49" s="10" cm="1">
        <f t="array" ref="S49">ROUNDUP(IFERROR(_xlfn.IFS(TB_Radiologia1[[#This Row],[TIPIFICAÇÃO]]="ON.A",0,AND(TB_Radiologia1[[#This Row],[TIPIFICAÇÃO]]="EST",TB_Radiologia1[[#This Row],[TIPO DE OFERTA]]="PRESENCIAL"),0,AND(TB_Radiologia1[[#This Row],[TIPIFICAÇÃO]]="PR",OR(TB_Radiologia1[[#This Row],[TIPO DE OFERTA]]="PRESENCIAL",TB_Radiologia1[[#This Row],[TIPO DE OFERTA]]="SEMI-PRESENCIAL")),TB_Radiologia1[[#This Row],[CH TEÓRICA]]+TB_Radiologia1[[#This Row],[CH PRÁTICA]],AND(TB_Radiologia1[[#This Row],[TIPIFICAÇÃO]]="HB",TB_Radiologia1[[#This Row],[TIPO DE OFERTA]]="PRESENCIAL"),TB_Radiologia1[[#This Row],[CH TEÓRICA]]+TB_Radiologia1[[#This Row],[CH PRÁTICA]],AND(TB_Radiologia1[[#This Row],[TIPIFICAÇÃO]]="EXT",OR(TB_Radiologia1[[#This Row],[TIPO DE OFERTA]]="PRESENCIAL",TB_Radiologia1[[#This Row],[TIPO DE OFERTA]]="SEMI-PRESENCIAL")),33,AND(TB_Radiologia1[[#This Row],[TIPIFICAÇÃO]]="TCC",TB_Radiologia1[[#This Row],[TIPO DE OFERTA]]="PRESENCIAL"),SUM(TB_Radiologia1[[#This Row],[CH TEÓRICA]],TB_Radiologia1[[#This Row],[CH PRÁTICA]]))/Cursos!$E$3,0),0)</f>
        <v>2</v>
      </c>
      <c r="T49" s="10">
        <f>IF(TB_Radiologia1[[#This Row],[TIPIFICAÇÃO]]="ON.S",ROUNDUP(TB_Radiologia1[[#This Row],[CH TEÓRICA]]/Cursos!$E$3,0),0)</f>
        <v>0</v>
      </c>
      <c r="U49" s="10" cm="1">
        <f t="array" ref="U49">IFERROR(_xlfn.IFS(TB_Radiologia1[[#This Row],[TIPIFICAÇÃO]]="ON.A",1,TB_Radiologia1[[#This Row],[TIPIFICAÇÃO]]="PR",0,TB_Radiologia1[[#This Row],[TIPIFICAÇÃO]]="HB",0,AND(TB_Radiologia1[[#This Row],[TIPIFICAÇÃO]]="EXT",OR(TB_Radiologia1[[#This Row],[TIPO DE OFERTA]]="SEMI-PRESENCIAL",TB_Radiologia1[[#This Row],[TIPO DE OFERTA]]="EAD 100%")),1),0)</f>
        <v>0</v>
      </c>
      <c r="V49" s="10" cm="1">
        <f t="array" ref="V49">ROUNDUP(IFERROR(_xlfn.IFS(TB_Radiologia1[[#This Row],[TIPIFICAÇÃO]]="ON.A",0,TB_Radiologia1[[#This Row],[TIPIFICAÇÃO]]="PR",0,TB_Radiologia1[[#This Row],[TIPIFICAÇÃO]]="HB",TB_Radiologia1[[#This Row],[CH ONLINE]],TB_Radiologia1[[#This Row],[TIPIFICAÇÃO]]="ON.S",0,AND(TB_Radiologia1[[#This Row],[TIPIFICAÇÃO]]="EXT",TB_Radiologia1[[#This Row],[TIPO DE OFERTA]]="PRESENCIAL"),TB_Radiologia1[[#This Row],[CRÉDITOS]]-TB_Radiologia1[[#This Row],[CRÉDITOS PAGO PROFESSOR]])/Cursos!$E$3,0),0)</f>
        <v>0</v>
      </c>
      <c r="W49" s="13" t="s">
        <v>77</v>
      </c>
      <c r="X49" s="10"/>
      <c r="Y49" s="10"/>
      <c r="Z49" s="10"/>
      <c r="AA49" s="10"/>
      <c r="AB49" s="10"/>
    </row>
    <row r="50" spans="2:28" x14ac:dyDescent="0.25">
      <c r="B50" s="7" t="str">
        <f t="shared" si="0"/>
        <v>RADIOLOGIA</v>
      </c>
      <c r="C50" s="42" t="s">
        <v>150</v>
      </c>
      <c r="D50" s="46">
        <v>4</v>
      </c>
      <c r="E50" s="79" t="s">
        <v>157</v>
      </c>
      <c r="F50" s="45" t="s">
        <v>158</v>
      </c>
      <c r="G50" s="80">
        <f>SUM(TB_Radiologia1[[#This Row],[CH TEÓRICA]:[CH ONLINE]])</f>
        <v>66</v>
      </c>
      <c r="H50" s="85" t="s">
        <v>80</v>
      </c>
      <c r="I50" s="46">
        <v>33</v>
      </c>
      <c r="J50" s="46">
        <v>33</v>
      </c>
      <c r="K50" s="46">
        <v>0</v>
      </c>
      <c r="L50" s="46">
        <v>0</v>
      </c>
      <c r="M50" s="46">
        <v>0</v>
      </c>
      <c r="N50" s="46" t="s">
        <v>8</v>
      </c>
      <c r="O50" s="42">
        <f>ROUNDUP(TB_Radiologia1[[#This Row],[CH TOTAL]]/Cursos!$E$3,0)</f>
        <v>4</v>
      </c>
      <c r="P50" s="52" cm="1">
        <f t="array" ref="P50">IF(AND(TB_Radiologia1[[#This Row],[TIPIFICAÇÃO]]="TCC",TB_Radiologia1[[#This Row],[TIPO DE OFERTA]]="PRESENCIAL"),SUM(TB_Radiologia1[[#This Row],[CH TEÓRICA]:[CH PRÁTICA]]/66),IF(TB_Radiologia1[[#This Row],[TIPIFICAÇÃO]]="EST",1,IF(AND(IF(OR(TB_Radiologia1[[#This Row],[TIPIFICAÇÃO]]="HB",TB_Radiologia1[[#This Row],[TIPIFICAÇÃO]]="PR"),SUM(TB_Radiologia1[[#This Row],[CH TEÓRICA]:[CH PRÁTICA]])/66,IF(TB_Radiologia1[[#This Row],[TIPIFICAÇÃO]]="EXT",0.5,0))&gt;0.6,IF(OR(TB_Radiologia1[[#This Row],[TIPIFICAÇÃO]]="HB",TB_Radiologia1[[#This Row],[TIPIFICAÇÃO]]="PR"),SUM(TB_Radiologia1[[#This Row],[CH TEÓRICA]:[CH PRÁTICA]])/66,IF(TB_Radiologia1[[#This Row],[TIPIFICAÇÃO]]="EXT",0.5,0))&lt;0.8),1,IF(OR(TB_Radiologia1[[#This Row],[TIPIFICAÇÃO]]="HB",TB_Radiologia1[[#This Row],[TIPIFICAÇÃO]]="PR"),SUM(TB_Radiologia1[[#This Row],[CH TEÓRICA]:[CH PRÁTICA]])/66,IF(TB_Radiologia1[[#This Row],[TIPIFICAÇÃO]]="EXT",0.5,0)))))</f>
        <v>1</v>
      </c>
      <c r="Q50" s="44"/>
      <c r="R50" s="12" t="s">
        <v>68</v>
      </c>
      <c r="S50" s="10" cm="1">
        <f t="array" ref="S50">ROUNDUP(IFERROR(_xlfn.IFS(TB_Radiologia1[[#This Row],[TIPIFICAÇÃO]]="ON.A",0,AND(TB_Radiologia1[[#This Row],[TIPIFICAÇÃO]]="EST",TB_Radiologia1[[#This Row],[TIPO DE OFERTA]]="PRESENCIAL"),0,AND(TB_Radiologia1[[#This Row],[TIPIFICAÇÃO]]="PR",OR(TB_Radiologia1[[#This Row],[TIPO DE OFERTA]]="PRESENCIAL",TB_Radiologia1[[#This Row],[TIPO DE OFERTA]]="SEMI-PRESENCIAL")),TB_Radiologia1[[#This Row],[CH TEÓRICA]]+TB_Radiologia1[[#This Row],[CH PRÁTICA]],AND(TB_Radiologia1[[#This Row],[TIPIFICAÇÃO]]="HB",TB_Radiologia1[[#This Row],[TIPO DE OFERTA]]="PRESENCIAL"),TB_Radiologia1[[#This Row],[CH TEÓRICA]]+TB_Radiologia1[[#This Row],[CH PRÁTICA]],AND(TB_Radiologia1[[#This Row],[TIPIFICAÇÃO]]="EXT",OR(TB_Radiologia1[[#This Row],[TIPO DE OFERTA]]="PRESENCIAL",TB_Radiologia1[[#This Row],[TIPO DE OFERTA]]="SEMI-PRESENCIAL")),33,AND(TB_Radiologia1[[#This Row],[TIPIFICAÇÃO]]="TCC",TB_Radiologia1[[#This Row],[TIPO DE OFERTA]]="PRESENCIAL"),SUM(TB_Radiologia1[[#This Row],[CH TEÓRICA]],TB_Radiologia1[[#This Row],[CH PRÁTICA]]))/Cursos!$E$3,0),0)</f>
        <v>4</v>
      </c>
      <c r="T50" s="10">
        <f>IF(TB_Radiologia1[[#This Row],[TIPIFICAÇÃO]]="ON.S",ROUNDUP(TB_Radiologia1[[#This Row],[CH TEÓRICA]]/Cursos!$E$3,0),0)</f>
        <v>0</v>
      </c>
      <c r="U50" s="10" cm="1">
        <f t="array" ref="U50">IFERROR(_xlfn.IFS(TB_Radiologia1[[#This Row],[TIPIFICAÇÃO]]="ON.A",1,TB_Radiologia1[[#This Row],[TIPIFICAÇÃO]]="PR",0,TB_Radiologia1[[#This Row],[TIPIFICAÇÃO]]="HB",0,AND(TB_Radiologia1[[#This Row],[TIPIFICAÇÃO]]="EXT",OR(TB_Radiologia1[[#This Row],[TIPO DE OFERTA]]="SEMI-PRESENCIAL",TB_Radiologia1[[#This Row],[TIPO DE OFERTA]]="EAD 100%")),1),0)</f>
        <v>0</v>
      </c>
      <c r="V50" s="10" cm="1">
        <f t="array" ref="V50">ROUNDUP(IFERROR(_xlfn.IFS(TB_Radiologia1[[#This Row],[TIPIFICAÇÃO]]="ON.A",0,TB_Radiologia1[[#This Row],[TIPIFICAÇÃO]]="PR",0,TB_Radiologia1[[#This Row],[TIPIFICAÇÃO]]="HB",TB_Radiologia1[[#This Row],[CH ONLINE]],TB_Radiologia1[[#This Row],[TIPIFICAÇÃO]]="ON.S",0,AND(TB_Radiologia1[[#This Row],[TIPIFICAÇÃO]]="EXT",TB_Radiologia1[[#This Row],[TIPO DE OFERTA]]="PRESENCIAL"),TB_Radiologia1[[#This Row],[CRÉDITOS]]-TB_Radiologia1[[#This Row],[CRÉDITOS PAGO PROFESSOR]])/Cursos!$E$3,0),0)</f>
        <v>0</v>
      </c>
      <c r="W50" s="13" t="s">
        <v>77</v>
      </c>
      <c r="X50" s="10"/>
      <c r="Y50" s="10"/>
      <c r="Z50" s="10"/>
      <c r="AA50" s="10"/>
      <c r="AB50" s="10"/>
    </row>
    <row r="51" spans="2:28" x14ac:dyDescent="0.25">
      <c r="B51" s="7" t="str">
        <f t="shared" si="0"/>
        <v>RADIOLOGIA</v>
      </c>
      <c r="C51" s="42" t="s">
        <v>150</v>
      </c>
      <c r="D51" s="46">
        <v>5</v>
      </c>
      <c r="E51" s="79" t="s">
        <v>159</v>
      </c>
      <c r="F51" s="45" t="s">
        <v>160</v>
      </c>
      <c r="G51" s="80">
        <f>SUM(TB_Radiologia1[[#This Row],[CH TEÓRICA]:[CH ONLINE]])</f>
        <v>244</v>
      </c>
      <c r="H51" s="85" t="s">
        <v>44</v>
      </c>
      <c r="I51" s="46">
        <v>0</v>
      </c>
      <c r="J51" s="46">
        <v>0</v>
      </c>
      <c r="K51" s="46">
        <v>244</v>
      </c>
      <c r="L51" s="46">
        <v>0</v>
      </c>
      <c r="M51" s="46">
        <v>0</v>
      </c>
      <c r="N51" s="46" t="s">
        <v>14</v>
      </c>
      <c r="O51" s="42">
        <f>ROUNDUP(TB_Radiologia1[[#This Row],[CH TOTAL]]/Cursos!$E$3,0)</f>
        <v>15</v>
      </c>
      <c r="P51" s="52" cm="1">
        <f t="array" ref="P51">IF(AND(TB_Radiologia1[[#This Row],[TIPIFICAÇÃO]]="TCC",TB_Radiologia1[[#This Row],[TIPO DE OFERTA]]="PRESENCIAL"),SUM(TB_Radiologia1[[#This Row],[CH TEÓRICA]:[CH PRÁTICA]]/66),IF(TB_Radiologia1[[#This Row],[TIPIFICAÇÃO]]="EST",1,IF(AND(IF(OR(TB_Radiologia1[[#This Row],[TIPIFICAÇÃO]]="HB",TB_Radiologia1[[#This Row],[TIPIFICAÇÃO]]="PR"),SUM(TB_Radiologia1[[#This Row],[CH TEÓRICA]:[CH PRÁTICA]])/66,IF(TB_Radiologia1[[#This Row],[TIPIFICAÇÃO]]="EXT",0.5,0))&gt;0.6,IF(OR(TB_Radiologia1[[#This Row],[TIPIFICAÇÃO]]="HB",TB_Radiologia1[[#This Row],[TIPIFICAÇÃO]]="PR"),SUM(TB_Radiologia1[[#This Row],[CH TEÓRICA]:[CH PRÁTICA]])/66,IF(TB_Radiologia1[[#This Row],[TIPIFICAÇÃO]]="EXT",0.5,0))&lt;0.8),1,IF(OR(TB_Radiologia1[[#This Row],[TIPIFICAÇÃO]]="HB",TB_Radiologia1[[#This Row],[TIPIFICAÇÃO]]="PR"),SUM(TB_Radiologia1[[#This Row],[CH TEÓRICA]:[CH PRÁTICA]])/66,IF(TB_Radiologia1[[#This Row],[TIPIFICAÇÃO]]="EXT",0.5,0)))))</f>
        <v>1</v>
      </c>
      <c r="Q51" s="44"/>
      <c r="R51" s="12" t="s">
        <v>68</v>
      </c>
      <c r="S51" s="10" cm="1">
        <f t="array" ref="S51">ROUNDUP(IFERROR(_xlfn.IFS(TB_Radiologia1[[#This Row],[TIPIFICAÇÃO]]="ON.A",0,AND(TB_Radiologia1[[#This Row],[TIPIFICAÇÃO]]="EST",TB_Radiologia1[[#This Row],[TIPO DE OFERTA]]="PRESENCIAL"),0,AND(TB_Radiologia1[[#This Row],[TIPIFICAÇÃO]]="PR",OR(TB_Radiologia1[[#This Row],[TIPO DE OFERTA]]="PRESENCIAL",TB_Radiologia1[[#This Row],[TIPO DE OFERTA]]="SEMI-PRESENCIAL")),TB_Radiologia1[[#This Row],[CH TEÓRICA]]+TB_Radiologia1[[#This Row],[CH PRÁTICA]],AND(TB_Radiologia1[[#This Row],[TIPIFICAÇÃO]]="HB",TB_Radiologia1[[#This Row],[TIPO DE OFERTA]]="PRESENCIAL"),TB_Radiologia1[[#This Row],[CH TEÓRICA]]+TB_Radiologia1[[#This Row],[CH PRÁTICA]],AND(TB_Radiologia1[[#This Row],[TIPIFICAÇÃO]]="EXT",OR(TB_Radiologia1[[#This Row],[TIPO DE OFERTA]]="PRESENCIAL",TB_Radiologia1[[#This Row],[TIPO DE OFERTA]]="SEMI-PRESENCIAL")),33,AND(TB_Radiologia1[[#This Row],[TIPIFICAÇÃO]]="TCC",TB_Radiologia1[[#This Row],[TIPO DE OFERTA]]="PRESENCIAL"),SUM(TB_Radiologia1[[#This Row],[CH TEÓRICA]],TB_Radiologia1[[#This Row],[CH PRÁTICA]]))/Cursos!$E$3,0),0)</f>
        <v>0</v>
      </c>
      <c r="T51" s="10">
        <f>IF(TB_Radiologia1[[#This Row],[TIPIFICAÇÃO]]="ON.S",ROUNDUP(TB_Radiologia1[[#This Row],[CH TEÓRICA]]/Cursos!$E$3,0),0)</f>
        <v>0</v>
      </c>
      <c r="U51" s="10" cm="1">
        <f t="array" ref="U51">IFERROR(_xlfn.IFS(TB_Radiologia1[[#This Row],[TIPIFICAÇÃO]]="ON.A",1,TB_Radiologia1[[#This Row],[TIPIFICAÇÃO]]="PR",0,TB_Radiologia1[[#This Row],[TIPIFICAÇÃO]]="HB",0,AND(TB_Radiologia1[[#This Row],[TIPIFICAÇÃO]]="EXT",OR(TB_Radiologia1[[#This Row],[TIPO DE OFERTA]]="SEMI-PRESENCIAL",TB_Radiologia1[[#This Row],[TIPO DE OFERTA]]="EAD 100%")),1),0)</f>
        <v>0</v>
      </c>
      <c r="V51" s="10" cm="1">
        <f t="array" ref="V51">ROUNDUP(IFERROR(_xlfn.IFS(TB_Radiologia1[[#This Row],[TIPIFICAÇÃO]]="ON.A",0,TB_Radiologia1[[#This Row],[TIPIFICAÇÃO]]="PR",0,TB_Radiologia1[[#This Row],[TIPIFICAÇÃO]]="HB",TB_Radiologia1[[#This Row],[CH ONLINE]],TB_Radiologia1[[#This Row],[TIPIFICAÇÃO]]="ON.S",0,AND(TB_Radiologia1[[#This Row],[TIPIFICAÇÃO]]="EXT",TB_Radiologia1[[#This Row],[TIPO DE OFERTA]]="PRESENCIAL"),TB_Radiologia1[[#This Row],[CRÉDITOS]]-TB_Radiologia1[[#This Row],[CRÉDITOS PAGO PROFESSOR]])/Cursos!$E$3,0),0)</f>
        <v>0</v>
      </c>
      <c r="W51" s="13" t="s">
        <v>77</v>
      </c>
      <c r="X51" s="10"/>
      <c r="Y51" s="10"/>
      <c r="Z51" s="10"/>
      <c r="AA51" s="10"/>
      <c r="AB51" s="10"/>
    </row>
    <row r="52" spans="2:28" x14ac:dyDescent="0.25">
      <c r="B52" s="57" t="str">
        <f>$J$2</f>
        <v>RADIOLOGIA</v>
      </c>
      <c r="C52" s="65" t="s">
        <v>96</v>
      </c>
      <c r="D52" s="59"/>
      <c r="E52" s="60"/>
      <c r="F52" s="58"/>
      <c r="G52" s="69">
        <f>SUBTOTAL(9,G47:G51)</f>
        <v>458</v>
      </c>
      <c r="H52" s="69"/>
      <c r="I52" s="69">
        <f t="shared" ref="I52:P52" si="6">SUBTOTAL(9,I47:I51)</f>
        <v>165</v>
      </c>
      <c r="J52" s="69">
        <f t="shared" si="6"/>
        <v>49</v>
      </c>
      <c r="K52" s="69">
        <f t="shared" si="6"/>
        <v>244</v>
      </c>
      <c r="L52" s="69">
        <f t="shared" si="6"/>
        <v>0</v>
      </c>
      <c r="M52" s="69">
        <f t="shared" si="6"/>
        <v>0</v>
      </c>
      <c r="N52" s="69"/>
      <c r="O52" s="69">
        <f t="shared" si="6"/>
        <v>28</v>
      </c>
      <c r="P52" s="69">
        <f t="shared" si="6"/>
        <v>4.5</v>
      </c>
      <c r="Q52" s="44"/>
      <c r="R52" s="12" t="s">
        <v>68</v>
      </c>
      <c r="S52" s="10" cm="1">
        <f t="array" ref="S52">ROUNDUP(IFERROR(_xlfn.IFS(TB_Radiologia1[[#This Row],[TIPIFICAÇÃO]]="ON.A",0,AND(TB_Radiologia1[[#This Row],[TIPIFICAÇÃO]]="EST",TB_Radiologia1[[#This Row],[TIPO DE OFERTA]]="PRESENCIAL"),0,AND(TB_Radiologia1[[#This Row],[TIPIFICAÇÃO]]="PR",OR(TB_Radiologia1[[#This Row],[TIPO DE OFERTA]]="PRESENCIAL",TB_Radiologia1[[#This Row],[TIPO DE OFERTA]]="SEMI-PRESENCIAL")),TB_Radiologia1[[#This Row],[CH TEÓRICA]]+TB_Radiologia1[[#This Row],[CH PRÁTICA]],AND(TB_Radiologia1[[#This Row],[TIPIFICAÇÃO]]="HB",TB_Radiologia1[[#This Row],[TIPO DE OFERTA]]="PRESENCIAL"),TB_Radiologia1[[#This Row],[CH TEÓRICA]]+TB_Radiologia1[[#This Row],[CH PRÁTICA]],AND(TB_Radiologia1[[#This Row],[TIPIFICAÇÃO]]="EXT",OR(TB_Radiologia1[[#This Row],[TIPO DE OFERTA]]="PRESENCIAL",TB_Radiologia1[[#This Row],[TIPO DE OFERTA]]="SEMI-PRESENCIAL")),33,AND(TB_Radiologia1[[#This Row],[TIPIFICAÇÃO]]="TCC",TB_Radiologia1[[#This Row],[TIPO DE OFERTA]]="PRESENCIAL"),SUM(TB_Radiologia1[[#This Row],[CH TEÓRICA]],TB_Radiologia1[[#This Row],[CH PRÁTICA]]))/Cursos!$E$3,0),0)</f>
        <v>0</v>
      </c>
      <c r="T52" s="10">
        <f>IF(TB_Radiologia1[[#This Row],[TIPIFICAÇÃO]]="ON.S",ROUNDUP(TB_Radiologia1[[#This Row],[CH TEÓRICA]]/Cursos!$E$3,0),0)</f>
        <v>0</v>
      </c>
      <c r="U52" s="10" cm="1">
        <f t="array" ref="U52">IFERROR(_xlfn.IFS(TB_Radiologia1[[#This Row],[TIPIFICAÇÃO]]="ON.A",1,TB_Radiologia1[[#This Row],[TIPIFICAÇÃO]]="PR",0,TB_Radiologia1[[#This Row],[TIPIFICAÇÃO]]="HB",0,AND(TB_Radiologia1[[#This Row],[TIPIFICAÇÃO]]="EXT",OR(TB_Radiologia1[[#This Row],[TIPO DE OFERTA]]="SEMI-PRESENCIAL",TB_Radiologia1[[#This Row],[TIPO DE OFERTA]]="EAD 100%")),1),0)</f>
        <v>0</v>
      </c>
      <c r="V52" s="10" cm="1">
        <f t="array" ref="V52">ROUNDUP(IFERROR(_xlfn.IFS(TB_Radiologia1[[#This Row],[TIPIFICAÇÃO]]="ON.A",0,TB_Radiologia1[[#This Row],[TIPIFICAÇÃO]]="PR",0,TB_Radiologia1[[#This Row],[TIPIFICAÇÃO]]="HB",TB_Radiologia1[[#This Row],[CH ONLINE]],TB_Radiologia1[[#This Row],[TIPIFICAÇÃO]]="ON.S",0,AND(TB_Radiologia1[[#This Row],[TIPIFICAÇÃO]]="EXT",TB_Radiologia1[[#This Row],[TIPO DE OFERTA]]="PRESENCIAL"),TB_Radiologia1[[#This Row],[CRÉDITOS]]-TB_Radiologia1[[#This Row],[CRÉDITOS PAGO PROFESSOR]])/Cursos!$E$3,0),0)</f>
        <v>0</v>
      </c>
      <c r="W52" s="13" t="s">
        <v>77</v>
      </c>
      <c r="X52" s="10"/>
      <c r="Y52" s="10"/>
      <c r="Z52" s="10"/>
      <c r="AA52" s="10"/>
      <c r="AB52" s="10"/>
    </row>
    <row r="53" spans="2:28" x14ac:dyDescent="0.25">
      <c r="B53" s="7" t="str">
        <f t="shared" ref="B53" si="7">$J$2</f>
        <v>RADIOLOGIA</v>
      </c>
      <c r="C53" s="42" t="s">
        <v>18</v>
      </c>
      <c r="D53" s="46"/>
      <c r="E53" s="79" t="s">
        <v>161</v>
      </c>
      <c r="F53" s="47" t="s">
        <v>18</v>
      </c>
      <c r="G53" s="80">
        <v>74</v>
      </c>
      <c r="H53" s="79" t="s">
        <v>18</v>
      </c>
      <c r="I53" s="46"/>
      <c r="J53" s="46"/>
      <c r="K53" s="46"/>
      <c r="L53" s="46"/>
      <c r="M53" s="46">
        <v>74</v>
      </c>
      <c r="N53" s="46" t="s">
        <v>18</v>
      </c>
      <c r="O53" s="42">
        <f>ROUNDUP(TB_Radiologia1[[#This Row],[CH TOTAL]]/Cursos!$E$3,0)</f>
        <v>5</v>
      </c>
      <c r="P53" s="52"/>
      <c r="Q53" s="44"/>
      <c r="R53" s="12" t="s">
        <v>68</v>
      </c>
      <c r="S53" s="10" cm="1">
        <f t="array" ref="S53">ROUNDUP(IFERROR(_xlfn.IFS(TB_Radiologia1[[#This Row],[TIPIFICAÇÃO]]="ON.A",0,AND(TB_Radiologia1[[#This Row],[TIPIFICAÇÃO]]="EST",TB_Radiologia1[[#This Row],[TIPO DE OFERTA]]="PRESENCIAL"),0,AND(TB_Radiologia1[[#This Row],[TIPIFICAÇÃO]]="PR",OR(TB_Radiologia1[[#This Row],[TIPO DE OFERTA]]="PRESENCIAL",TB_Radiologia1[[#This Row],[TIPO DE OFERTA]]="SEMI-PRESENCIAL")),TB_Radiologia1[[#This Row],[CH TEÓRICA]]+TB_Radiologia1[[#This Row],[CH PRÁTICA]],AND(TB_Radiologia1[[#This Row],[TIPIFICAÇÃO]]="HB",TB_Radiologia1[[#This Row],[TIPO DE OFERTA]]="PRESENCIAL"),TB_Radiologia1[[#This Row],[CH TEÓRICA]]+TB_Radiologia1[[#This Row],[CH PRÁTICA]],AND(TB_Radiologia1[[#This Row],[TIPIFICAÇÃO]]="EXT",OR(TB_Radiologia1[[#This Row],[TIPO DE OFERTA]]="PRESENCIAL",TB_Radiologia1[[#This Row],[TIPO DE OFERTA]]="SEMI-PRESENCIAL")),33,AND(TB_Radiologia1[[#This Row],[TIPIFICAÇÃO]]="TCC",TB_Radiologia1[[#This Row],[TIPO DE OFERTA]]="PRESENCIAL"),SUM(TB_Radiologia1[[#This Row],[CH TEÓRICA]],TB_Radiologia1[[#This Row],[CH PRÁTICA]]))/Cursos!$E$3,0),0)</f>
        <v>0</v>
      </c>
      <c r="T53" s="10">
        <f>IF(TB_Radiologia1[[#This Row],[TIPIFICAÇÃO]]="ON.S",ROUNDUP(TB_Radiologia1[[#This Row],[CH TEÓRICA]]/Cursos!$E$3,0),0)</f>
        <v>0</v>
      </c>
      <c r="U53" s="42" cm="1">
        <f t="array" ref="U53">IFERROR(_xlfn.IFS(TB_Radiologia1[[#This Row],[TIPIFICAÇÃO]]="ON.A",1,TB_Radiologia1[[#This Row],[TIPIFICAÇÃO]]="PR",0,TB_Radiologia1[[#This Row],[TIPIFICAÇÃO]]="HB",0,AND(TB_Radiologia1[[#This Row],[TIPIFICAÇÃO]]="EXT",OR(TB_Radiologia1[[#This Row],[TIPO DE OFERTA]]="SEMI-PRESENCIAL",TB_Radiologia1[[#This Row],[TIPO DE OFERTA]]="EAD 100%")),1),0)</f>
        <v>0</v>
      </c>
      <c r="V53" s="42" cm="1">
        <f t="array" ref="V53">ROUNDUP(IFERROR(_xlfn.IFS(TB_Radiologia1[[#This Row],[TIPIFICAÇÃO]]="ON.A",0,TB_Radiologia1[[#This Row],[TIPIFICAÇÃO]]="PR",0,TB_Radiologia1[[#This Row],[TIPIFICAÇÃO]]="HB",TB_Radiologia1[[#This Row],[CH ONLINE]],TB_Radiologia1[[#This Row],[TIPIFICAÇÃO]]="ON.S",0,AND(TB_Radiologia1[[#This Row],[TIPIFICAÇÃO]]="EXT",TB_Radiologia1[[#This Row],[TIPO DE OFERTA]]="PRESENCIAL"),TB_Radiologia1[[#This Row],[CRÉDITOS]]-TB_Radiologia1[[#This Row],[CRÉDITOS PAGO PROFESSOR]])/Cursos!$E$3,0),0)</f>
        <v>0</v>
      </c>
      <c r="W53" s="13" t="s">
        <v>77</v>
      </c>
      <c r="X53" s="16"/>
      <c r="Y53" s="16"/>
      <c r="Z53" s="16"/>
      <c r="AA53" s="16"/>
      <c r="AB53" s="16"/>
    </row>
    <row r="54" spans="2:28" x14ac:dyDescent="0.25">
      <c r="B54" s="18"/>
      <c r="C54" s="18"/>
      <c r="D54" s="18"/>
      <c r="E54" s="18"/>
      <c r="F54" s="18"/>
      <c r="G54" s="19"/>
      <c r="H54" s="18"/>
      <c r="I54" s="18"/>
      <c r="J54" s="18"/>
      <c r="K54" s="18"/>
      <c r="L54" s="18"/>
      <c r="M54" s="18"/>
      <c r="N54" s="1"/>
      <c r="O54" s="20"/>
      <c r="P54" s="20"/>
      <c r="Q54" s="20"/>
      <c r="R54" s="20"/>
      <c r="S54" s="20"/>
      <c r="T54" s="20"/>
      <c r="V54" s="20"/>
      <c r="W54" s="20"/>
      <c r="X54" s="20"/>
      <c r="Y54" s="20"/>
      <c r="Z54" s="20"/>
    </row>
    <row r="55" spans="2:28" ht="20.25" customHeight="1" x14ac:dyDescent="0.25">
      <c r="B55" s="18"/>
      <c r="C55" s="18"/>
      <c r="D55" s="18"/>
      <c r="E55" s="101" t="s">
        <v>162</v>
      </c>
      <c r="F55" s="102"/>
      <c r="G55" s="38">
        <f>SUBTOTAL(9,TB_Radiologia1[CH TOTAL])</f>
        <v>2600</v>
      </c>
      <c r="H55" s="38"/>
      <c r="I55" s="38">
        <f>SUBTOTAL(9,TB_Radiologia1[CH TEÓRICA])</f>
        <v>955</v>
      </c>
      <c r="J55" s="38">
        <f>SUBTOTAL(9,TB_Radiologia1[CH PRÁTICA])</f>
        <v>312</v>
      </c>
      <c r="K55" s="38">
        <f>SUBTOTAL(9,TB_Radiologia1[CH ESTÁGIO])</f>
        <v>488</v>
      </c>
      <c r="L55" s="38">
        <f>SUBTOTAL(9,TB_Radiologia1[CH EXTENSÃO])</f>
        <v>260</v>
      </c>
      <c r="M55" s="38">
        <f>SUBTOTAL(9,TB_Radiologia1[CH ONLINE])</f>
        <v>585</v>
      </c>
      <c r="N55" s="38"/>
      <c r="O55" s="38">
        <f>SUBTOTAL(9,TB_Radiologia1[CRÉDITOS])</f>
        <v>160</v>
      </c>
      <c r="P55" s="38">
        <f>SUBTOTAL(9,TB_Radiologia1[DIAS PRESENCIAL])</f>
        <v>24.5</v>
      </c>
      <c r="Q55" s="38"/>
      <c r="R55" s="38"/>
      <c r="S55" s="38" t="e">
        <f>SUBTOTAL(9,S9:S16,S18:S23,S24:S30,S31:S37,S41:S45,S47:S52,#REF!,#REF!,S53)</f>
        <v>#REF!</v>
      </c>
      <c r="T55" s="38" t="e">
        <f>SUBTOTAL(9,T9:T16,T18:T23,T24:T30,T31:T37,T41:T45,T47:T52,#REF!,#REF!,T53)</f>
        <v>#REF!</v>
      </c>
      <c r="U55" s="38" t="e">
        <f>SUBTOTAL(9,U9:U16,U18:U23,U24:U30,U31:U37,U41:U45,U47:U52,#REF!,#REF!,U53)</f>
        <v>#REF!</v>
      </c>
      <c r="V55" s="38" t="e">
        <f>SUBTOTAL(9,V9:V16,V18:V23,V24:V30,V31:V37,V41:V45,V47:V52,#REF!,#REF!,V53)</f>
        <v>#REF!</v>
      </c>
      <c r="W55" s="38"/>
      <c r="X55" s="38"/>
      <c r="Y55" s="38"/>
      <c r="Z55" s="38"/>
      <c r="AA55" s="38"/>
    </row>
    <row r="56" spans="2:28" x14ac:dyDescent="0.25">
      <c r="B56" s="18"/>
      <c r="C56" s="18"/>
      <c r="D56" s="18"/>
      <c r="E56" s="101" t="s">
        <v>163</v>
      </c>
      <c r="F56" s="102"/>
      <c r="G56" s="38">
        <f>SUM(TB_Radiologia1[CH TOTAL])-SUM(G17,G25,G32,G40,G46,G52)</f>
        <v>2600</v>
      </c>
      <c r="H56" s="38"/>
      <c r="I56" s="38">
        <f>SUM(TB_Radiologia1[CH TEÓRICA])-SUM(I17,I25,I32,I40,I46,I52)</f>
        <v>955</v>
      </c>
      <c r="J56" s="38">
        <f>SUM(TB_Radiologia1[CH PRÁTICA])-SUM(J17,J25,J32,J40,J46,J52)</f>
        <v>312</v>
      </c>
      <c r="K56" s="38">
        <f>SUM(TB_Radiologia1[CH ESTÁGIO])-SUM(K17,K25,K32,K40,K46,K52)</f>
        <v>488</v>
      </c>
      <c r="L56" s="38">
        <f>SUM(TB_Radiologia1[CH EXTENSÃO])-SUM(L17,L25,L32,L40,L46,L52)</f>
        <v>260</v>
      </c>
      <c r="M56" s="38">
        <f>SUM(TB_Radiologia1[CH ONLINE])-SUM(M17,M25,M32,M40,M46,M52)</f>
        <v>585</v>
      </c>
      <c r="N56" s="38"/>
      <c r="O56" s="38">
        <f>SUM(TB_Radiologia1[CRÉDITOS])-SUM(O17,O25,O32,O40,O46,O52)</f>
        <v>160</v>
      </c>
      <c r="P56" s="38">
        <f>SUM(TB_Radiologia1[DIAS PRESENCIAL])-SUM(P17,P25,P32,P40,P46,P52)</f>
        <v>24.5</v>
      </c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</row>
    <row r="57" spans="2:28" x14ac:dyDescent="0.25">
      <c r="D57" s="37"/>
      <c r="E57" s="101" t="s">
        <v>164</v>
      </c>
      <c r="F57" s="102"/>
      <c r="G57" s="39">
        <f t="shared" ref="G57:O57" si="8">ROUND(G56*45/60,0)</f>
        <v>1950</v>
      </c>
      <c r="H57" s="39"/>
      <c r="I57" s="39">
        <f t="shared" si="8"/>
        <v>716</v>
      </c>
      <c r="J57" s="39">
        <f t="shared" si="8"/>
        <v>234</v>
      </c>
      <c r="K57" s="39">
        <f t="shared" si="8"/>
        <v>366</v>
      </c>
      <c r="L57" s="39">
        <f t="shared" si="8"/>
        <v>195</v>
      </c>
      <c r="M57" s="39">
        <f t="shared" si="8"/>
        <v>439</v>
      </c>
      <c r="N57" s="39"/>
      <c r="O57" s="39">
        <f t="shared" si="8"/>
        <v>120</v>
      </c>
      <c r="P57" s="40"/>
      <c r="Q57" s="40"/>
      <c r="R57" s="40"/>
      <c r="S57" s="40" t="e">
        <f>ROUND(#REF!*50/60,0)</f>
        <v>#REF!</v>
      </c>
      <c r="T57" s="40" t="e">
        <f>ROUND(#REF!*50/60,0)</f>
        <v>#REF!</v>
      </c>
      <c r="U57" s="40" t="e">
        <f>ROUND(#REF!*50/60,0)</f>
        <v>#REF!</v>
      </c>
      <c r="V57" s="40" t="e">
        <f>ROUND(#REF!*50/60,0)</f>
        <v>#REF!</v>
      </c>
      <c r="W57" s="40"/>
      <c r="X57" s="40"/>
      <c r="Y57" s="40"/>
      <c r="Z57" s="40"/>
      <c r="AA57" s="40"/>
    </row>
    <row r="58" spans="2:28" x14ac:dyDescent="0.25">
      <c r="G58" s="48"/>
      <c r="H58" s="49" t="s">
        <v>165</v>
      </c>
      <c r="I58" s="41">
        <f>IFERROR(I56/$G$56,0)</f>
        <v>0.36730769230769234</v>
      </c>
      <c r="J58" s="41">
        <f>IFERROR(J56/$G$56,0)</f>
        <v>0.12</v>
      </c>
      <c r="K58" s="41">
        <f>IFERROR(K56/$G$56,0)</f>
        <v>0.18769230769230769</v>
      </c>
      <c r="L58" s="41">
        <f>IFERROR(L56/$G$56,0)</f>
        <v>0.1</v>
      </c>
      <c r="M58" s="41">
        <f>IFERROR(M56/$G$56,0)</f>
        <v>0.22500000000000001</v>
      </c>
    </row>
    <row r="62" spans="2:28" x14ac:dyDescent="0.25">
      <c r="E62" s="101" t="s">
        <v>166</v>
      </c>
      <c r="F62" s="102"/>
      <c r="G62" s="38">
        <f>SUM(I56:L56)</f>
        <v>2015</v>
      </c>
      <c r="H62" s="50">
        <f>IFERROR(G62/G56,0)</f>
        <v>0.77500000000000002</v>
      </c>
    </row>
    <row r="63" spans="2:28" x14ac:dyDescent="0.25">
      <c r="E63" s="101" t="s">
        <v>57</v>
      </c>
      <c r="F63" s="102"/>
      <c r="G63" s="38">
        <f>G56-G62</f>
        <v>585</v>
      </c>
      <c r="H63" s="50">
        <f>IFERROR(G63/G56,0)</f>
        <v>0.22500000000000001</v>
      </c>
    </row>
  </sheetData>
  <sheetProtection autoFilter="0"/>
  <mergeCells count="7">
    <mergeCell ref="Q5:Q7"/>
    <mergeCell ref="E63:F63"/>
    <mergeCell ref="J2:N2"/>
    <mergeCell ref="E55:F55"/>
    <mergeCell ref="E56:F56"/>
    <mergeCell ref="E57:F57"/>
    <mergeCell ref="E62:F62"/>
  </mergeCells>
  <dataValidations count="2">
    <dataValidation allowBlank="1" showDropDown="1" showInputMessage="1" showErrorMessage="1" sqref="E17 F12:F17 F9:F10" xr:uid="{7CEE8526-F7F1-45C8-900F-02300DC7EFFE}"/>
    <dataValidation type="list" allowBlank="1" showInputMessage="1" showErrorMessage="1" sqref="F26 F33 F28 F47:F50 F43 F41" xr:uid="{936CE5DC-7AEE-41E2-B741-19003696E478}">
      <formula1>INDIRECT($J$2)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F85FC3C-1428-4534-9D7C-0513D963D094}">
          <x14:formula1>
            <xm:f>Cursos!$B$3:$B$33</xm:f>
          </x14:formula1>
          <xm:sqref>J2:N2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15180-8F44-442C-B9D9-7C0F84C4DB72}">
  <dimension ref="B1:AF57"/>
  <sheetViews>
    <sheetView showGridLines="0" tabSelected="1" zoomScale="70" zoomScaleNormal="70" workbookViewId="0">
      <pane xSplit="4" topLeftCell="E1" activePane="topRight" state="frozen"/>
      <selection activeCell="A9" sqref="A9"/>
      <selection pane="topRight" activeCell="O50" sqref="O50:P50"/>
    </sheetView>
  </sheetViews>
  <sheetFormatPr defaultRowHeight="15" outlineLevelCol="1" x14ac:dyDescent="0.25"/>
  <cols>
    <col min="1" max="1" width="1.42578125" customWidth="1"/>
    <col min="2" max="2" width="16.7109375" style="1" hidden="1" customWidth="1" outlineLevel="1"/>
    <col min="3" max="3" width="16.28515625" style="1" customWidth="1" collapsed="1"/>
    <col min="4" max="4" width="14.85546875" style="1" bestFit="1" customWidth="1"/>
    <col min="5" max="5" width="57.5703125" style="9" customWidth="1"/>
    <col min="6" max="6" width="16.7109375" style="9" bestFit="1" customWidth="1"/>
    <col min="7" max="7" width="20" style="4" bestFit="1" customWidth="1"/>
    <col min="8" max="8" width="24.85546875" style="1" bestFit="1" customWidth="1"/>
    <col min="9" max="9" width="14.5703125" style="1" bestFit="1" customWidth="1"/>
    <col min="10" max="11" width="12.28515625" style="1" customWidth="1"/>
    <col min="12" max="12" width="14.140625" style="1" customWidth="1"/>
    <col min="13" max="13" width="11.5703125" style="1" customWidth="1"/>
    <col min="14" max="14" width="16.85546875" bestFit="1" customWidth="1"/>
    <col min="15" max="15" width="18.28515625" bestFit="1" customWidth="1"/>
    <col min="16" max="16" width="22.42578125" bestFit="1" customWidth="1"/>
    <col min="17" max="17" width="19.7109375" hidden="1" customWidth="1" outlineLevel="1"/>
    <col min="18" max="21" width="16.7109375" hidden="1" customWidth="1" outlineLevel="1"/>
    <col min="22" max="22" width="22.42578125" hidden="1" customWidth="1" outlineLevel="1"/>
    <col min="23" max="23" width="19.42578125" hidden="1" customWidth="1" outlineLevel="1"/>
    <col min="24" max="24" width="17" hidden="1" customWidth="1" outlineLevel="1"/>
    <col min="25" max="25" width="16.28515625" hidden="1" customWidth="1" outlineLevel="1"/>
    <col min="26" max="26" width="21.140625" hidden="1" customWidth="1" outlineLevel="1"/>
    <col min="27" max="27" width="10.85546875" hidden="1" customWidth="1" outlineLevel="1"/>
    <col min="28" max="28" width="16.5703125" hidden="1" customWidth="1" outlineLevel="1"/>
    <col min="29" max="29" width="8.7109375" hidden="1" customWidth="1" outlineLevel="1"/>
    <col min="30" max="30" width="12.85546875" hidden="1" customWidth="1" outlineLevel="1"/>
    <col min="31" max="31" width="8.85546875" hidden="1" customWidth="1" outlineLevel="1" collapsed="1"/>
    <col min="32" max="32" width="9.140625" collapsed="1"/>
  </cols>
  <sheetData>
    <row r="1" spans="2:31" x14ac:dyDescent="0.25">
      <c r="E1" s="1"/>
      <c r="F1" s="1"/>
      <c r="G1" s="9"/>
      <c r="N1" s="1"/>
    </row>
    <row r="2" spans="2:31" x14ac:dyDescent="0.25">
      <c r="E2" s="1"/>
      <c r="F2" s="1"/>
      <c r="G2" s="9"/>
      <c r="I2" s="8" t="s">
        <v>42</v>
      </c>
      <c r="J2" s="97" t="s">
        <v>39</v>
      </c>
      <c r="K2" s="98"/>
      <c r="L2" s="98"/>
      <c r="M2" s="98"/>
      <c r="N2" s="99"/>
    </row>
    <row r="3" spans="2:31" x14ac:dyDescent="0.25">
      <c r="E3" s="1"/>
      <c r="F3" s="1"/>
      <c r="G3" s="1"/>
      <c r="H3" s="9"/>
      <c r="I3" s="4"/>
      <c r="N3" s="1"/>
      <c r="O3" s="1"/>
      <c r="P3" s="1"/>
      <c r="Q3" s="1"/>
      <c r="R3" s="1"/>
      <c r="S3" s="1"/>
      <c r="T3" s="1"/>
      <c r="U3" s="1"/>
      <c r="V3" s="1"/>
      <c r="W3" s="1"/>
    </row>
    <row r="4" spans="2:31" ht="19.149999999999999" customHeight="1" x14ac:dyDescent="0.25">
      <c r="E4" s="26" t="s">
        <v>43</v>
      </c>
      <c r="F4" s="31"/>
      <c r="G4" s="30">
        <f>G50</f>
        <v>2600</v>
      </c>
      <c r="H4" s="31"/>
      <c r="I4" s="31"/>
      <c r="J4" s="31"/>
      <c r="K4" s="31"/>
      <c r="L4" s="31"/>
      <c r="M4" s="31"/>
      <c r="N4" s="32"/>
    </row>
    <row r="5" spans="2:31" ht="19.149999999999999" customHeight="1" x14ac:dyDescent="0.25">
      <c r="E5" s="27" t="s">
        <v>44</v>
      </c>
      <c r="F5" s="1"/>
      <c r="G5" s="29">
        <f>K50</f>
        <v>488</v>
      </c>
      <c r="N5" s="33"/>
      <c r="Q5" s="100" t="s">
        <v>45</v>
      </c>
    </row>
    <row r="6" spans="2:31" ht="19.149999999999999" customHeight="1" thickBot="1" x14ac:dyDescent="0.3">
      <c r="E6" s="28" t="s">
        <v>18</v>
      </c>
      <c r="F6" s="35"/>
      <c r="G6" s="34">
        <f>G47</f>
        <v>74</v>
      </c>
      <c r="H6" s="35"/>
      <c r="I6" s="35"/>
      <c r="J6" s="35"/>
      <c r="K6" s="35"/>
      <c r="L6" s="35"/>
      <c r="M6" s="35"/>
      <c r="N6" s="36"/>
      <c r="Q6" s="100"/>
    </row>
    <row r="7" spans="2:31" x14ac:dyDescent="0.25">
      <c r="M7" s="2"/>
      <c r="Q7" s="100"/>
    </row>
    <row r="8" spans="2:31" s="3" customFormat="1" ht="43.5" customHeight="1" x14ac:dyDescent="0.25">
      <c r="B8" s="23" t="s">
        <v>46</v>
      </c>
      <c r="C8" s="23" t="s">
        <v>47</v>
      </c>
      <c r="D8" s="23" t="s">
        <v>48</v>
      </c>
      <c r="E8" s="23" t="s">
        <v>49</v>
      </c>
      <c r="F8" s="23" t="s">
        <v>50</v>
      </c>
      <c r="G8" s="24" t="s">
        <v>51</v>
      </c>
      <c r="H8" s="23" t="s">
        <v>52</v>
      </c>
      <c r="I8" s="23" t="s">
        <v>53</v>
      </c>
      <c r="J8" s="23" t="s">
        <v>54</v>
      </c>
      <c r="K8" s="23" t="s">
        <v>55</v>
      </c>
      <c r="L8" s="23" t="s">
        <v>56</v>
      </c>
      <c r="M8" s="23" t="s">
        <v>57</v>
      </c>
      <c r="N8" s="25" t="s">
        <v>58</v>
      </c>
      <c r="O8" s="25" t="s">
        <v>59</v>
      </c>
      <c r="P8" s="51" t="s">
        <v>60</v>
      </c>
      <c r="Q8" s="11" t="s">
        <v>61</v>
      </c>
      <c r="R8" s="11" t="s">
        <v>62</v>
      </c>
      <c r="S8" s="86" t="s">
        <v>68</v>
      </c>
      <c r="T8" s="86" t="s">
        <v>167</v>
      </c>
      <c r="U8" s="86" t="s">
        <v>168</v>
      </c>
      <c r="V8" s="14" t="s">
        <v>63</v>
      </c>
      <c r="W8" s="14" t="s">
        <v>64</v>
      </c>
      <c r="X8" s="14" t="s">
        <v>65</v>
      </c>
      <c r="Y8" s="14" t="s">
        <v>66</v>
      </c>
      <c r="Z8" s="14" t="s">
        <v>67</v>
      </c>
      <c r="AA8" s="17" t="s">
        <v>169</v>
      </c>
      <c r="AB8" s="17" t="s">
        <v>69</v>
      </c>
      <c r="AC8" s="17" t="s">
        <v>70</v>
      </c>
      <c r="AD8" s="17" t="s">
        <v>71</v>
      </c>
      <c r="AE8" s="17" t="s">
        <v>72</v>
      </c>
    </row>
    <row r="9" spans="2:31" x14ac:dyDescent="0.25">
      <c r="B9" s="7" t="str">
        <f t="shared" ref="B9:B46" si="0">$J$2</f>
        <v>RADIOLOGIA</v>
      </c>
      <c r="C9" s="7" t="s">
        <v>73</v>
      </c>
      <c r="D9" s="80">
        <v>1</v>
      </c>
      <c r="E9" s="76" t="s">
        <v>74</v>
      </c>
      <c r="F9" s="21" t="s">
        <v>75</v>
      </c>
      <c r="G9" s="80">
        <f>SUM(TB_Radiologia2[[#This Row],[CH TEÓRICA]:[CH ONLINE]])</f>
        <v>66</v>
      </c>
      <c r="H9" s="76" t="s">
        <v>76</v>
      </c>
      <c r="I9" s="80">
        <v>0</v>
      </c>
      <c r="J9" s="80">
        <v>0</v>
      </c>
      <c r="K9" s="80">
        <v>0</v>
      </c>
      <c r="L9" s="80">
        <v>0</v>
      </c>
      <c r="M9" s="80">
        <v>66</v>
      </c>
      <c r="N9" s="80" t="s">
        <v>4</v>
      </c>
      <c r="O9" s="42">
        <f>ROUNDUP(TB_Radiologia2[[#This Row],[CH TOTAL]]/Cursos!$E$3,0)</f>
        <v>4</v>
      </c>
      <c r="P9" s="52" cm="1">
        <f t="array" ref="P9">IF(AND(TB_Radiologia2[[#This Row],[TIPIFICAÇÃO]]="TCC",TB_Radiologia2[[#This Row],[TIPO DE OFERTA]]="PRESENCIAL"),SUM(TB_Radiologia2[[#This Row],[CH TEÓRICA]:[CH PRÁTICA]]/66),IF(TB_Radiologia2[[#This Row],[TIPIFICAÇÃO]]="EST",1,IF(AND(IF(OR(TB_Radiologia2[[#This Row],[TIPIFICAÇÃO]]="HB",TB_Radiologia2[[#This Row],[TIPIFICAÇÃO]]="PR"),SUM(TB_Radiologia2[[#This Row],[CH TEÓRICA]:[CH PRÁTICA]])/66,IF(TB_Radiologia2[[#This Row],[TIPIFICAÇÃO]]="EXT",0.5,0))&gt;0.6,IF(OR(TB_Radiologia2[[#This Row],[TIPIFICAÇÃO]]="HB",TB_Radiologia2[[#This Row],[TIPIFICAÇÃO]]="PR"),SUM(TB_Radiologia2[[#This Row],[CH TEÓRICA]:[CH PRÁTICA]])/66,IF(TB_Radiologia2[[#This Row],[TIPIFICAÇÃO]]="EXT",0.5,0))&lt;0.8),1,IF(OR(TB_Radiologia2[[#This Row],[TIPIFICAÇÃO]]="HB",TB_Radiologia2[[#This Row],[TIPIFICAÇÃO]]="PR"),SUM(TB_Radiologia2[[#This Row],[CH TEÓRICA]:[CH PRÁTICA]])/66,IF(TB_Radiologia2[[#This Row],[TIPIFICAÇÃO]]="EXT",0.5,0)))))</f>
        <v>0</v>
      </c>
      <c r="Q9" s="44"/>
      <c r="R9" s="12" t="s">
        <v>68</v>
      </c>
      <c r="S9" s="12"/>
      <c r="T9" s="12"/>
      <c r="U9" s="12"/>
      <c r="V9" s="10" cm="1">
        <f t="array" ref="V9">ROUNDUP(IFERROR(_xlfn.IFS(TB_Radiologia2[[#This Row],[TIPIFICAÇÃO]]="ON.A",0,AND(TB_Radiologia2[[#This Row],[TIPIFICAÇÃO]]="EST",TB_Radiologia2[[#This Row],[TIPO DE OFERTA]]="PRESENCIAL"),0,AND(TB_Radiologia2[[#This Row],[TIPIFICAÇÃO]]="PR",OR(TB_Radiologia2[[#This Row],[TIPO DE OFERTA]]="PRESENCIAL",TB_Radiologia2[[#This Row],[TIPO DE OFERTA]]="SEMI-PRESENCIAL")),TB_Radiologia2[[#This Row],[CH TEÓRICA]]+TB_Radiologia2[[#This Row],[CH PRÁTICA]],AND(TB_Radiologia2[[#This Row],[TIPIFICAÇÃO]]="HB",TB_Radiologia2[[#This Row],[TIPO DE OFERTA]]="PRESENCIAL"),TB_Radiologia2[[#This Row],[CH TEÓRICA]]+TB_Radiologia2[[#This Row],[CH PRÁTICA]],AND(TB_Radiologia2[[#This Row],[TIPIFICAÇÃO]]="EXT",OR(TB_Radiologia2[[#This Row],[TIPO DE OFERTA]]="PRESENCIAL",TB_Radiologia2[[#This Row],[TIPO DE OFERTA]]="SEMI-PRESENCIAL")),33,AND(TB_Radiologia2[[#This Row],[TIPIFICAÇÃO]]="TCC",TB_Radiologia2[[#This Row],[TIPO DE OFERTA]]="PRESENCIAL"),SUM(TB_Radiologia2[[#This Row],[CH TEÓRICA]],TB_Radiologia2[[#This Row],[CH PRÁTICA]]))/Cursos!$E$3,0),0)</f>
        <v>0</v>
      </c>
      <c r="W9" s="10">
        <f>IF(TB_Radiologia2[[#This Row],[TIPIFICAÇÃO]]="ON.S",ROUNDUP(TB_Radiologia2[[#This Row],[CH TEÓRICA]]/Cursos!$E$3,0),0)</f>
        <v>0</v>
      </c>
      <c r="X9" s="10" cm="1">
        <f t="array" ref="X9">IFERROR(_xlfn.IFS(TB_Radiologia2[[#This Row],[TIPIFICAÇÃO]]="ON.A",1,TB_Radiologia2[[#This Row],[TIPIFICAÇÃO]]="PR",0,TB_Radiologia2[[#This Row],[TIPIFICAÇÃO]]="HB",0,AND(TB_Radiologia2[[#This Row],[TIPIFICAÇÃO]]="EXT",OR(TB_Radiologia2[[#This Row],[TIPO DE OFERTA]]="SEMI-PRESENCIAL",TB_Radiologia2[[#This Row],[TIPO DE OFERTA]]="EAD 100%")),1),0)</f>
        <v>1</v>
      </c>
      <c r="Y9" s="10" cm="1">
        <f t="array" ref="Y9">ROUNDUP(IFERROR(_xlfn.IFS(TB_Radiologia2[[#This Row],[TIPIFICAÇÃO]]="ON.A",0,TB_Radiologia2[[#This Row],[TIPIFICAÇÃO]]="PR",0,TB_Radiologia2[[#This Row],[TIPIFICAÇÃO]]="HB",TB_Radiologia2[[#This Row],[CH ONLINE]],TB_Radiologia2[[#This Row],[TIPIFICAÇÃO]]="ON.S",0,AND(TB_Radiologia2[[#This Row],[TIPIFICAÇÃO]]="EXT",TB_Radiologia2[[#This Row],[TIPO DE OFERTA]]="PRESENCIAL"),TB_Radiologia2[[#This Row],[CRÉDITOS]]-TB_Radiologia2[[#This Row],[CRÉDITOS PAGO PROFESSOR]])/Cursos!$E$3,0),0)</f>
        <v>0</v>
      </c>
      <c r="Z9" s="13" t="s">
        <v>77</v>
      </c>
      <c r="AA9" s="15"/>
      <c r="AB9" s="15"/>
      <c r="AC9" s="15"/>
      <c r="AD9" s="15"/>
      <c r="AE9" s="15"/>
    </row>
    <row r="10" spans="2:31" x14ac:dyDescent="0.25">
      <c r="B10" s="7" t="str">
        <f t="shared" si="0"/>
        <v>RADIOLOGIA</v>
      </c>
      <c r="C10" s="7" t="s">
        <v>73</v>
      </c>
      <c r="D10" s="80">
        <v>2</v>
      </c>
      <c r="E10" s="76" t="s">
        <v>78</v>
      </c>
      <c r="F10" s="21" t="s">
        <v>79</v>
      </c>
      <c r="G10" s="80">
        <f>SUM(TB_Radiologia2[[#This Row],[CH TEÓRICA]:[CH ONLINE]])</f>
        <v>33</v>
      </c>
      <c r="H10" s="76" t="s">
        <v>80</v>
      </c>
      <c r="I10" s="80">
        <v>33</v>
      </c>
      <c r="J10" s="80">
        <v>0</v>
      </c>
      <c r="K10" s="80">
        <v>0</v>
      </c>
      <c r="L10" s="80">
        <v>0</v>
      </c>
      <c r="M10" s="80">
        <v>0</v>
      </c>
      <c r="N10" s="80" t="s">
        <v>8</v>
      </c>
      <c r="O10" s="42">
        <f>ROUNDUP(TB_Radiologia2[[#This Row],[CH TOTAL]]/Cursos!$E$3,0)</f>
        <v>2</v>
      </c>
      <c r="P10" s="52" cm="1">
        <f t="array" ref="P10">IF(AND(TB_Radiologia2[[#This Row],[TIPIFICAÇÃO]]="TCC",TB_Radiologia2[[#This Row],[TIPO DE OFERTA]]="PRESENCIAL"),SUM(TB_Radiologia2[[#This Row],[CH TEÓRICA]:[CH PRÁTICA]]/66),IF(TB_Radiologia2[[#This Row],[TIPIFICAÇÃO]]="EST",1,IF(AND(IF(OR(TB_Radiologia2[[#This Row],[TIPIFICAÇÃO]]="HB",TB_Radiologia2[[#This Row],[TIPIFICAÇÃO]]="PR"),SUM(TB_Radiologia2[[#This Row],[CH TEÓRICA]:[CH PRÁTICA]])/66,IF(TB_Radiologia2[[#This Row],[TIPIFICAÇÃO]]="EXT",0.5,0))&gt;0.6,IF(OR(TB_Radiologia2[[#This Row],[TIPIFICAÇÃO]]="HB",TB_Radiologia2[[#This Row],[TIPIFICAÇÃO]]="PR"),SUM(TB_Radiologia2[[#This Row],[CH TEÓRICA]:[CH PRÁTICA]])/66,IF(TB_Radiologia2[[#This Row],[TIPIFICAÇÃO]]="EXT",0.5,0))&lt;0.8),1,IF(OR(TB_Radiologia2[[#This Row],[TIPIFICAÇÃO]]="HB",TB_Radiologia2[[#This Row],[TIPIFICAÇÃO]]="PR"),SUM(TB_Radiologia2[[#This Row],[CH TEÓRICA]:[CH PRÁTICA]])/66,IF(TB_Radiologia2[[#This Row],[TIPIFICAÇÃO]]="EXT",0.5,0)))))</f>
        <v>0.5</v>
      </c>
      <c r="Q10" s="44"/>
      <c r="R10" s="12" t="s">
        <v>68</v>
      </c>
      <c r="S10" s="12"/>
      <c r="T10" s="12"/>
      <c r="U10" s="12"/>
      <c r="V10" s="10" cm="1">
        <f t="array" ref="V10">ROUNDUP(IFERROR(_xlfn.IFS(TB_Radiologia2[[#This Row],[TIPIFICAÇÃO]]="ON.A",0,AND(TB_Radiologia2[[#This Row],[TIPIFICAÇÃO]]="EST",TB_Radiologia2[[#This Row],[TIPO DE OFERTA]]="PRESENCIAL"),0,AND(TB_Radiologia2[[#This Row],[TIPIFICAÇÃO]]="PR",OR(TB_Radiologia2[[#This Row],[TIPO DE OFERTA]]="PRESENCIAL",TB_Radiologia2[[#This Row],[TIPO DE OFERTA]]="SEMI-PRESENCIAL")),TB_Radiologia2[[#This Row],[CH TEÓRICA]]+TB_Radiologia2[[#This Row],[CH PRÁTICA]],AND(TB_Radiologia2[[#This Row],[TIPIFICAÇÃO]]="HB",TB_Radiologia2[[#This Row],[TIPO DE OFERTA]]="PRESENCIAL"),TB_Radiologia2[[#This Row],[CH TEÓRICA]]+TB_Radiologia2[[#This Row],[CH PRÁTICA]],AND(TB_Radiologia2[[#This Row],[TIPIFICAÇÃO]]="EXT",OR(TB_Radiologia2[[#This Row],[TIPO DE OFERTA]]="PRESENCIAL",TB_Radiologia2[[#This Row],[TIPO DE OFERTA]]="SEMI-PRESENCIAL")),33,AND(TB_Radiologia2[[#This Row],[TIPIFICAÇÃO]]="TCC",TB_Radiologia2[[#This Row],[TIPO DE OFERTA]]="PRESENCIAL"),SUM(TB_Radiologia2[[#This Row],[CH TEÓRICA]],TB_Radiologia2[[#This Row],[CH PRÁTICA]]))/Cursos!$E$3,0),0)</f>
        <v>2</v>
      </c>
      <c r="W10" s="10">
        <f>IF(TB_Radiologia2[[#This Row],[TIPIFICAÇÃO]]="ON.S",ROUNDUP(TB_Radiologia2[[#This Row],[CH TEÓRICA]]/Cursos!$E$3,0),0)</f>
        <v>0</v>
      </c>
      <c r="X10" s="10" cm="1">
        <f t="array" ref="X10">IFERROR(_xlfn.IFS(TB_Radiologia2[[#This Row],[TIPIFICAÇÃO]]="ON.A",1,TB_Radiologia2[[#This Row],[TIPIFICAÇÃO]]="PR",0,TB_Radiologia2[[#This Row],[TIPIFICAÇÃO]]="HB",0,AND(TB_Radiologia2[[#This Row],[TIPIFICAÇÃO]]="EXT",OR(TB_Radiologia2[[#This Row],[TIPO DE OFERTA]]="SEMI-PRESENCIAL",TB_Radiologia2[[#This Row],[TIPO DE OFERTA]]="EAD 100%")),1),0)</f>
        <v>0</v>
      </c>
      <c r="Y10" s="10" cm="1">
        <f t="array" ref="Y10">ROUNDUP(IFERROR(_xlfn.IFS(TB_Radiologia2[[#This Row],[TIPIFICAÇÃO]]="ON.A",0,TB_Radiologia2[[#This Row],[TIPIFICAÇÃO]]="PR",0,TB_Radiologia2[[#This Row],[TIPIFICAÇÃO]]="HB",TB_Radiologia2[[#This Row],[CH ONLINE]],TB_Radiologia2[[#This Row],[TIPIFICAÇÃO]]="ON.S",0,AND(TB_Radiologia2[[#This Row],[TIPIFICAÇÃO]]="EXT",TB_Radiologia2[[#This Row],[TIPO DE OFERTA]]="PRESENCIAL"),TB_Radiologia2[[#This Row],[CRÉDITOS]]-TB_Radiologia2[[#This Row],[CRÉDITOS PAGO PROFESSOR]])/Cursos!$E$3,0),0)</f>
        <v>0</v>
      </c>
      <c r="Z10" s="13" t="s">
        <v>77</v>
      </c>
      <c r="AA10" s="10"/>
      <c r="AB10" s="10"/>
      <c r="AC10" s="10"/>
      <c r="AD10" s="10"/>
      <c r="AE10" s="10"/>
    </row>
    <row r="11" spans="2:31" x14ac:dyDescent="0.25">
      <c r="B11" s="7" t="str">
        <f t="shared" si="0"/>
        <v>RADIOLOGIA</v>
      </c>
      <c r="C11" s="7" t="s">
        <v>73</v>
      </c>
      <c r="D11" s="81">
        <v>3</v>
      </c>
      <c r="E11" s="77" t="s">
        <v>81</v>
      </c>
      <c r="F11" s="22" t="s">
        <v>82</v>
      </c>
      <c r="G11" s="80">
        <f>SUM(TB_Radiologia2[[#This Row],[CH TEÓRICA]:[CH ONLINE]])</f>
        <v>33</v>
      </c>
      <c r="H11" s="77" t="s">
        <v>83</v>
      </c>
      <c r="I11" s="80">
        <v>0</v>
      </c>
      <c r="J11" s="80">
        <v>0</v>
      </c>
      <c r="K11" s="80">
        <v>0</v>
      </c>
      <c r="L11" s="80">
        <v>0</v>
      </c>
      <c r="M11" s="81">
        <v>33</v>
      </c>
      <c r="N11" s="81" t="s">
        <v>4</v>
      </c>
      <c r="O11" s="42">
        <f>ROUNDUP(TB_Radiologia2[[#This Row],[CH TOTAL]]/Cursos!$E$3,0)</f>
        <v>2</v>
      </c>
      <c r="P11" s="52" cm="1">
        <f t="array" ref="P11">IF(AND(TB_Radiologia2[[#This Row],[TIPIFICAÇÃO]]="TCC",TB_Radiologia2[[#This Row],[TIPO DE OFERTA]]="PRESENCIAL"),SUM(TB_Radiologia2[[#This Row],[CH TEÓRICA]:[CH PRÁTICA]]/66),IF(TB_Radiologia2[[#This Row],[TIPIFICAÇÃO]]="EST",1,IF(AND(IF(OR(TB_Radiologia2[[#This Row],[TIPIFICAÇÃO]]="HB",TB_Radiologia2[[#This Row],[TIPIFICAÇÃO]]="PR"),SUM(TB_Radiologia2[[#This Row],[CH TEÓRICA]:[CH PRÁTICA]])/66,IF(TB_Radiologia2[[#This Row],[TIPIFICAÇÃO]]="EXT",0.5,0))&gt;0.6,IF(OR(TB_Radiologia2[[#This Row],[TIPIFICAÇÃO]]="HB",TB_Radiologia2[[#This Row],[TIPIFICAÇÃO]]="PR"),SUM(TB_Radiologia2[[#This Row],[CH TEÓRICA]:[CH PRÁTICA]])/66,IF(TB_Radiologia2[[#This Row],[TIPIFICAÇÃO]]="EXT",0.5,0))&lt;0.8),1,IF(OR(TB_Radiologia2[[#This Row],[TIPIFICAÇÃO]]="HB",TB_Radiologia2[[#This Row],[TIPIFICAÇÃO]]="PR"),SUM(TB_Radiologia2[[#This Row],[CH TEÓRICA]:[CH PRÁTICA]])/66,IF(TB_Radiologia2[[#This Row],[TIPIFICAÇÃO]]="EXT",0.5,0)))))</f>
        <v>0</v>
      </c>
      <c r="Q11" s="44"/>
      <c r="R11" s="12" t="s">
        <v>68</v>
      </c>
      <c r="S11" s="12"/>
      <c r="T11" s="12"/>
      <c r="U11" s="12"/>
      <c r="V11" s="10" cm="1">
        <f t="array" ref="V11">ROUNDUP(IFERROR(_xlfn.IFS(TB_Radiologia2[[#This Row],[TIPIFICAÇÃO]]="ON.A",0,AND(TB_Radiologia2[[#This Row],[TIPIFICAÇÃO]]="EST",TB_Radiologia2[[#This Row],[TIPO DE OFERTA]]="PRESENCIAL"),0,AND(TB_Radiologia2[[#This Row],[TIPIFICAÇÃO]]="PR",OR(TB_Radiologia2[[#This Row],[TIPO DE OFERTA]]="PRESENCIAL",TB_Radiologia2[[#This Row],[TIPO DE OFERTA]]="SEMI-PRESENCIAL")),TB_Radiologia2[[#This Row],[CH TEÓRICA]]+TB_Radiologia2[[#This Row],[CH PRÁTICA]],AND(TB_Radiologia2[[#This Row],[TIPIFICAÇÃO]]="HB",TB_Radiologia2[[#This Row],[TIPO DE OFERTA]]="PRESENCIAL"),TB_Radiologia2[[#This Row],[CH TEÓRICA]]+TB_Radiologia2[[#This Row],[CH PRÁTICA]],AND(TB_Radiologia2[[#This Row],[TIPIFICAÇÃO]]="EXT",OR(TB_Radiologia2[[#This Row],[TIPO DE OFERTA]]="PRESENCIAL",TB_Radiologia2[[#This Row],[TIPO DE OFERTA]]="SEMI-PRESENCIAL")),33,AND(TB_Radiologia2[[#This Row],[TIPIFICAÇÃO]]="TCC",TB_Radiologia2[[#This Row],[TIPO DE OFERTA]]="PRESENCIAL"),SUM(TB_Radiologia2[[#This Row],[CH TEÓRICA]],TB_Radiologia2[[#This Row],[CH PRÁTICA]]))/Cursos!$E$3,0),0)</f>
        <v>0</v>
      </c>
      <c r="W11" s="10">
        <f>IF(TB_Radiologia2[[#This Row],[TIPIFICAÇÃO]]="ON.S",ROUNDUP(TB_Radiologia2[[#This Row],[CH TEÓRICA]]/Cursos!$E$3,0),0)</f>
        <v>0</v>
      </c>
      <c r="X11" s="10" cm="1">
        <f t="array" ref="X11">IFERROR(_xlfn.IFS(TB_Radiologia2[[#This Row],[TIPIFICAÇÃO]]="ON.A",1,TB_Radiologia2[[#This Row],[TIPIFICAÇÃO]]="PR",0,TB_Radiologia2[[#This Row],[TIPIFICAÇÃO]]="HB",0,AND(TB_Radiologia2[[#This Row],[TIPIFICAÇÃO]]="EXT",OR(TB_Radiologia2[[#This Row],[TIPO DE OFERTA]]="SEMI-PRESENCIAL",TB_Radiologia2[[#This Row],[TIPO DE OFERTA]]="EAD 100%")),1),0)</f>
        <v>1</v>
      </c>
      <c r="Y11" s="10" cm="1">
        <f t="array" ref="Y11">ROUNDUP(IFERROR(_xlfn.IFS(TB_Radiologia2[[#This Row],[TIPIFICAÇÃO]]="ON.A",0,TB_Radiologia2[[#This Row],[TIPIFICAÇÃO]]="PR",0,TB_Radiologia2[[#This Row],[TIPIFICAÇÃO]]="HB",TB_Radiologia2[[#This Row],[CH ONLINE]],TB_Radiologia2[[#This Row],[TIPIFICAÇÃO]]="ON.S",0,AND(TB_Radiologia2[[#This Row],[TIPIFICAÇÃO]]="EXT",TB_Radiologia2[[#This Row],[TIPO DE OFERTA]]="PRESENCIAL"),TB_Radiologia2[[#This Row],[CRÉDITOS]]-TB_Radiologia2[[#This Row],[CRÉDITOS PAGO PROFESSOR]])/Cursos!$E$3,0),0)</f>
        <v>0</v>
      </c>
      <c r="Z11" s="13" t="s">
        <v>77</v>
      </c>
      <c r="AA11" s="10"/>
      <c r="AB11" s="10"/>
      <c r="AC11" s="10"/>
      <c r="AD11" s="10"/>
      <c r="AE11" s="10"/>
    </row>
    <row r="12" spans="2:31" x14ac:dyDescent="0.25">
      <c r="B12" s="7" t="str">
        <f t="shared" si="0"/>
        <v>RADIOLOGIA</v>
      </c>
      <c r="C12" s="7" t="s">
        <v>73</v>
      </c>
      <c r="D12" s="80">
        <v>4</v>
      </c>
      <c r="E12" s="76" t="s">
        <v>84</v>
      </c>
      <c r="F12" s="21" t="s">
        <v>85</v>
      </c>
      <c r="G12" s="80">
        <f>SUM(TB_Radiologia2[[#This Row],[CH TEÓRICA]:[CH ONLINE]])</f>
        <v>33</v>
      </c>
      <c r="H12" s="76" t="s">
        <v>83</v>
      </c>
      <c r="I12" s="80">
        <v>0</v>
      </c>
      <c r="J12" s="80">
        <v>0</v>
      </c>
      <c r="K12" s="80">
        <v>0</v>
      </c>
      <c r="L12" s="80">
        <v>0</v>
      </c>
      <c r="M12" s="80">
        <v>33</v>
      </c>
      <c r="N12" s="80" t="s">
        <v>4</v>
      </c>
      <c r="O12" s="42">
        <f>ROUNDUP(TB_Radiologia2[[#This Row],[CH TOTAL]]/Cursos!$E$3,0)</f>
        <v>2</v>
      </c>
      <c r="P12" s="52" cm="1">
        <f t="array" ref="P12">IF(AND(TB_Radiologia2[[#This Row],[TIPIFICAÇÃO]]="TCC",TB_Radiologia2[[#This Row],[TIPO DE OFERTA]]="PRESENCIAL"),SUM(TB_Radiologia2[[#This Row],[CH TEÓRICA]:[CH PRÁTICA]]/66),IF(TB_Radiologia2[[#This Row],[TIPIFICAÇÃO]]="EST",1,IF(AND(IF(OR(TB_Radiologia2[[#This Row],[TIPIFICAÇÃO]]="HB",TB_Radiologia2[[#This Row],[TIPIFICAÇÃO]]="PR"),SUM(TB_Radiologia2[[#This Row],[CH TEÓRICA]:[CH PRÁTICA]])/66,IF(TB_Radiologia2[[#This Row],[TIPIFICAÇÃO]]="EXT",0.5,0))&gt;0.6,IF(OR(TB_Radiologia2[[#This Row],[TIPIFICAÇÃO]]="HB",TB_Radiologia2[[#This Row],[TIPIFICAÇÃO]]="PR"),SUM(TB_Radiologia2[[#This Row],[CH TEÓRICA]:[CH PRÁTICA]])/66,IF(TB_Radiologia2[[#This Row],[TIPIFICAÇÃO]]="EXT",0.5,0))&lt;0.8),1,IF(OR(TB_Radiologia2[[#This Row],[TIPIFICAÇÃO]]="HB",TB_Radiologia2[[#This Row],[TIPIFICAÇÃO]]="PR"),SUM(TB_Radiologia2[[#This Row],[CH TEÓRICA]:[CH PRÁTICA]])/66,IF(TB_Radiologia2[[#This Row],[TIPIFICAÇÃO]]="EXT",0.5,0)))))</f>
        <v>0</v>
      </c>
      <c r="Q12" s="44"/>
      <c r="R12" s="12" t="s">
        <v>68</v>
      </c>
      <c r="S12" s="12"/>
      <c r="T12" s="12"/>
      <c r="U12" s="12"/>
      <c r="V12" s="10" cm="1">
        <f t="array" ref="V12">ROUNDUP(IFERROR(_xlfn.IFS(TB_Radiologia2[[#This Row],[TIPIFICAÇÃO]]="ON.A",0,AND(TB_Radiologia2[[#This Row],[TIPIFICAÇÃO]]="EST",TB_Radiologia2[[#This Row],[TIPO DE OFERTA]]="PRESENCIAL"),0,AND(TB_Radiologia2[[#This Row],[TIPIFICAÇÃO]]="PR",OR(TB_Radiologia2[[#This Row],[TIPO DE OFERTA]]="PRESENCIAL",TB_Radiologia2[[#This Row],[TIPO DE OFERTA]]="SEMI-PRESENCIAL")),TB_Radiologia2[[#This Row],[CH TEÓRICA]]+TB_Radiologia2[[#This Row],[CH PRÁTICA]],AND(TB_Radiologia2[[#This Row],[TIPIFICAÇÃO]]="HB",TB_Radiologia2[[#This Row],[TIPO DE OFERTA]]="PRESENCIAL"),TB_Radiologia2[[#This Row],[CH TEÓRICA]]+TB_Radiologia2[[#This Row],[CH PRÁTICA]],AND(TB_Radiologia2[[#This Row],[TIPIFICAÇÃO]]="EXT",OR(TB_Radiologia2[[#This Row],[TIPO DE OFERTA]]="PRESENCIAL",TB_Radiologia2[[#This Row],[TIPO DE OFERTA]]="SEMI-PRESENCIAL")),33,AND(TB_Radiologia2[[#This Row],[TIPIFICAÇÃO]]="TCC",TB_Radiologia2[[#This Row],[TIPO DE OFERTA]]="PRESENCIAL"),SUM(TB_Radiologia2[[#This Row],[CH TEÓRICA]],TB_Radiologia2[[#This Row],[CH PRÁTICA]]))/Cursos!$E$3,0),0)</f>
        <v>0</v>
      </c>
      <c r="W12" s="10">
        <f>IF(TB_Radiologia2[[#This Row],[TIPIFICAÇÃO]]="ON.S",ROUNDUP(TB_Radiologia2[[#This Row],[CH TEÓRICA]]/Cursos!$E$3,0),0)</f>
        <v>0</v>
      </c>
      <c r="X12" s="10" cm="1">
        <f t="array" ref="X12">IFERROR(_xlfn.IFS(TB_Radiologia2[[#This Row],[TIPIFICAÇÃO]]="ON.A",1,TB_Radiologia2[[#This Row],[TIPIFICAÇÃO]]="PR",0,TB_Radiologia2[[#This Row],[TIPIFICAÇÃO]]="HB",0,AND(TB_Radiologia2[[#This Row],[TIPIFICAÇÃO]]="EXT",OR(TB_Radiologia2[[#This Row],[TIPO DE OFERTA]]="SEMI-PRESENCIAL",TB_Radiologia2[[#This Row],[TIPO DE OFERTA]]="EAD 100%")),1),0)</f>
        <v>1</v>
      </c>
      <c r="Y12" s="10" cm="1">
        <f t="array" ref="Y12">ROUNDUP(IFERROR(_xlfn.IFS(TB_Radiologia2[[#This Row],[TIPIFICAÇÃO]]="ON.A",0,TB_Radiologia2[[#This Row],[TIPIFICAÇÃO]]="PR",0,TB_Radiologia2[[#This Row],[TIPIFICAÇÃO]]="HB",TB_Radiologia2[[#This Row],[CH ONLINE]],TB_Radiologia2[[#This Row],[TIPIFICAÇÃO]]="ON.S",0,AND(TB_Radiologia2[[#This Row],[TIPIFICAÇÃO]]="EXT",TB_Radiologia2[[#This Row],[TIPO DE OFERTA]]="PRESENCIAL"),TB_Radiologia2[[#This Row],[CRÉDITOS]]-TB_Radiologia2[[#This Row],[CRÉDITOS PAGO PROFESSOR]])/Cursos!$E$3,0),0)</f>
        <v>0</v>
      </c>
      <c r="Z12" s="13" t="s">
        <v>77</v>
      </c>
      <c r="AA12" s="10"/>
      <c r="AB12" s="10"/>
      <c r="AC12" s="10"/>
      <c r="AD12" s="10"/>
      <c r="AE12" s="10"/>
    </row>
    <row r="13" spans="2:31" x14ac:dyDescent="0.25">
      <c r="B13" s="7" t="str">
        <f t="shared" si="0"/>
        <v>RADIOLOGIA</v>
      </c>
      <c r="C13" s="7" t="s">
        <v>73</v>
      </c>
      <c r="D13" s="81">
        <v>5</v>
      </c>
      <c r="E13" s="77" t="s">
        <v>86</v>
      </c>
      <c r="F13" s="43" t="s">
        <v>87</v>
      </c>
      <c r="G13" s="80">
        <f>SUM(TB_Radiologia2[[#This Row],[CH TEÓRICA]:[CH ONLINE]])</f>
        <v>49</v>
      </c>
      <c r="H13" s="77" t="s">
        <v>80</v>
      </c>
      <c r="I13" s="81">
        <v>49</v>
      </c>
      <c r="J13" s="81">
        <v>0</v>
      </c>
      <c r="K13" s="81">
        <v>0</v>
      </c>
      <c r="L13" s="81">
        <v>0</v>
      </c>
      <c r="M13" s="81">
        <v>0</v>
      </c>
      <c r="N13" s="81" t="s">
        <v>8</v>
      </c>
      <c r="O13" s="42">
        <f>ROUNDUP(TB_Radiologia2[[#This Row],[CH TOTAL]]/Cursos!$E$3,0)</f>
        <v>3</v>
      </c>
      <c r="P13" s="52" cm="1">
        <f t="array" ref="P13">IF(AND(TB_Radiologia2[[#This Row],[TIPIFICAÇÃO]]="TCC",TB_Radiologia2[[#This Row],[TIPO DE OFERTA]]="PRESENCIAL"),SUM(TB_Radiologia2[[#This Row],[CH TEÓRICA]:[CH PRÁTICA]]/66),IF(TB_Radiologia2[[#This Row],[TIPIFICAÇÃO]]="EST",1,IF(AND(IF(OR(TB_Radiologia2[[#This Row],[TIPIFICAÇÃO]]="HB",TB_Radiologia2[[#This Row],[TIPIFICAÇÃO]]="PR"),SUM(TB_Radiologia2[[#This Row],[CH TEÓRICA]:[CH PRÁTICA]])/66,IF(TB_Radiologia2[[#This Row],[TIPIFICAÇÃO]]="EXT",0.5,0))&gt;0.6,IF(OR(TB_Radiologia2[[#This Row],[TIPIFICAÇÃO]]="HB",TB_Radiologia2[[#This Row],[TIPIFICAÇÃO]]="PR"),SUM(TB_Radiologia2[[#This Row],[CH TEÓRICA]:[CH PRÁTICA]])/66,IF(TB_Radiologia2[[#This Row],[TIPIFICAÇÃO]]="EXT",0.5,0))&lt;0.8),1,IF(OR(TB_Radiologia2[[#This Row],[TIPIFICAÇÃO]]="HB",TB_Radiologia2[[#This Row],[TIPIFICAÇÃO]]="PR"),SUM(TB_Radiologia2[[#This Row],[CH TEÓRICA]:[CH PRÁTICA]])/66,IF(TB_Radiologia2[[#This Row],[TIPIFICAÇÃO]]="EXT",0.5,0)))))</f>
        <v>1</v>
      </c>
      <c r="Q13" s="44"/>
      <c r="R13" s="12" t="s">
        <v>68</v>
      </c>
      <c r="S13" s="12"/>
      <c r="T13" s="12"/>
      <c r="U13" s="12"/>
      <c r="V13" s="10" cm="1">
        <f t="array" ref="V13">ROUNDUP(IFERROR(_xlfn.IFS(TB_Radiologia2[[#This Row],[TIPIFICAÇÃO]]="ON.A",0,AND(TB_Radiologia2[[#This Row],[TIPIFICAÇÃO]]="EST",TB_Radiologia2[[#This Row],[TIPO DE OFERTA]]="PRESENCIAL"),0,AND(TB_Radiologia2[[#This Row],[TIPIFICAÇÃO]]="PR",OR(TB_Radiologia2[[#This Row],[TIPO DE OFERTA]]="PRESENCIAL",TB_Radiologia2[[#This Row],[TIPO DE OFERTA]]="SEMI-PRESENCIAL")),TB_Radiologia2[[#This Row],[CH TEÓRICA]]+TB_Radiologia2[[#This Row],[CH PRÁTICA]],AND(TB_Radiologia2[[#This Row],[TIPIFICAÇÃO]]="HB",TB_Radiologia2[[#This Row],[TIPO DE OFERTA]]="PRESENCIAL"),TB_Radiologia2[[#This Row],[CH TEÓRICA]]+TB_Radiologia2[[#This Row],[CH PRÁTICA]],AND(TB_Radiologia2[[#This Row],[TIPIFICAÇÃO]]="EXT",OR(TB_Radiologia2[[#This Row],[TIPO DE OFERTA]]="PRESENCIAL",TB_Radiologia2[[#This Row],[TIPO DE OFERTA]]="SEMI-PRESENCIAL")),33,AND(TB_Radiologia2[[#This Row],[TIPIFICAÇÃO]]="TCC",TB_Radiologia2[[#This Row],[TIPO DE OFERTA]]="PRESENCIAL"),SUM(TB_Radiologia2[[#This Row],[CH TEÓRICA]],TB_Radiologia2[[#This Row],[CH PRÁTICA]]))/Cursos!$E$3,0),0)</f>
        <v>3</v>
      </c>
      <c r="W13" s="10">
        <f>IF(TB_Radiologia2[[#This Row],[TIPIFICAÇÃO]]="ON.S",ROUNDUP(TB_Radiologia2[[#This Row],[CH TEÓRICA]]/Cursos!$E$3,0),0)</f>
        <v>0</v>
      </c>
      <c r="X13" s="42" cm="1">
        <f t="array" ref="X13">IFERROR(_xlfn.IFS(TB_Radiologia2[[#This Row],[TIPIFICAÇÃO]]="ON.A",1,TB_Radiologia2[[#This Row],[TIPIFICAÇÃO]]="PR",0,TB_Radiologia2[[#This Row],[TIPIFICAÇÃO]]="HB",0,AND(TB_Radiologia2[[#This Row],[TIPIFICAÇÃO]]="EXT",OR(TB_Radiologia2[[#This Row],[TIPO DE OFERTA]]="SEMI-PRESENCIAL",TB_Radiologia2[[#This Row],[TIPO DE OFERTA]]="EAD 100%")),1),0)</f>
        <v>0</v>
      </c>
      <c r="Y13" s="42" cm="1">
        <f t="array" ref="Y13">ROUNDUP(IFERROR(_xlfn.IFS(TB_Radiologia2[[#This Row],[TIPIFICAÇÃO]]="ON.A",0,TB_Radiologia2[[#This Row],[TIPIFICAÇÃO]]="PR",0,TB_Radiologia2[[#This Row],[TIPIFICAÇÃO]]="HB",TB_Radiologia2[[#This Row],[CH ONLINE]],TB_Radiologia2[[#This Row],[TIPIFICAÇÃO]]="ON.S",0,AND(TB_Radiologia2[[#This Row],[TIPIFICAÇÃO]]="EXT",TB_Radiologia2[[#This Row],[TIPO DE OFERTA]]="PRESENCIAL"),TB_Radiologia2[[#This Row],[CRÉDITOS]]-TB_Radiologia2[[#This Row],[CRÉDITOS PAGO PROFESSOR]])/Cursos!$E$3,0),0)</f>
        <v>0</v>
      </c>
      <c r="Z13" s="13" t="s">
        <v>77</v>
      </c>
      <c r="AA13" s="10"/>
      <c r="AB13" s="10"/>
      <c r="AC13" s="10"/>
      <c r="AD13" s="10"/>
      <c r="AE13" s="10"/>
    </row>
    <row r="14" spans="2:31" x14ac:dyDescent="0.25">
      <c r="B14" s="7" t="str">
        <f>$J$2</f>
        <v>RADIOLOGIA</v>
      </c>
      <c r="C14" s="7" t="s">
        <v>73</v>
      </c>
      <c r="D14" s="81">
        <v>6</v>
      </c>
      <c r="E14" s="77" t="s">
        <v>88</v>
      </c>
      <c r="F14" s="45" t="s">
        <v>89</v>
      </c>
      <c r="G14" s="80">
        <f>SUM(TB_Radiologia2[[#This Row],[CH TEÓRICA]:[CH ONLINE]])</f>
        <v>80</v>
      </c>
      <c r="H14" s="77" t="s">
        <v>90</v>
      </c>
      <c r="I14" s="81">
        <v>0</v>
      </c>
      <c r="J14" s="81">
        <v>0</v>
      </c>
      <c r="K14" s="81">
        <v>0</v>
      </c>
      <c r="L14" s="81">
        <v>80</v>
      </c>
      <c r="M14" s="81">
        <v>0</v>
      </c>
      <c r="N14" s="81" t="s">
        <v>12</v>
      </c>
      <c r="O14" s="42">
        <f>ROUNDUP(TB_Radiologia2[[#This Row],[CH TOTAL]]/Cursos!$E$3,0)</f>
        <v>5</v>
      </c>
      <c r="P14" s="52" cm="1">
        <f t="array" ref="P14">IF(AND(TB_Radiologia2[[#This Row],[TIPIFICAÇÃO]]="TCC",TB_Radiologia2[[#This Row],[TIPO DE OFERTA]]="PRESENCIAL"),SUM(TB_Radiologia2[[#This Row],[CH TEÓRICA]:[CH PRÁTICA]]/66),IF(TB_Radiologia2[[#This Row],[TIPIFICAÇÃO]]="EST",1,IF(AND(IF(OR(TB_Radiologia2[[#This Row],[TIPIFICAÇÃO]]="HB",TB_Radiologia2[[#This Row],[TIPIFICAÇÃO]]="PR"),SUM(TB_Radiologia2[[#This Row],[CH TEÓRICA]:[CH PRÁTICA]])/66,IF(TB_Radiologia2[[#This Row],[TIPIFICAÇÃO]]="EXT",0.5,0))&gt;0.6,IF(OR(TB_Radiologia2[[#This Row],[TIPIFICAÇÃO]]="HB",TB_Radiologia2[[#This Row],[TIPIFICAÇÃO]]="PR"),SUM(TB_Radiologia2[[#This Row],[CH TEÓRICA]:[CH PRÁTICA]])/66,IF(TB_Radiologia2[[#This Row],[TIPIFICAÇÃO]]="EXT",0.5,0))&lt;0.8),1,IF(OR(TB_Radiologia2[[#This Row],[TIPIFICAÇÃO]]="HB",TB_Radiologia2[[#This Row],[TIPIFICAÇÃO]]="PR"),SUM(TB_Radiologia2[[#This Row],[CH TEÓRICA]:[CH PRÁTICA]])/66,IF(TB_Radiologia2[[#This Row],[TIPIFICAÇÃO]]="EXT",0.5,0)))))</f>
        <v>0.5</v>
      </c>
      <c r="Q14" s="44"/>
      <c r="R14" s="12" t="s">
        <v>68</v>
      </c>
      <c r="S14" s="12"/>
      <c r="T14" s="12"/>
      <c r="U14" s="12"/>
      <c r="V14" s="10" cm="1">
        <f t="array" ref="V14">ROUNDUP(IFERROR(_xlfn.IFS(TB_Radiologia2[[#This Row],[TIPIFICAÇÃO]]="ON.A",0,AND(TB_Radiologia2[[#This Row],[TIPIFICAÇÃO]]="EST",TB_Radiologia2[[#This Row],[TIPO DE OFERTA]]="PRESENCIAL"),0,AND(TB_Radiologia2[[#This Row],[TIPIFICAÇÃO]]="PR",OR(TB_Radiologia2[[#This Row],[TIPO DE OFERTA]]="PRESENCIAL",TB_Radiologia2[[#This Row],[TIPO DE OFERTA]]="SEMI-PRESENCIAL")),TB_Radiologia2[[#This Row],[CH TEÓRICA]]+TB_Radiologia2[[#This Row],[CH PRÁTICA]],AND(TB_Radiologia2[[#This Row],[TIPIFICAÇÃO]]="HB",TB_Radiologia2[[#This Row],[TIPO DE OFERTA]]="PRESENCIAL"),TB_Radiologia2[[#This Row],[CH TEÓRICA]]+TB_Radiologia2[[#This Row],[CH PRÁTICA]],AND(TB_Radiologia2[[#This Row],[TIPIFICAÇÃO]]="EXT",OR(TB_Radiologia2[[#This Row],[TIPO DE OFERTA]]="PRESENCIAL",TB_Radiologia2[[#This Row],[TIPO DE OFERTA]]="SEMI-PRESENCIAL")),33,AND(TB_Radiologia2[[#This Row],[TIPIFICAÇÃO]]="TCC",TB_Radiologia2[[#This Row],[TIPO DE OFERTA]]="PRESENCIAL"),SUM(TB_Radiologia2[[#This Row],[CH TEÓRICA]],TB_Radiologia2[[#This Row],[CH PRÁTICA]]))/Cursos!$E$3,0),0)</f>
        <v>2</v>
      </c>
      <c r="W14" s="10">
        <f>IF(TB_Radiologia2[[#This Row],[TIPIFICAÇÃO]]="ON.S",ROUNDUP(TB_Radiologia2[[#This Row],[CH TEÓRICA]]/Cursos!$E$3,0),0)</f>
        <v>0</v>
      </c>
      <c r="X14" s="54" cm="1">
        <f t="array" ref="X14">IFERROR(_xlfn.IFS(TB_Radiologia2[[#This Row],[TIPIFICAÇÃO]]="ON.A",1,TB_Radiologia2[[#This Row],[TIPIFICAÇÃO]]="PR",0,TB_Radiologia2[[#This Row],[TIPIFICAÇÃO]]="HB",0,AND(TB_Radiologia2[[#This Row],[TIPIFICAÇÃO]]="EXT",OR(TB_Radiologia2[[#This Row],[TIPO DE OFERTA]]="SEMI-PRESENCIAL",TB_Radiologia2[[#This Row],[TIPO DE OFERTA]]="EAD 100%")),1),0)</f>
        <v>0</v>
      </c>
      <c r="Y14" s="54" cm="1">
        <f t="array" ref="Y14">ROUNDUP(IFERROR(_xlfn.IFS(TB_Radiologia2[[#This Row],[TIPIFICAÇÃO]]="ON.A",0,TB_Radiologia2[[#This Row],[TIPIFICAÇÃO]]="PR",0,TB_Radiologia2[[#This Row],[TIPIFICAÇÃO]]="HB",TB_Radiologia2[[#This Row],[CH ONLINE]],TB_Radiologia2[[#This Row],[TIPIFICAÇÃO]]="ON.S",0,AND(TB_Radiologia2[[#This Row],[TIPIFICAÇÃO]]="EXT",TB_Radiologia2[[#This Row],[TIPO DE OFERTA]]="PRESENCIAL"),TB_Radiologia2[[#This Row],[CRÉDITOS]]-TB_Radiologia2[[#This Row],[CRÉDITOS PAGO PROFESSOR]])/Cursos!$E$3,0),0)</f>
        <v>1</v>
      </c>
      <c r="Z14" s="13"/>
      <c r="AA14" s="10"/>
      <c r="AB14" s="10"/>
      <c r="AC14" s="10"/>
      <c r="AD14" s="10"/>
      <c r="AE14" s="10"/>
    </row>
    <row r="15" spans="2:31" x14ac:dyDescent="0.25">
      <c r="B15" s="7" t="str">
        <f>$J$2</f>
        <v>RADIOLOGIA</v>
      </c>
      <c r="C15" s="7" t="s">
        <v>73</v>
      </c>
      <c r="D15" s="81">
        <v>7</v>
      </c>
      <c r="E15" s="78" t="s">
        <v>91</v>
      </c>
      <c r="F15" s="45" t="s">
        <v>92</v>
      </c>
      <c r="G15" s="80">
        <f>SUM(TB_Radiologia2[[#This Row],[CH TEÓRICA]:[CH ONLINE]])</f>
        <v>66</v>
      </c>
      <c r="H15" s="78" t="s">
        <v>93</v>
      </c>
      <c r="I15" s="82">
        <v>0</v>
      </c>
      <c r="J15" s="81">
        <v>0</v>
      </c>
      <c r="K15" s="81">
        <v>0</v>
      </c>
      <c r="L15" s="81">
        <v>0</v>
      </c>
      <c r="M15" s="82">
        <v>66</v>
      </c>
      <c r="N15" s="82" t="s">
        <v>4</v>
      </c>
      <c r="O15" s="42">
        <f>ROUNDUP(TB_Radiologia2[[#This Row],[CH TOTAL]]/Cursos!$E$3,0)</f>
        <v>4</v>
      </c>
      <c r="P15" s="52" cm="1">
        <f t="array" ref="P15">IF(AND(TB_Radiologia2[[#This Row],[TIPIFICAÇÃO]]="TCC",TB_Radiologia2[[#This Row],[TIPO DE OFERTA]]="PRESENCIAL"),SUM(TB_Radiologia2[[#This Row],[CH TEÓRICA]:[CH PRÁTICA]]/66),IF(TB_Radiologia2[[#This Row],[TIPIFICAÇÃO]]="EST",1,IF(AND(IF(OR(TB_Radiologia2[[#This Row],[TIPIFICAÇÃO]]="HB",TB_Radiologia2[[#This Row],[TIPIFICAÇÃO]]="PR"),SUM(TB_Radiologia2[[#This Row],[CH TEÓRICA]:[CH PRÁTICA]])/66,IF(TB_Radiologia2[[#This Row],[TIPIFICAÇÃO]]="EXT",0.5,0))&gt;0.6,IF(OR(TB_Radiologia2[[#This Row],[TIPIFICAÇÃO]]="HB",TB_Radiologia2[[#This Row],[TIPIFICAÇÃO]]="PR"),SUM(TB_Radiologia2[[#This Row],[CH TEÓRICA]:[CH PRÁTICA]])/66,IF(TB_Radiologia2[[#This Row],[TIPIFICAÇÃO]]="EXT",0.5,0))&lt;0.8),1,IF(OR(TB_Radiologia2[[#This Row],[TIPIFICAÇÃO]]="HB",TB_Radiologia2[[#This Row],[TIPIFICAÇÃO]]="PR"),SUM(TB_Radiologia2[[#This Row],[CH TEÓRICA]:[CH PRÁTICA]])/66,IF(TB_Radiologia2[[#This Row],[TIPIFICAÇÃO]]="EXT",0.5,0)))))</f>
        <v>0</v>
      </c>
      <c r="Q15" s="44"/>
      <c r="R15" s="12" t="s">
        <v>68</v>
      </c>
      <c r="S15" s="12"/>
      <c r="T15" s="12"/>
      <c r="U15" s="12"/>
      <c r="V15" s="10" cm="1">
        <f t="array" ref="V15">ROUNDUP(IFERROR(_xlfn.IFS(TB_Radiologia2[[#This Row],[TIPIFICAÇÃO]]="ON.A",0,AND(TB_Radiologia2[[#This Row],[TIPIFICAÇÃO]]="EST",TB_Radiologia2[[#This Row],[TIPO DE OFERTA]]="PRESENCIAL"),0,AND(TB_Radiologia2[[#This Row],[TIPIFICAÇÃO]]="PR",OR(TB_Radiologia2[[#This Row],[TIPO DE OFERTA]]="PRESENCIAL",TB_Radiologia2[[#This Row],[TIPO DE OFERTA]]="SEMI-PRESENCIAL")),TB_Radiologia2[[#This Row],[CH TEÓRICA]]+TB_Radiologia2[[#This Row],[CH PRÁTICA]],AND(TB_Radiologia2[[#This Row],[TIPIFICAÇÃO]]="HB",TB_Radiologia2[[#This Row],[TIPO DE OFERTA]]="PRESENCIAL"),TB_Radiologia2[[#This Row],[CH TEÓRICA]]+TB_Radiologia2[[#This Row],[CH PRÁTICA]],AND(TB_Radiologia2[[#This Row],[TIPIFICAÇÃO]]="EXT",OR(TB_Radiologia2[[#This Row],[TIPO DE OFERTA]]="PRESENCIAL",TB_Radiologia2[[#This Row],[TIPO DE OFERTA]]="SEMI-PRESENCIAL")),33,AND(TB_Radiologia2[[#This Row],[TIPIFICAÇÃO]]="TCC",TB_Radiologia2[[#This Row],[TIPO DE OFERTA]]="PRESENCIAL"),SUM(TB_Radiologia2[[#This Row],[CH TEÓRICA]],TB_Radiologia2[[#This Row],[CH PRÁTICA]]))/Cursos!$E$3,0),0)</f>
        <v>0</v>
      </c>
      <c r="W15" s="10">
        <f>IF(TB_Radiologia2[[#This Row],[TIPIFICAÇÃO]]="ON.S",ROUNDUP(TB_Radiologia2[[#This Row],[CH TEÓRICA]]/Cursos!$E$3,0),0)</f>
        <v>0</v>
      </c>
      <c r="X15" s="54" cm="1">
        <f t="array" ref="X15">IFERROR(_xlfn.IFS(TB_Radiologia2[[#This Row],[TIPIFICAÇÃO]]="ON.A",1,TB_Radiologia2[[#This Row],[TIPIFICAÇÃO]]="PR",0,TB_Radiologia2[[#This Row],[TIPIFICAÇÃO]]="HB",0,AND(TB_Radiologia2[[#This Row],[TIPIFICAÇÃO]]="EXT",OR(TB_Radiologia2[[#This Row],[TIPO DE OFERTA]]="SEMI-PRESENCIAL",TB_Radiologia2[[#This Row],[TIPO DE OFERTA]]="EAD 100%")),1),0)</f>
        <v>1</v>
      </c>
      <c r="Y15" s="54" cm="1">
        <f t="array" ref="Y15">ROUNDUP(IFERROR(_xlfn.IFS(TB_Radiologia2[[#This Row],[TIPIFICAÇÃO]]="ON.A",0,TB_Radiologia2[[#This Row],[TIPIFICAÇÃO]]="PR",0,TB_Radiologia2[[#This Row],[TIPIFICAÇÃO]]="HB",TB_Radiologia2[[#This Row],[CH ONLINE]],TB_Radiologia2[[#This Row],[TIPIFICAÇÃO]]="ON.S",0,AND(TB_Radiologia2[[#This Row],[TIPIFICAÇÃO]]="EXT",TB_Radiologia2[[#This Row],[TIPO DE OFERTA]]="PRESENCIAL"),TB_Radiologia2[[#This Row],[CRÉDITOS]]-TB_Radiologia2[[#This Row],[CRÉDITOS PAGO PROFESSOR]])/Cursos!$E$3,0),0)</f>
        <v>0</v>
      </c>
      <c r="Z15" s="13"/>
      <c r="AA15" s="10"/>
      <c r="AB15" s="10"/>
      <c r="AC15" s="10"/>
      <c r="AD15" s="10"/>
      <c r="AE15" s="10"/>
    </row>
    <row r="16" spans="2:31" x14ac:dyDescent="0.25">
      <c r="B16" s="7" t="str">
        <f t="shared" si="0"/>
        <v>RADIOLOGIA</v>
      </c>
      <c r="C16" s="7" t="s">
        <v>73</v>
      </c>
      <c r="D16" s="81">
        <v>8</v>
      </c>
      <c r="E16" s="79" t="s">
        <v>94</v>
      </c>
      <c r="F16" s="21" t="s">
        <v>95</v>
      </c>
      <c r="G16" s="80">
        <f>SUM(TB_Radiologia2[[#This Row],[CH TEÓRICA]:[CH ONLINE]])</f>
        <v>33</v>
      </c>
      <c r="H16" s="79" t="s">
        <v>80</v>
      </c>
      <c r="I16" s="46">
        <v>33</v>
      </c>
      <c r="J16" s="80">
        <v>0</v>
      </c>
      <c r="K16" s="80">
        <v>0</v>
      </c>
      <c r="L16" s="80">
        <v>0</v>
      </c>
      <c r="M16" s="46">
        <v>0</v>
      </c>
      <c r="N16" s="46" t="s">
        <v>8</v>
      </c>
      <c r="O16" s="42">
        <f>ROUNDUP(TB_Radiologia2[[#This Row],[CH TOTAL]]/Cursos!$E$3,0)</f>
        <v>2</v>
      </c>
      <c r="P16" s="52" cm="1">
        <f t="array" ref="P16">IF(AND(TB_Radiologia2[[#This Row],[TIPIFICAÇÃO]]="TCC",TB_Radiologia2[[#This Row],[TIPO DE OFERTA]]="PRESENCIAL"),SUM(TB_Radiologia2[[#This Row],[CH TEÓRICA]:[CH PRÁTICA]]/66),IF(TB_Radiologia2[[#This Row],[TIPIFICAÇÃO]]="EST",1,IF(AND(IF(OR(TB_Radiologia2[[#This Row],[TIPIFICAÇÃO]]="HB",TB_Radiologia2[[#This Row],[TIPIFICAÇÃO]]="PR"),SUM(TB_Radiologia2[[#This Row],[CH TEÓRICA]:[CH PRÁTICA]])/66,IF(TB_Radiologia2[[#This Row],[TIPIFICAÇÃO]]="EXT",0.5,0))&gt;0.6,IF(OR(TB_Radiologia2[[#This Row],[TIPIFICAÇÃO]]="HB",TB_Radiologia2[[#This Row],[TIPIFICAÇÃO]]="PR"),SUM(TB_Radiologia2[[#This Row],[CH TEÓRICA]:[CH PRÁTICA]])/66,IF(TB_Radiologia2[[#This Row],[TIPIFICAÇÃO]]="EXT",0.5,0))&lt;0.8),1,IF(OR(TB_Radiologia2[[#This Row],[TIPIFICAÇÃO]]="HB",TB_Radiologia2[[#This Row],[TIPIFICAÇÃO]]="PR"),SUM(TB_Radiologia2[[#This Row],[CH TEÓRICA]:[CH PRÁTICA]])/66,IF(TB_Radiologia2[[#This Row],[TIPIFICAÇÃO]]="EXT",0.5,0)))))</f>
        <v>0.5</v>
      </c>
      <c r="Q16" s="44"/>
      <c r="R16" s="12" t="s">
        <v>68</v>
      </c>
      <c r="S16" s="12"/>
      <c r="T16" s="12"/>
      <c r="U16" s="12"/>
      <c r="V16" s="10" cm="1">
        <f t="array" ref="V16">ROUNDUP(IFERROR(_xlfn.IFS(TB_Radiologia2[[#This Row],[TIPIFICAÇÃO]]="ON.A",0,AND(TB_Radiologia2[[#This Row],[TIPIFICAÇÃO]]="EST",TB_Radiologia2[[#This Row],[TIPO DE OFERTA]]="PRESENCIAL"),0,AND(TB_Radiologia2[[#This Row],[TIPIFICAÇÃO]]="PR",OR(TB_Radiologia2[[#This Row],[TIPO DE OFERTA]]="PRESENCIAL",TB_Radiologia2[[#This Row],[TIPO DE OFERTA]]="SEMI-PRESENCIAL")),TB_Radiologia2[[#This Row],[CH TEÓRICA]]+TB_Radiologia2[[#This Row],[CH PRÁTICA]],AND(TB_Radiologia2[[#This Row],[TIPIFICAÇÃO]]="HB",TB_Radiologia2[[#This Row],[TIPO DE OFERTA]]="PRESENCIAL"),TB_Radiologia2[[#This Row],[CH TEÓRICA]]+TB_Radiologia2[[#This Row],[CH PRÁTICA]],AND(TB_Radiologia2[[#This Row],[TIPIFICAÇÃO]]="EXT",OR(TB_Radiologia2[[#This Row],[TIPO DE OFERTA]]="PRESENCIAL",TB_Radiologia2[[#This Row],[TIPO DE OFERTA]]="SEMI-PRESENCIAL")),33,AND(TB_Radiologia2[[#This Row],[TIPIFICAÇÃO]]="TCC",TB_Radiologia2[[#This Row],[TIPO DE OFERTA]]="PRESENCIAL"),SUM(TB_Radiologia2[[#This Row],[CH TEÓRICA]],TB_Radiologia2[[#This Row],[CH PRÁTICA]]))/Cursos!$E$3,0),0)</f>
        <v>2</v>
      </c>
      <c r="W16" s="10">
        <f>IF(TB_Radiologia2[[#This Row],[TIPIFICAÇÃO]]="ON.S",ROUNDUP(TB_Radiologia2[[#This Row],[CH TEÓRICA]]/Cursos!$E$3,0),0)</f>
        <v>0</v>
      </c>
      <c r="X16" s="54" cm="1">
        <f t="array" ref="X16">IFERROR(_xlfn.IFS(TB_Radiologia2[[#This Row],[TIPIFICAÇÃO]]="ON.A",1,TB_Radiologia2[[#This Row],[TIPIFICAÇÃO]]="PR",0,TB_Radiologia2[[#This Row],[TIPIFICAÇÃO]]="HB",0,AND(TB_Radiologia2[[#This Row],[TIPIFICAÇÃO]]="EXT",OR(TB_Radiologia2[[#This Row],[TIPO DE OFERTA]]="SEMI-PRESENCIAL",TB_Radiologia2[[#This Row],[TIPO DE OFERTA]]="EAD 100%")),1),0)</f>
        <v>0</v>
      </c>
      <c r="Y16" s="54" cm="1">
        <f t="array" ref="Y16">ROUNDUP(IFERROR(_xlfn.IFS(TB_Radiologia2[[#This Row],[TIPIFICAÇÃO]]="ON.A",0,TB_Radiologia2[[#This Row],[TIPIFICAÇÃO]]="PR",0,TB_Radiologia2[[#This Row],[TIPIFICAÇÃO]]="HB",TB_Radiologia2[[#This Row],[CH ONLINE]],TB_Radiologia2[[#This Row],[TIPIFICAÇÃO]]="ON.S",0,AND(TB_Radiologia2[[#This Row],[TIPIFICAÇÃO]]="EXT",TB_Radiologia2[[#This Row],[TIPO DE OFERTA]]="PRESENCIAL"),TB_Radiologia2[[#This Row],[CRÉDITOS]]-TB_Radiologia2[[#This Row],[CRÉDITOS PAGO PROFESSOR]])/Cursos!$E$3,0),0)</f>
        <v>0</v>
      </c>
      <c r="Z16" s="13" t="s">
        <v>77</v>
      </c>
      <c r="AA16" s="10"/>
      <c r="AB16" s="10"/>
      <c r="AC16" s="10"/>
      <c r="AD16" s="10"/>
      <c r="AE16" s="10"/>
    </row>
    <row r="17" spans="2:31" x14ac:dyDescent="0.25">
      <c r="B17" s="7" t="str">
        <f t="shared" si="0"/>
        <v>RADIOLOGIA</v>
      </c>
      <c r="C17" s="42" t="s">
        <v>97</v>
      </c>
      <c r="D17" s="46">
        <v>1</v>
      </c>
      <c r="E17" s="83" t="s">
        <v>98</v>
      </c>
      <c r="F17" s="45" t="s">
        <v>99</v>
      </c>
      <c r="G17" s="80">
        <f>SUM(TB_Radiologia2[[#This Row],[CH TEÓRICA]:[CH ONLINE]])</f>
        <v>66</v>
      </c>
      <c r="H17" s="79" t="s">
        <v>80</v>
      </c>
      <c r="I17" s="46">
        <v>33</v>
      </c>
      <c r="J17" s="46">
        <v>33</v>
      </c>
      <c r="K17" s="46">
        <v>0</v>
      </c>
      <c r="L17" s="46">
        <v>0</v>
      </c>
      <c r="M17" s="46">
        <v>0</v>
      </c>
      <c r="N17" s="46" t="s">
        <v>8</v>
      </c>
      <c r="O17" s="42">
        <f>ROUNDUP(TB_Radiologia2[[#This Row],[CH TOTAL]]/Cursos!$E$3,0)</f>
        <v>4</v>
      </c>
      <c r="P17" s="52" cm="1">
        <f t="array" ref="P17">IF(AND(TB_Radiologia2[[#This Row],[TIPIFICAÇÃO]]="TCC",TB_Radiologia2[[#This Row],[TIPO DE OFERTA]]="PRESENCIAL"),SUM(TB_Radiologia2[[#This Row],[CH TEÓRICA]:[CH PRÁTICA]]/66),IF(TB_Radiologia2[[#This Row],[TIPIFICAÇÃO]]="EST",1,IF(AND(IF(OR(TB_Radiologia2[[#This Row],[TIPIFICAÇÃO]]="HB",TB_Radiologia2[[#This Row],[TIPIFICAÇÃO]]="PR"),SUM(TB_Radiologia2[[#This Row],[CH TEÓRICA]:[CH PRÁTICA]])/66,IF(TB_Radiologia2[[#This Row],[TIPIFICAÇÃO]]="EXT",0.5,0))&gt;0.6,IF(OR(TB_Radiologia2[[#This Row],[TIPIFICAÇÃO]]="HB",TB_Radiologia2[[#This Row],[TIPIFICAÇÃO]]="PR"),SUM(TB_Radiologia2[[#This Row],[CH TEÓRICA]:[CH PRÁTICA]])/66,IF(TB_Radiologia2[[#This Row],[TIPIFICAÇÃO]]="EXT",0.5,0))&lt;0.8),1,IF(OR(TB_Radiologia2[[#This Row],[TIPIFICAÇÃO]]="HB",TB_Radiologia2[[#This Row],[TIPIFICAÇÃO]]="PR"),SUM(TB_Radiologia2[[#This Row],[CH TEÓRICA]:[CH PRÁTICA]])/66,IF(TB_Radiologia2[[#This Row],[TIPIFICAÇÃO]]="EXT",0.5,0)))))</f>
        <v>1</v>
      </c>
      <c r="Q17" s="44"/>
      <c r="R17" s="12" t="s">
        <v>68</v>
      </c>
      <c r="S17" s="12"/>
      <c r="T17" s="12"/>
      <c r="U17" s="12"/>
      <c r="V17" s="10" cm="1">
        <f t="array" ref="V17">ROUNDUP(IFERROR(_xlfn.IFS(TB_Radiologia2[[#This Row],[TIPIFICAÇÃO]]="ON.A",0,AND(TB_Radiologia2[[#This Row],[TIPIFICAÇÃO]]="EST",TB_Radiologia2[[#This Row],[TIPO DE OFERTA]]="PRESENCIAL"),0,AND(TB_Radiologia2[[#This Row],[TIPIFICAÇÃO]]="PR",OR(TB_Radiologia2[[#This Row],[TIPO DE OFERTA]]="PRESENCIAL",TB_Radiologia2[[#This Row],[TIPO DE OFERTA]]="SEMI-PRESENCIAL")),TB_Radiologia2[[#This Row],[CH TEÓRICA]]+TB_Radiologia2[[#This Row],[CH PRÁTICA]],AND(TB_Radiologia2[[#This Row],[TIPIFICAÇÃO]]="HB",TB_Radiologia2[[#This Row],[TIPO DE OFERTA]]="PRESENCIAL"),TB_Radiologia2[[#This Row],[CH TEÓRICA]]+TB_Radiologia2[[#This Row],[CH PRÁTICA]],AND(TB_Radiologia2[[#This Row],[TIPIFICAÇÃO]]="EXT",OR(TB_Radiologia2[[#This Row],[TIPO DE OFERTA]]="PRESENCIAL",TB_Radiologia2[[#This Row],[TIPO DE OFERTA]]="SEMI-PRESENCIAL")),33,AND(TB_Radiologia2[[#This Row],[TIPIFICAÇÃO]]="TCC",TB_Radiologia2[[#This Row],[TIPO DE OFERTA]]="PRESENCIAL"),SUM(TB_Radiologia2[[#This Row],[CH TEÓRICA]],TB_Radiologia2[[#This Row],[CH PRÁTICA]]))/Cursos!$E$3,0),0)</f>
        <v>4</v>
      </c>
      <c r="W17" s="10">
        <f>IF(TB_Radiologia2[[#This Row],[TIPIFICAÇÃO]]="ON.S",ROUNDUP(TB_Radiologia2[[#This Row],[CH TEÓRICA]]/Cursos!$E$3,0),0)</f>
        <v>0</v>
      </c>
      <c r="X17" s="42" cm="1">
        <f t="array" ref="X17">IFERROR(_xlfn.IFS(TB_Radiologia2[[#This Row],[TIPIFICAÇÃO]]="ON.A",1,TB_Radiologia2[[#This Row],[TIPIFICAÇÃO]]="PR",0,TB_Radiologia2[[#This Row],[TIPIFICAÇÃO]]="HB",0,AND(TB_Radiologia2[[#This Row],[TIPIFICAÇÃO]]="EXT",OR(TB_Radiologia2[[#This Row],[TIPO DE OFERTA]]="SEMI-PRESENCIAL",TB_Radiologia2[[#This Row],[TIPO DE OFERTA]]="EAD 100%")),1),0)</f>
        <v>0</v>
      </c>
      <c r="Y17" s="42" cm="1">
        <f t="array" ref="Y17">ROUNDUP(IFERROR(_xlfn.IFS(TB_Radiologia2[[#This Row],[TIPIFICAÇÃO]]="ON.A",0,TB_Radiologia2[[#This Row],[TIPIFICAÇÃO]]="PR",0,TB_Radiologia2[[#This Row],[TIPIFICAÇÃO]]="HB",TB_Radiologia2[[#This Row],[CH ONLINE]],TB_Radiologia2[[#This Row],[TIPIFICAÇÃO]]="ON.S",0,AND(TB_Radiologia2[[#This Row],[TIPIFICAÇÃO]]="EXT",TB_Radiologia2[[#This Row],[TIPO DE OFERTA]]="PRESENCIAL"),TB_Radiologia2[[#This Row],[CRÉDITOS]]-TB_Radiologia2[[#This Row],[CRÉDITOS PAGO PROFESSOR]])/Cursos!$E$3,0),0)</f>
        <v>0</v>
      </c>
      <c r="Z17" s="13" t="s">
        <v>77</v>
      </c>
      <c r="AA17" s="10"/>
      <c r="AB17" s="10"/>
      <c r="AC17" s="10"/>
      <c r="AD17" s="10"/>
      <c r="AE17" s="10"/>
    </row>
    <row r="18" spans="2:31" x14ac:dyDescent="0.25">
      <c r="B18" s="7" t="str">
        <f t="shared" si="0"/>
        <v>RADIOLOGIA</v>
      </c>
      <c r="C18" s="42" t="s">
        <v>97</v>
      </c>
      <c r="D18" s="46">
        <v>2</v>
      </c>
      <c r="E18" s="83" t="s">
        <v>100</v>
      </c>
      <c r="F18" s="45" t="s">
        <v>101</v>
      </c>
      <c r="G18" s="80">
        <f>SUM(TB_Radiologia2[[#This Row],[CH TEÓRICA]:[CH ONLINE]])</f>
        <v>99</v>
      </c>
      <c r="H18" s="79" t="s">
        <v>80</v>
      </c>
      <c r="I18" s="46">
        <v>33</v>
      </c>
      <c r="J18" s="46">
        <v>33</v>
      </c>
      <c r="K18" s="46">
        <v>0</v>
      </c>
      <c r="L18" s="46">
        <v>0</v>
      </c>
      <c r="M18" s="46">
        <v>33</v>
      </c>
      <c r="N18" s="46" t="s">
        <v>10</v>
      </c>
      <c r="O18" s="42">
        <f>ROUNDUP(TB_Radiologia2[[#This Row],[CH TOTAL]]/Cursos!$E$3,0)</f>
        <v>6</v>
      </c>
      <c r="P18" s="52" cm="1">
        <f t="array" ref="P18">IF(AND(TB_Radiologia2[[#This Row],[TIPIFICAÇÃO]]="TCC",TB_Radiologia2[[#This Row],[TIPO DE OFERTA]]="PRESENCIAL"),SUM(TB_Radiologia2[[#This Row],[CH TEÓRICA]:[CH PRÁTICA]]/66),IF(TB_Radiologia2[[#This Row],[TIPIFICAÇÃO]]="EST",1,IF(AND(IF(OR(TB_Radiologia2[[#This Row],[TIPIFICAÇÃO]]="HB",TB_Radiologia2[[#This Row],[TIPIFICAÇÃO]]="PR"),SUM(TB_Radiologia2[[#This Row],[CH TEÓRICA]:[CH PRÁTICA]])/66,IF(TB_Radiologia2[[#This Row],[TIPIFICAÇÃO]]="EXT",0.5,0))&gt;0.6,IF(OR(TB_Radiologia2[[#This Row],[TIPIFICAÇÃO]]="HB",TB_Radiologia2[[#This Row],[TIPIFICAÇÃO]]="PR"),SUM(TB_Radiologia2[[#This Row],[CH TEÓRICA]:[CH PRÁTICA]])/66,IF(TB_Radiologia2[[#This Row],[TIPIFICAÇÃO]]="EXT",0.5,0))&lt;0.8),1,IF(OR(TB_Radiologia2[[#This Row],[TIPIFICAÇÃO]]="HB",TB_Radiologia2[[#This Row],[TIPIFICAÇÃO]]="PR"),SUM(TB_Radiologia2[[#This Row],[CH TEÓRICA]:[CH PRÁTICA]])/66,IF(TB_Radiologia2[[#This Row],[TIPIFICAÇÃO]]="EXT",0.5,0)))))</f>
        <v>1</v>
      </c>
      <c r="Q18" s="44"/>
      <c r="R18" s="12" t="s">
        <v>68</v>
      </c>
      <c r="S18" s="12"/>
      <c r="T18" s="12"/>
      <c r="U18" s="12"/>
      <c r="V18" s="10" cm="1">
        <f t="array" ref="V18">ROUNDUP(IFERROR(_xlfn.IFS(TB_Radiologia2[[#This Row],[TIPIFICAÇÃO]]="ON.A",0,AND(TB_Radiologia2[[#This Row],[TIPIFICAÇÃO]]="EST",TB_Radiologia2[[#This Row],[TIPO DE OFERTA]]="PRESENCIAL"),0,AND(TB_Radiologia2[[#This Row],[TIPIFICAÇÃO]]="PR",OR(TB_Radiologia2[[#This Row],[TIPO DE OFERTA]]="PRESENCIAL",TB_Radiologia2[[#This Row],[TIPO DE OFERTA]]="SEMI-PRESENCIAL")),TB_Radiologia2[[#This Row],[CH TEÓRICA]]+TB_Radiologia2[[#This Row],[CH PRÁTICA]],AND(TB_Radiologia2[[#This Row],[TIPIFICAÇÃO]]="HB",TB_Radiologia2[[#This Row],[TIPO DE OFERTA]]="PRESENCIAL"),TB_Radiologia2[[#This Row],[CH TEÓRICA]]+TB_Radiologia2[[#This Row],[CH PRÁTICA]],AND(TB_Radiologia2[[#This Row],[TIPIFICAÇÃO]]="EXT",OR(TB_Radiologia2[[#This Row],[TIPO DE OFERTA]]="PRESENCIAL",TB_Radiologia2[[#This Row],[TIPO DE OFERTA]]="SEMI-PRESENCIAL")),33,AND(TB_Radiologia2[[#This Row],[TIPIFICAÇÃO]]="TCC",TB_Radiologia2[[#This Row],[TIPO DE OFERTA]]="PRESENCIAL"),SUM(TB_Radiologia2[[#This Row],[CH TEÓRICA]],TB_Radiologia2[[#This Row],[CH PRÁTICA]]))/Cursos!$E$3,0),0)</f>
        <v>4</v>
      </c>
      <c r="W18" s="10">
        <f>IF(TB_Radiologia2[[#This Row],[TIPIFICAÇÃO]]="ON.S",ROUNDUP(TB_Radiologia2[[#This Row],[CH TEÓRICA]]/Cursos!$E$3,0),0)</f>
        <v>0</v>
      </c>
      <c r="X18" s="42" cm="1">
        <f t="array" ref="X18">IFERROR(_xlfn.IFS(TB_Radiologia2[[#This Row],[TIPIFICAÇÃO]]="ON.A",1,TB_Radiologia2[[#This Row],[TIPIFICAÇÃO]]="PR",0,TB_Radiologia2[[#This Row],[TIPIFICAÇÃO]]="HB",0,AND(TB_Radiologia2[[#This Row],[TIPIFICAÇÃO]]="EXT",OR(TB_Radiologia2[[#This Row],[TIPO DE OFERTA]]="SEMI-PRESENCIAL",TB_Radiologia2[[#This Row],[TIPO DE OFERTA]]="EAD 100%")),1),0)</f>
        <v>0</v>
      </c>
      <c r="Y18" s="42" cm="1">
        <f t="array" ref="Y18">ROUNDUP(IFERROR(_xlfn.IFS(TB_Radiologia2[[#This Row],[TIPIFICAÇÃO]]="ON.A",0,TB_Radiologia2[[#This Row],[TIPIFICAÇÃO]]="PR",0,TB_Radiologia2[[#This Row],[TIPIFICAÇÃO]]="HB",TB_Radiologia2[[#This Row],[CH ONLINE]],TB_Radiologia2[[#This Row],[TIPIFICAÇÃO]]="ON.S",0,AND(TB_Radiologia2[[#This Row],[TIPIFICAÇÃO]]="EXT",TB_Radiologia2[[#This Row],[TIPO DE OFERTA]]="PRESENCIAL"),TB_Radiologia2[[#This Row],[CRÉDITOS]]-TB_Radiologia2[[#This Row],[CRÉDITOS PAGO PROFESSOR]])/Cursos!$E$3,0),0)</f>
        <v>2</v>
      </c>
      <c r="Z18" s="13" t="s">
        <v>77</v>
      </c>
      <c r="AA18" s="10"/>
      <c r="AB18" s="10"/>
      <c r="AC18" s="10"/>
      <c r="AD18" s="10"/>
      <c r="AE18" s="10"/>
    </row>
    <row r="19" spans="2:31" x14ac:dyDescent="0.25">
      <c r="B19" s="7" t="str">
        <f t="shared" si="0"/>
        <v>RADIOLOGIA</v>
      </c>
      <c r="C19" s="42" t="s">
        <v>97</v>
      </c>
      <c r="D19" s="46">
        <v>3</v>
      </c>
      <c r="E19" s="83" t="s">
        <v>102</v>
      </c>
      <c r="F19" s="45" t="s">
        <v>103</v>
      </c>
      <c r="G19" s="80">
        <f>SUM(TB_Radiologia2[[#This Row],[CH TEÓRICA]:[CH ONLINE]])</f>
        <v>33</v>
      </c>
      <c r="H19" s="79" t="s">
        <v>80</v>
      </c>
      <c r="I19" s="46">
        <v>33</v>
      </c>
      <c r="J19" s="46">
        <v>0</v>
      </c>
      <c r="K19" s="46">
        <v>0</v>
      </c>
      <c r="L19" s="46">
        <v>0</v>
      </c>
      <c r="M19" s="46">
        <v>0</v>
      </c>
      <c r="N19" s="46" t="s">
        <v>8</v>
      </c>
      <c r="O19" s="42">
        <f>ROUNDUP(TB_Radiologia2[[#This Row],[CH TOTAL]]/Cursos!$E$3,0)</f>
        <v>2</v>
      </c>
      <c r="P19" s="52" cm="1">
        <f t="array" ref="P19">IF(AND(TB_Radiologia2[[#This Row],[TIPIFICAÇÃO]]="TCC",TB_Radiologia2[[#This Row],[TIPO DE OFERTA]]="PRESENCIAL"),SUM(TB_Radiologia2[[#This Row],[CH TEÓRICA]:[CH PRÁTICA]]/66),IF(TB_Radiologia2[[#This Row],[TIPIFICAÇÃO]]="EST",1,IF(AND(IF(OR(TB_Radiologia2[[#This Row],[TIPIFICAÇÃO]]="HB",TB_Radiologia2[[#This Row],[TIPIFICAÇÃO]]="PR"),SUM(TB_Radiologia2[[#This Row],[CH TEÓRICA]:[CH PRÁTICA]])/66,IF(TB_Radiologia2[[#This Row],[TIPIFICAÇÃO]]="EXT",0.5,0))&gt;0.6,IF(OR(TB_Radiologia2[[#This Row],[TIPIFICAÇÃO]]="HB",TB_Radiologia2[[#This Row],[TIPIFICAÇÃO]]="PR"),SUM(TB_Radiologia2[[#This Row],[CH TEÓRICA]:[CH PRÁTICA]])/66,IF(TB_Radiologia2[[#This Row],[TIPIFICAÇÃO]]="EXT",0.5,0))&lt;0.8),1,IF(OR(TB_Radiologia2[[#This Row],[TIPIFICAÇÃO]]="HB",TB_Radiologia2[[#This Row],[TIPIFICAÇÃO]]="PR"),SUM(TB_Radiologia2[[#This Row],[CH TEÓRICA]:[CH PRÁTICA]])/66,IF(TB_Radiologia2[[#This Row],[TIPIFICAÇÃO]]="EXT",0.5,0)))))</f>
        <v>0.5</v>
      </c>
      <c r="Q19" s="44"/>
      <c r="R19" s="12" t="s">
        <v>68</v>
      </c>
      <c r="S19" s="12"/>
      <c r="T19" s="12"/>
      <c r="U19" s="12"/>
      <c r="V19" s="10" cm="1">
        <f t="array" ref="V19">ROUNDUP(IFERROR(_xlfn.IFS(TB_Radiologia2[[#This Row],[TIPIFICAÇÃO]]="ON.A",0,AND(TB_Radiologia2[[#This Row],[TIPIFICAÇÃO]]="EST",TB_Radiologia2[[#This Row],[TIPO DE OFERTA]]="PRESENCIAL"),0,AND(TB_Radiologia2[[#This Row],[TIPIFICAÇÃO]]="PR",OR(TB_Radiologia2[[#This Row],[TIPO DE OFERTA]]="PRESENCIAL",TB_Radiologia2[[#This Row],[TIPO DE OFERTA]]="SEMI-PRESENCIAL")),TB_Radiologia2[[#This Row],[CH TEÓRICA]]+TB_Radiologia2[[#This Row],[CH PRÁTICA]],AND(TB_Radiologia2[[#This Row],[TIPIFICAÇÃO]]="HB",TB_Radiologia2[[#This Row],[TIPO DE OFERTA]]="PRESENCIAL"),TB_Radiologia2[[#This Row],[CH TEÓRICA]]+TB_Radiologia2[[#This Row],[CH PRÁTICA]],AND(TB_Radiologia2[[#This Row],[TIPIFICAÇÃO]]="EXT",OR(TB_Radiologia2[[#This Row],[TIPO DE OFERTA]]="PRESENCIAL",TB_Radiologia2[[#This Row],[TIPO DE OFERTA]]="SEMI-PRESENCIAL")),33,AND(TB_Radiologia2[[#This Row],[TIPIFICAÇÃO]]="TCC",TB_Radiologia2[[#This Row],[TIPO DE OFERTA]]="PRESENCIAL"),SUM(TB_Radiologia2[[#This Row],[CH TEÓRICA]],TB_Radiologia2[[#This Row],[CH PRÁTICA]]))/Cursos!$E$3,0),0)</f>
        <v>2</v>
      </c>
      <c r="W19" s="10">
        <f>IF(TB_Radiologia2[[#This Row],[TIPIFICAÇÃO]]="ON.S",ROUNDUP(TB_Radiologia2[[#This Row],[CH TEÓRICA]]/Cursos!$E$3,0),0)</f>
        <v>0</v>
      </c>
      <c r="X19" s="42" cm="1">
        <f t="array" ref="X19">IFERROR(_xlfn.IFS(TB_Radiologia2[[#This Row],[TIPIFICAÇÃO]]="ON.A",1,TB_Radiologia2[[#This Row],[TIPIFICAÇÃO]]="PR",0,TB_Radiologia2[[#This Row],[TIPIFICAÇÃO]]="HB",0,AND(TB_Radiologia2[[#This Row],[TIPIFICAÇÃO]]="EXT",OR(TB_Radiologia2[[#This Row],[TIPO DE OFERTA]]="SEMI-PRESENCIAL",TB_Radiologia2[[#This Row],[TIPO DE OFERTA]]="EAD 100%")),1),0)</f>
        <v>0</v>
      </c>
      <c r="Y19" s="42" cm="1">
        <f t="array" ref="Y19">ROUNDUP(IFERROR(_xlfn.IFS(TB_Radiologia2[[#This Row],[TIPIFICAÇÃO]]="ON.A",0,TB_Radiologia2[[#This Row],[TIPIFICAÇÃO]]="PR",0,TB_Radiologia2[[#This Row],[TIPIFICAÇÃO]]="HB",TB_Radiologia2[[#This Row],[CH ONLINE]],TB_Radiologia2[[#This Row],[TIPIFICAÇÃO]]="ON.S",0,AND(TB_Radiologia2[[#This Row],[TIPIFICAÇÃO]]="EXT",TB_Radiologia2[[#This Row],[TIPO DE OFERTA]]="PRESENCIAL"),TB_Radiologia2[[#This Row],[CRÉDITOS]]-TB_Radiologia2[[#This Row],[CRÉDITOS PAGO PROFESSOR]])/Cursos!$E$3,0),0)</f>
        <v>0</v>
      </c>
      <c r="Z19" s="13" t="s">
        <v>77</v>
      </c>
      <c r="AA19" s="10"/>
      <c r="AB19" s="10"/>
      <c r="AC19" s="10"/>
      <c r="AD19" s="10"/>
      <c r="AE19" s="10"/>
    </row>
    <row r="20" spans="2:31" s="55" customFormat="1" x14ac:dyDescent="0.25">
      <c r="B20" s="10" t="str">
        <f t="shared" si="0"/>
        <v>RADIOLOGIA</v>
      </c>
      <c r="C20" s="54" t="s">
        <v>97</v>
      </c>
      <c r="D20" s="87">
        <v>4</v>
      </c>
      <c r="E20" s="88" t="s">
        <v>104</v>
      </c>
      <c r="F20" s="56" t="s">
        <v>105</v>
      </c>
      <c r="G20" s="89">
        <f>SUM(TB_Radiologia2[[#This Row],[CH TEÓRICA]:[CH ONLINE]])</f>
        <v>49</v>
      </c>
      <c r="H20" s="90" t="s">
        <v>93</v>
      </c>
      <c r="I20" s="87">
        <v>0</v>
      </c>
      <c r="J20" s="87">
        <v>0</v>
      </c>
      <c r="K20" s="91">
        <v>0</v>
      </c>
      <c r="L20" s="91">
        <v>0</v>
      </c>
      <c r="M20" s="87">
        <v>49</v>
      </c>
      <c r="N20" s="87" t="s">
        <v>4</v>
      </c>
      <c r="O20" s="54">
        <f>ROUNDUP(TB_Radiologia2[[#This Row],[CH TOTAL]]/Cursos!$E$3,0)</f>
        <v>3</v>
      </c>
      <c r="P20" s="92" cm="1">
        <f t="array" ref="P20">IF(AND(TB_Radiologia2[[#This Row],[TIPIFICAÇÃO]]="TCC",TB_Radiologia2[[#This Row],[TIPO DE OFERTA]]="PRESENCIAL"),SUM(TB_Radiologia2[[#This Row],[CH TEÓRICA]:[CH PRÁTICA]]/66),IF(TB_Radiologia2[[#This Row],[TIPIFICAÇÃO]]="EST",1,IF(AND(IF(OR(TB_Radiologia2[[#This Row],[TIPIFICAÇÃO]]="HB",TB_Radiologia2[[#This Row],[TIPIFICAÇÃO]]="PR"),SUM(TB_Radiologia2[[#This Row],[CH TEÓRICA]:[CH PRÁTICA]])/66,IF(TB_Radiologia2[[#This Row],[TIPIFICAÇÃO]]="EXT",0.5,0))&gt;0.6,IF(OR(TB_Radiologia2[[#This Row],[TIPIFICAÇÃO]]="HB",TB_Radiologia2[[#This Row],[TIPIFICAÇÃO]]="PR"),SUM(TB_Radiologia2[[#This Row],[CH TEÓRICA]:[CH PRÁTICA]])/66,IF(TB_Radiologia2[[#This Row],[TIPIFICAÇÃO]]="EXT",0.5,0))&lt;0.8),1,IF(OR(TB_Radiologia2[[#This Row],[TIPIFICAÇÃO]]="HB",TB_Radiologia2[[#This Row],[TIPIFICAÇÃO]]="PR"),SUM(TB_Radiologia2[[#This Row],[CH TEÓRICA]:[CH PRÁTICA]])/66,IF(TB_Radiologia2[[#This Row],[TIPIFICAÇÃO]]="EXT",0.5,0)))))</f>
        <v>0</v>
      </c>
      <c r="Q20" s="53"/>
      <c r="R20" s="12" t="s">
        <v>68</v>
      </c>
      <c r="S20" s="12"/>
      <c r="T20" s="12"/>
      <c r="U20" s="12"/>
      <c r="V20" s="10" cm="1">
        <f t="array" ref="V20">ROUNDUP(IFERROR(_xlfn.IFS(TB_Radiologia2[[#This Row],[TIPIFICAÇÃO]]="ON.A",0,AND(TB_Radiologia2[[#This Row],[TIPIFICAÇÃO]]="EST",TB_Radiologia2[[#This Row],[TIPO DE OFERTA]]="PRESENCIAL"),0,AND(TB_Radiologia2[[#This Row],[TIPIFICAÇÃO]]="PR",OR(TB_Radiologia2[[#This Row],[TIPO DE OFERTA]]="PRESENCIAL",TB_Radiologia2[[#This Row],[TIPO DE OFERTA]]="SEMI-PRESENCIAL")),TB_Radiologia2[[#This Row],[CH TEÓRICA]]+TB_Radiologia2[[#This Row],[CH PRÁTICA]],AND(TB_Radiologia2[[#This Row],[TIPIFICAÇÃO]]="HB",TB_Radiologia2[[#This Row],[TIPO DE OFERTA]]="PRESENCIAL"),TB_Radiologia2[[#This Row],[CH TEÓRICA]]+TB_Radiologia2[[#This Row],[CH PRÁTICA]],AND(TB_Radiologia2[[#This Row],[TIPIFICAÇÃO]]="EXT",OR(TB_Radiologia2[[#This Row],[TIPO DE OFERTA]]="PRESENCIAL",TB_Radiologia2[[#This Row],[TIPO DE OFERTA]]="SEMI-PRESENCIAL")),33,AND(TB_Radiologia2[[#This Row],[TIPIFICAÇÃO]]="TCC",TB_Radiologia2[[#This Row],[TIPO DE OFERTA]]="PRESENCIAL"),SUM(TB_Radiologia2[[#This Row],[CH TEÓRICA]],TB_Radiologia2[[#This Row],[CH PRÁTICA]]))/Cursos!$E$3,0),0)</f>
        <v>0</v>
      </c>
      <c r="W20" s="10">
        <f>IF(TB_Radiologia2[[#This Row],[TIPIFICAÇÃO]]="ON.S",ROUNDUP(TB_Radiologia2[[#This Row],[CH TEÓRICA]]/Cursos!$E$3,0),0)</f>
        <v>0</v>
      </c>
      <c r="X20" s="54" cm="1">
        <f t="array" ref="X20">IFERROR(_xlfn.IFS(TB_Radiologia2[[#This Row],[TIPIFICAÇÃO]]="ON.A",1,TB_Radiologia2[[#This Row],[TIPIFICAÇÃO]]="PR",0,TB_Radiologia2[[#This Row],[TIPIFICAÇÃO]]="HB",0,AND(TB_Radiologia2[[#This Row],[TIPIFICAÇÃO]]="EXT",OR(TB_Radiologia2[[#This Row],[TIPO DE OFERTA]]="SEMI-PRESENCIAL",TB_Radiologia2[[#This Row],[TIPO DE OFERTA]]="EAD 100%")),1),0)</f>
        <v>1</v>
      </c>
      <c r="Y20" s="54" cm="1">
        <f t="array" ref="Y20">ROUNDUP(IFERROR(_xlfn.IFS(TB_Radiologia2[[#This Row],[TIPIFICAÇÃO]]="ON.A",0,TB_Radiologia2[[#This Row],[TIPIFICAÇÃO]]="PR",0,TB_Radiologia2[[#This Row],[TIPIFICAÇÃO]]="HB",TB_Radiologia2[[#This Row],[CH ONLINE]],TB_Radiologia2[[#This Row],[TIPIFICAÇÃO]]="ON.S",0,AND(TB_Radiologia2[[#This Row],[TIPIFICAÇÃO]]="EXT",TB_Radiologia2[[#This Row],[TIPO DE OFERTA]]="PRESENCIAL"),TB_Radiologia2[[#This Row],[CRÉDITOS]]-TB_Radiologia2[[#This Row],[CRÉDITOS PAGO PROFESSOR]])/Cursos!$E$3,0),0)</f>
        <v>0</v>
      </c>
      <c r="Z20" s="93" t="s">
        <v>77</v>
      </c>
      <c r="AA20" s="10"/>
      <c r="AB20" s="10"/>
      <c r="AC20" s="10"/>
      <c r="AD20" s="10"/>
      <c r="AE20" s="10"/>
    </row>
    <row r="21" spans="2:31" s="55" customFormat="1" x14ac:dyDescent="0.25">
      <c r="B21" s="10" t="str">
        <f t="shared" si="0"/>
        <v>RADIOLOGIA</v>
      </c>
      <c r="C21" s="54" t="s">
        <v>97</v>
      </c>
      <c r="D21" s="94">
        <v>5</v>
      </c>
      <c r="E21" s="95" t="s">
        <v>106</v>
      </c>
      <c r="F21" s="56" t="s">
        <v>107</v>
      </c>
      <c r="G21" s="89">
        <f>SUM(TB_Radiologia2[[#This Row],[CH TEÓRICA]:[CH ONLINE]])</f>
        <v>66</v>
      </c>
      <c r="H21" s="90" t="s">
        <v>83</v>
      </c>
      <c r="I21" s="94">
        <v>0</v>
      </c>
      <c r="J21" s="94">
        <v>0</v>
      </c>
      <c r="K21" s="94">
        <v>0</v>
      </c>
      <c r="L21" s="94">
        <v>0</v>
      </c>
      <c r="M21" s="94">
        <v>66</v>
      </c>
      <c r="N21" s="94" t="s">
        <v>4</v>
      </c>
      <c r="O21" s="54">
        <f>ROUNDUP(TB_Radiologia2[[#This Row],[CH TOTAL]]/Cursos!$E$3,0)</f>
        <v>4</v>
      </c>
      <c r="P21" s="92" cm="1">
        <f t="array" ref="P21">IF(AND(TB_Radiologia2[[#This Row],[TIPIFICAÇÃO]]="TCC",TB_Radiologia2[[#This Row],[TIPO DE OFERTA]]="PRESENCIAL"),SUM(TB_Radiologia2[[#This Row],[CH TEÓRICA]:[CH PRÁTICA]]/66),IF(TB_Radiologia2[[#This Row],[TIPIFICAÇÃO]]="EST",1,IF(AND(IF(OR(TB_Radiologia2[[#This Row],[TIPIFICAÇÃO]]="HB",TB_Radiologia2[[#This Row],[TIPIFICAÇÃO]]="PR"),SUM(TB_Radiologia2[[#This Row],[CH TEÓRICA]:[CH PRÁTICA]])/66,IF(TB_Radiologia2[[#This Row],[TIPIFICAÇÃO]]="EXT",0.5,0))&gt;0.6,IF(OR(TB_Radiologia2[[#This Row],[TIPIFICAÇÃO]]="HB",TB_Radiologia2[[#This Row],[TIPIFICAÇÃO]]="PR"),SUM(TB_Radiologia2[[#This Row],[CH TEÓRICA]:[CH PRÁTICA]])/66,IF(TB_Radiologia2[[#This Row],[TIPIFICAÇÃO]]="EXT",0.5,0))&lt;0.8),1,IF(OR(TB_Radiologia2[[#This Row],[TIPIFICAÇÃO]]="HB",TB_Radiologia2[[#This Row],[TIPIFICAÇÃO]]="PR"),SUM(TB_Radiologia2[[#This Row],[CH TEÓRICA]:[CH PRÁTICA]])/66,IF(TB_Radiologia2[[#This Row],[TIPIFICAÇÃO]]="EXT",0.5,0)))))</f>
        <v>0</v>
      </c>
      <c r="Q21" s="53"/>
      <c r="R21" s="12" t="s">
        <v>68</v>
      </c>
      <c r="S21" s="12"/>
      <c r="T21" s="12"/>
      <c r="U21" s="12"/>
      <c r="V21" s="10" cm="1">
        <f t="array" ref="V21">ROUNDUP(IFERROR(_xlfn.IFS(TB_Radiologia2[[#This Row],[TIPIFICAÇÃO]]="ON.A",0,AND(TB_Radiologia2[[#This Row],[TIPIFICAÇÃO]]="EST",TB_Radiologia2[[#This Row],[TIPO DE OFERTA]]="PRESENCIAL"),0,AND(TB_Radiologia2[[#This Row],[TIPIFICAÇÃO]]="PR",OR(TB_Radiologia2[[#This Row],[TIPO DE OFERTA]]="PRESENCIAL",TB_Radiologia2[[#This Row],[TIPO DE OFERTA]]="SEMI-PRESENCIAL")),TB_Radiologia2[[#This Row],[CH TEÓRICA]]+TB_Radiologia2[[#This Row],[CH PRÁTICA]],AND(TB_Radiologia2[[#This Row],[TIPIFICAÇÃO]]="HB",TB_Radiologia2[[#This Row],[TIPO DE OFERTA]]="PRESENCIAL"),TB_Radiologia2[[#This Row],[CH TEÓRICA]]+TB_Radiologia2[[#This Row],[CH PRÁTICA]],AND(TB_Radiologia2[[#This Row],[TIPIFICAÇÃO]]="EXT",OR(TB_Radiologia2[[#This Row],[TIPO DE OFERTA]]="PRESENCIAL",TB_Radiologia2[[#This Row],[TIPO DE OFERTA]]="SEMI-PRESENCIAL")),33,AND(TB_Radiologia2[[#This Row],[TIPIFICAÇÃO]]="TCC",TB_Radiologia2[[#This Row],[TIPO DE OFERTA]]="PRESENCIAL"),SUM(TB_Radiologia2[[#This Row],[CH TEÓRICA]],TB_Radiologia2[[#This Row],[CH PRÁTICA]]))/Cursos!$E$3,0),0)</f>
        <v>0</v>
      </c>
      <c r="W21" s="10">
        <f>IF(TB_Radiologia2[[#This Row],[TIPIFICAÇÃO]]="ON.S",ROUNDUP(TB_Radiologia2[[#This Row],[CH TEÓRICA]]/Cursos!$E$3,0),0)</f>
        <v>0</v>
      </c>
      <c r="X21" s="54" cm="1">
        <f t="array" ref="X21">IFERROR(_xlfn.IFS(TB_Radiologia2[[#This Row],[TIPIFICAÇÃO]]="ON.A",1,TB_Radiologia2[[#This Row],[TIPIFICAÇÃO]]="PR",0,TB_Radiologia2[[#This Row],[TIPIFICAÇÃO]]="HB",0,AND(TB_Radiologia2[[#This Row],[TIPIFICAÇÃO]]="EXT",OR(TB_Radiologia2[[#This Row],[TIPO DE OFERTA]]="SEMI-PRESENCIAL",TB_Radiologia2[[#This Row],[TIPO DE OFERTA]]="EAD 100%")),1),0)</f>
        <v>1</v>
      </c>
      <c r="Y21" s="54" cm="1">
        <f t="array" ref="Y21">ROUNDUP(IFERROR(_xlfn.IFS(TB_Radiologia2[[#This Row],[TIPIFICAÇÃO]]="ON.A",0,TB_Radiologia2[[#This Row],[TIPIFICAÇÃO]]="PR",0,TB_Radiologia2[[#This Row],[TIPIFICAÇÃO]]="HB",TB_Radiologia2[[#This Row],[CH ONLINE]],TB_Radiologia2[[#This Row],[TIPIFICAÇÃO]]="ON.S",0,AND(TB_Radiologia2[[#This Row],[TIPIFICAÇÃO]]="EXT",TB_Radiologia2[[#This Row],[TIPO DE OFERTA]]="PRESENCIAL"),TB_Radiologia2[[#This Row],[CRÉDITOS]]-TB_Radiologia2[[#This Row],[CRÉDITOS PAGO PROFESSOR]])/Cursos!$E$3,0),0)</f>
        <v>0</v>
      </c>
      <c r="Z21" s="93" t="s">
        <v>77</v>
      </c>
      <c r="AA21" s="10"/>
      <c r="AB21" s="10"/>
      <c r="AC21" s="10"/>
      <c r="AD21" s="10"/>
      <c r="AE21" s="10"/>
    </row>
    <row r="22" spans="2:31" s="55" customFormat="1" x14ac:dyDescent="0.25">
      <c r="B22" s="10" t="str">
        <f t="shared" si="0"/>
        <v>RADIOLOGIA</v>
      </c>
      <c r="C22" s="54" t="s">
        <v>97</v>
      </c>
      <c r="D22" s="87">
        <v>6</v>
      </c>
      <c r="E22" s="95" t="s">
        <v>108</v>
      </c>
      <c r="F22" s="56" t="s">
        <v>109</v>
      </c>
      <c r="G22" s="89">
        <f>SUM(TB_Radiologia2[[#This Row],[CH TEÓRICA]:[CH ONLINE]])</f>
        <v>66</v>
      </c>
      <c r="H22" s="96" t="s">
        <v>80</v>
      </c>
      <c r="I22" s="87">
        <v>33</v>
      </c>
      <c r="J22" s="87">
        <v>33</v>
      </c>
      <c r="K22" s="91">
        <v>0</v>
      </c>
      <c r="L22" s="91">
        <v>0</v>
      </c>
      <c r="M22" s="87">
        <v>0</v>
      </c>
      <c r="N22" s="87" t="s">
        <v>8</v>
      </c>
      <c r="O22" s="54">
        <f>ROUNDUP(TB_Radiologia2[[#This Row],[CH TOTAL]]/Cursos!$E$3,0)</f>
        <v>4</v>
      </c>
      <c r="P22" s="92" cm="1">
        <f t="array" ref="P22">IF(AND(TB_Radiologia2[[#This Row],[TIPIFICAÇÃO]]="TCC",TB_Radiologia2[[#This Row],[TIPO DE OFERTA]]="PRESENCIAL"),SUM(TB_Radiologia2[[#This Row],[CH TEÓRICA]:[CH PRÁTICA]]/66),IF(TB_Radiologia2[[#This Row],[TIPIFICAÇÃO]]="EST",1,IF(AND(IF(OR(TB_Radiologia2[[#This Row],[TIPIFICAÇÃO]]="HB",TB_Radiologia2[[#This Row],[TIPIFICAÇÃO]]="PR"),SUM(TB_Radiologia2[[#This Row],[CH TEÓRICA]:[CH PRÁTICA]])/66,IF(TB_Radiologia2[[#This Row],[TIPIFICAÇÃO]]="EXT",0.5,0))&gt;0.6,IF(OR(TB_Radiologia2[[#This Row],[TIPIFICAÇÃO]]="HB",TB_Radiologia2[[#This Row],[TIPIFICAÇÃO]]="PR"),SUM(TB_Radiologia2[[#This Row],[CH TEÓRICA]:[CH PRÁTICA]])/66,IF(TB_Radiologia2[[#This Row],[TIPIFICAÇÃO]]="EXT",0.5,0))&lt;0.8),1,IF(OR(TB_Radiologia2[[#This Row],[TIPIFICAÇÃO]]="HB",TB_Radiologia2[[#This Row],[TIPIFICAÇÃO]]="PR"),SUM(TB_Radiologia2[[#This Row],[CH TEÓRICA]:[CH PRÁTICA]])/66,IF(TB_Radiologia2[[#This Row],[TIPIFICAÇÃO]]="EXT",0.5,0)))))</f>
        <v>1</v>
      </c>
      <c r="Q22" s="53"/>
      <c r="R22" s="12" t="s">
        <v>68</v>
      </c>
      <c r="S22" s="12"/>
      <c r="T22" s="12"/>
      <c r="U22" s="12"/>
      <c r="V22" s="10" cm="1">
        <f t="array" ref="V22">ROUNDUP(IFERROR(_xlfn.IFS(TB_Radiologia2[[#This Row],[TIPIFICAÇÃO]]="ON.A",0,AND(TB_Radiologia2[[#This Row],[TIPIFICAÇÃO]]="EST",TB_Radiologia2[[#This Row],[TIPO DE OFERTA]]="PRESENCIAL"),0,AND(TB_Radiologia2[[#This Row],[TIPIFICAÇÃO]]="PR",OR(TB_Radiologia2[[#This Row],[TIPO DE OFERTA]]="PRESENCIAL",TB_Radiologia2[[#This Row],[TIPO DE OFERTA]]="SEMI-PRESENCIAL")),TB_Radiologia2[[#This Row],[CH TEÓRICA]]+TB_Radiologia2[[#This Row],[CH PRÁTICA]],AND(TB_Radiologia2[[#This Row],[TIPIFICAÇÃO]]="HB",TB_Radiologia2[[#This Row],[TIPO DE OFERTA]]="PRESENCIAL"),TB_Radiologia2[[#This Row],[CH TEÓRICA]]+TB_Radiologia2[[#This Row],[CH PRÁTICA]],AND(TB_Radiologia2[[#This Row],[TIPIFICAÇÃO]]="EXT",OR(TB_Radiologia2[[#This Row],[TIPO DE OFERTA]]="PRESENCIAL",TB_Radiologia2[[#This Row],[TIPO DE OFERTA]]="SEMI-PRESENCIAL")),33,AND(TB_Radiologia2[[#This Row],[TIPIFICAÇÃO]]="TCC",TB_Radiologia2[[#This Row],[TIPO DE OFERTA]]="PRESENCIAL"),SUM(TB_Radiologia2[[#This Row],[CH TEÓRICA]],TB_Radiologia2[[#This Row],[CH PRÁTICA]]))/Cursos!$E$3,0),0)</f>
        <v>4</v>
      </c>
      <c r="W22" s="10">
        <f>IF(TB_Radiologia2[[#This Row],[TIPIFICAÇÃO]]="ON.S",ROUNDUP(TB_Radiologia2[[#This Row],[CH TEÓRICA]]/Cursos!$E$3,0),0)</f>
        <v>0</v>
      </c>
      <c r="X22" s="54" cm="1">
        <f t="array" ref="X22">IFERROR(_xlfn.IFS(TB_Radiologia2[[#This Row],[TIPIFICAÇÃO]]="ON.A",1,TB_Radiologia2[[#This Row],[TIPIFICAÇÃO]]="PR",0,TB_Radiologia2[[#This Row],[TIPIFICAÇÃO]]="HB",0,AND(TB_Radiologia2[[#This Row],[TIPIFICAÇÃO]]="EXT",OR(TB_Radiologia2[[#This Row],[TIPO DE OFERTA]]="SEMI-PRESENCIAL",TB_Radiologia2[[#This Row],[TIPO DE OFERTA]]="EAD 100%")),1),0)</f>
        <v>0</v>
      </c>
      <c r="Y22" s="54" cm="1">
        <f t="array" ref="Y22">ROUNDUP(IFERROR(_xlfn.IFS(TB_Radiologia2[[#This Row],[TIPIFICAÇÃO]]="ON.A",0,TB_Radiologia2[[#This Row],[TIPIFICAÇÃO]]="PR",0,TB_Radiologia2[[#This Row],[TIPIFICAÇÃO]]="HB",TB_Radiologia2[[#This Row],[CH ONLINE]],TB_Radiologia2[[#This Row],[TIPIFICAÇÃO]]="ON.S",0,AND(TB_Radiologia2[[#This Row],[TIPIFICAÇÃO]]="EXT",TB_Radiologia2[[#This Row],[TIPO DE OFERTA]]="PRESENCIAL"),TB_Radiologia2[[#This Row],[CRÉDITOS]]-TB_Radiologia2[[#This Row],[CRÉDITOS PAGO PROFESSOR]])/Cursos!$E$3,0),0)</f>
        <v>0</v>
      </c>
      <c r="Z22" s="93" t="s">
        <v>77</v>
      </c>
      <c r="AA22" s="10"/>
      <c r="AB22" s="10"/>
      <c r="AC22" s="10"/>
      <c r="AD22" s="10"/>
      <c r="AE22" s="10"/>
    </row>
    <row r="23" spans="2:31" s="55" customFormat="1" x14ac:dyDescent="0.25">
      <c r="B23" s="10" t="str">
        <f t="shared" si="0"/>
        <v>RADIOLOGIA</v>
      </c>
      <c r="C23" s="54" t="s">
        <v>97</v>
      </c>
      <c r="D23" s="94">
        <v>7</v>
      </c>
      <c r="E23" s="95" t="s">
        <v>110</v>
      </c>
      <c r="F23" s="56" t="s">
        <v>111</v>
      </c>
      <c r="G23" s="89">
        <f>SUM(TB_Radiologia2[[#This Row],[CH TEÓRICA]:[CH ONLINE]])</f>
        <v>33</v>
      </c>
      <c r="H23" s="90" t="s">
        <v>80</v>
      </c>
      <c r="I23" s="94">
        <v>33</v>
      </c>
      <c r="J23" s="94">
        <v>0</v>
      </c>
      <c r="K23" s="94">
        <v>0</v>
      </c>
      <c r="L23" s="94">
        <v>0</v>
      </c>
      <c r="M23" s="94">
        <v>0</v>
      </c>
      <c r="N23" s="94" t="s">
        <v>8</v>
      </c>
      <c r="O23" s="54">
        <f>ROUNDUP(TB_Radiologia2[[#This Row],[CH TOTAL]]/Cursos!$E$3,0)</f>
        <v>2</v>
      </c>
      <c r="P23" s="92" cm="1">
        <f t="array" ref="P23">IF(AND(TB_Radiologia2[[#This Row],[TIPIFICAÇÃO]]="TCC",TB_Radiologia2[[#This Row],[TIPO DE OFERTA]]="PRESENCIAL"),SUM(TB_Radiologia2[[#This Row],[CH TEÓRICA]:[CH PRÁTICA]]/66),IF(TB_Radiologia2[[#This Row],[TIPIFICAÇÃO]]="EST",1,IF(AND(IF(OR(TB_Radiologia2[[#This Row],[TIPIFICAÇÃO]]="HB",TB_Radiologia2[[#This Row],[TIPIFICAÇÃO]]="PR"),SUM(TB_Radiologia2[[#This Row],[CH TEÓRICA]:[CH PRÁTICA]])/66,IF(TB_Radiologia2[[#This Row],[TIPIFICAÇÃO]]="EXT",0.5,0))&gt;0.6,IF(OR(TB_Radiologia2[[#This Row],[TIPIFICAÇÃO]]="HB",TB_Radiologia2[[#This Row],[TIPIFICAÇÃO]]="PR"),SUM(TB_Radiologia2[[#This Row],[CH TEÓRICA]:[CH PRÁTICA]])/66,IF(TB_Radiologia2[[#This Row],[TIPIFICAÇÃO]]="EXT",0.5,0))&lt;0.8),1,IF(OR(TB_Radiologia2[[#This Row],[TIPIFICAÇÃO]]="HB",TB_Radiologia2[[#This Row],[TIPIFICAÇÃO]]="PR"),SUM(TB_Radiologia2[[#This Row],[CH TEÓRICA]:[CH PRÁTICA]])/66,IF(TB_Radiologia2[[#This Row],[TIPIFICAÇÃO]]="EXT",0.5,0)))))</f>
        <v>0.5</v>
      </c>
      <c r="Q23" s="53"/>
      <c r="R23" s="12" t="s">
        <v>68</v>
      </c>
      <c r="S23" s="12"/>
      <c r="T23" s="12"/>
      <c r="U23" s="12"/>
      <c r="V23" s="10" cm="1">
        <f t="array" ref="V23">ROUNDUP(IFERROR(_xlfn.IFS(TB_Radiologia2[[#This Row],[TIPIFICAÇÃO]]="ON.A",0,AND(TB_Radiologia2[[#This Row],[TIPIFICAÇÃO]]="EST",TB_Radiologia2[[#This Row],[TIPO DE OFERTA]]="PRESENCIAL"),0,AND(TB_Radiologia2[[#This Row],[TIPIFICAÇÃO]]="PR",OR(TB_Radiologia2[[#This Row],[TIPO DE OFERTA]]="PRESENCIAL",TB_Radiologia2[[#This Row],[TIPO DE OFERTA]]="SEMI-PRESENCIAL")),TB_Radiologia2[[#This Row],[CH TEÓRICA]]+TB_Radiologia2[[#This Row],[CH PRÁTICA]],AND(TB_Radiologia2[[#This Row],[TIPIFICAÇÃO]]="HB",TB_Radiologia2[[#This Row],[TIPO DE OFERTA]]="PRESENCIAL"),TB_Radiologia2[[#This Row],[CH TEÓRICA]]+TB_Radiologia2[[#This Row],[CH PRÁTICA]],AND(TB_Radiologia2[[#This Row],[TIPIFICAÇÃO]]="EXT",OR(TB_Radiologia2[[#This Row],[TIPO DE OFERTA]]="PRESENCIAL",TB_Radiologia2[[#This Row],[TIPO DE OFERTA]]="SEMI-PRESENCIAL")),33,AND(TB_Radiologia2[[#This Row],[TIPIFICAÇÃO]]="TCC",TB_Radiologia2[[#This Row],[TIPO DE OFERTA]]="PRESENCIAL"),SUM(TB_Radiologia2[[#This Row],[CH TEÓRICA]],TB_Radiologia2[[#This Row],[CH PRÁTICA]]))/Cursos!$E$3,0),0)</f>
        <v>2</v>
      </c>
      <c r="W23" s="10">
        <f>IF(TB_Radiologia2[[#This Row],[TIPIFICAÇÃO]]="ON.S",ROUNDUP(TB_Radiologia2[[#This Row],[CH TEÓRICA]]/Cursos!$E$3,0),0)</f>
        <v>0</v>
      </c>
      <c r="X23" s="54" cm="1">
        <f t="array" ref="X23">IFERROR(_xlfn.IFS(TB_Radiologia2[[#This Row],[TIPIFICAÇÃO]]="ON.A",1,TB_Radiologia2[[#This Row],[TIPIFICAÇÃO]]="PR",0,TB_Radiologia2[[#This Row],[TIPIFICAÇÃO]]="HB",0,AND(TB_Radiologia2[[#This Row],[TIPIFICAÇÃO]]="EXT",OR(TB_Radiologia2[[#This Row],[TIPO DE OFERTA]]="SEMI-PRESENCIAL",TB_Radiologia2[[#This Row],[TIPO DE OFERTA]]="EAD 100%")),1),0)</f>
        <v>0</v>
      </c>
      <c r="Y23" s="54" cm="1">
        <f t="array" ref="Y23">ROUNDUP(IFERROR(_xlfn.IFS(TB_Radiologia2[[#This Row],[TIPIFICAÇÃO]]="ON.A",0,TB_Radiologia2[[#This Row],[TIPIFICAÇÃO]]="PR",0,TB_Radiologia2[[#This Row],[TIPIFICAÇÃO]]="HB",TB_Radiologia2[[#This Row],[CH ONLINE]],TB_Radiologia2[[#This Row],[TIPIFICAÇÃO]]="ON.S",0,AND(TB_Radiologia2[[#This Row],[TIPIFICAÇÃO]]="EXT",TB_Radiologia2[[#This Row],[TIPO DE OFERTA]]="PRESENCIAL"),TB_Radiologia2[[#This Row],[CRÉDITOS]]-TB_Radiologia2[[#This Row],[CRÉDITOS PAGO PROFESSOR]])/Cursos!$E$3,0),0)</f>
        <v>0</v>
      </c>
      <c r="Z23" s="93" t="s">
        <v>77</v>
      </c>
      <c r="AA23" s="10"/>
      <c r="AB23" s="10"/>
      <c r="AC23" s="10"/>
      <c r="AD23" s="10"/>
      <c r="AE23" s="10"/>
    </row>
    <row r="24" spans="2:31" s="55" customFormat="1" ht="17.25" customHeight="1" x14ac:dyDescent="0.25">
      <c r="B24" s="10" t="str">
        <f t="shared" si="0"/>
        <v>RADIOLOGIA</v>
      </c>
      <c r="C24" s="54" t="s">
        <v>112</v>
      </c>
      <c r="D24" s="94">
        <v>1</v>
      </c>
      <c r="E24" s="88" t="s">
        <v>113</v>
      </c>
      <c r="F24" s="56" t="s">
        <v>114</v>
      </c>
      <c r="G24" s="89">
        <f>SUM(TB_Radiologia2[[#This Row],[CH TEÓRICA]:[CH ONLINE]])</f>
        <v>66</v>
      </c>
      <c r="H24" s="90" t="s">
        <v>93</v>
      </c>
      <c r="I24" s="94">
        <v>0</v>
      </c>
      <c r="J24" s="94">
        <v>0</v>
      </c>
      <c r="K24" s="94">
        <v>0</v>
      </c>
      <c r="L24" s="94">
        <v>0</v>
      </c>
      <c r="M24" s="94">
        <v>66</v>
      </c>
      <c r="N24" s="94" t="s">
        <v>4</v>
      </c>
      <c r="O24" s="54">
        <f>ROUNDUP(TB_Radiologia2[[#This Row],[CH TOTAL]]/Cursos!$E$3,0)</f>
        <v>4</v>
      </c>
      <c r="P24" s="92" cm="1">
        <f t="array" ref="P24">IF(AND(TB_Radiologia2[[#This Row],[TIPIFICAÇÃO]]="TCC",TB_Radiologia2[[#This Row],[TIPO DE OFERTA]]="PRESENCIAL"),SUM(TB_Radiologia2[[#This Row],[CH TEÓRICA]:[CH PRÁTICA]]/66),IF(TB_Radiologia2[[#This Row],[TIPIFICAÇÃO]]="EST",1,IF(AND(IF(OR(TB_Radiologia2[[#This Row],[TIPIFICAÇÃO]]="HB",TB_Radiologia2[[#This Row],[TIPIFICAÇÃO]]="PR"),SUM(TB_Radiologia2[[#This Row],[CH TEÓRICA]:[CH PRÁTICA]])/66,IF(TB_Radiologia2[[#This Row],[TIPIFICAÇÃO]]="EXT",0.5,0))&gt;0.6,IF(OR(TB_Radiologia2[[#This Row],[TIPIFICAÇÃO]]="HB",TB_Radiologia2[[#This Row],[TIPIFICAÇÃO]]="PR"),SUM(TB_Radiologia2[[#This Row],[CH TEÓRICA]:[CH PRÁTICA]])/66,IF(TB_Radiologia2[[#This Row],[TIPIFICAÇÃO]]="EXT",0.5,0))&lt;0.8),1,IF(OR(TB_Radiologia2[[#This Row],[TIPIFICAÇÃO]]="HB",TB_Radiologia2[[#This Row],[TIPIFICAÇÃO]]="PR"),SUM(TB_Radiologia2[[#This Row],[CH TEÓRICA]:[CH PRÁTICA]])/66,IF(TB_Radiologia2[[#This Row],[TIPIFICAÇÃO]]="EXT",0.5,0)))))</f>
        <v>0</v>
      </c>
      <c r="Q24" s="53"/>
      <c r="R24" s="12" t="s">
        <v>68</v>
      </c>
      <c r="S24" s="12"/>
      <c r="T24" s="12"/>
      <c r="U24" s="12"/>
      <c r="V24" s="10" cm="1">
        <f t="array" ref="V24">ROUNDUP(IFERROR(_xlfn.IFS(TB_Radiologia2[[#This Row],[TIPIFICAÇÃO]]="ON.A",0,AND(TB_Radiologia2[[#This Row],[TIPIFICAÇÃO]]="EST",TB_Radiologia2[[#This Row],[TIPO DE OFERTA]]="PRESENCIAL"),0,AND(TB_Radiologia2[[#This Row],[TIPIFICAÇÃO]]="PR",OR(TB_Radiologia2[[#This Row],[TIPO DE OFERTA]]="PRESENCIAL",TB_Radiologia2[[#This Row],[TIPO DE OFERTA]]="SEMI-PRESENCIAL")),TB_Radiologia2[[#This Row],[CH TEÓRICA]]+TB_Radiologia2[[#This Row],[CH PRÁTICA]],AND(TB_Radiologia2[[#This Row],[TIPIFICAÇÃO]]="HB",TB_Radiologia2[[#This Row],[TIPO DE OFERTA]]="PRESENCIAL"),TB_Radiologia2[[#This Row],[CH TEÓRICA]]+TB_Radiologia2[[#This Row],[CH PRÁTICA]],AND(TB_Radiologia2[[#This Row],[TIPIFICAÇÃO]]="EXT",OR(TB_Radiologia2[[#This Row],[TIPO DE OFERTA]]="PRESENCIAL",TB_Radiologia2[[#This Row],[TIPO DE OFERTA]]="SEMI-PRESENCIAL")),33,AND(TB_Radiologia2[[#This Row],[TIPIFICAÇÃO]]="TCC",TB_Radiologia2[[#This Row],[TIPO DE OFERTA]]="PRESENCIAL"),SUM(TB_Radiologia2[[#This Row],[CH TEÓRICA]],TB_Radiologia2[[#This Row],[CH PRÁTICA]]))/Cursos!$E$3,0),0)</f>
        <v>0</v>
      </c>
      <c r="W24" s="10">
        <f>IF(TB_Radiologia2[[#This Row],[TIPIFICAÇÃO]]="ON.S",ROUNDUP(TB_Radiologia2[[#This Row],[CH TEÓRICA]]/Cursos!$E$3,0),0)</f>
        <v>0</v>
      </c>
      <c r="X24" s="54" cm="1">
        <f t="array" ref="X24">IFERROR(_xlfn.IFS(TB_Radiologia2[[#This Row],[TIPIFICAÇÃO]]="ON.A",1,TB_Radiologia2[[#This Row],[TIPIFICAÇÃO]]="PR",0,TB_Radiologia2[[#This Row],[TIPIFICAÇÃO]]="HB",0,AND(TB_Radiologia2[[#This Row],[TIPIFICAÇÃO]]="EXT",OR(TB_Radiologia2[[#This Row],[TIPO DE OFERTA]]="SEMI-PRESENCIAL",TB_Radiologia2[[#This Row],[TIPO DE OFERTA]]="EAD 100%")),1),0)</f>
        <v>1</v>
      </c>
      <c r="Y24" s="54" cm="1">
        <f t="array" ref="Y24">ROUNDUP(IFERROR(_xlfn.IFS(TB_Radiologia2[[#This Row],[TIPIFICAÇÃO]]="ON.A",0,TB_Radiologia2[[#This Row],[TIPIFICAÇÃO]]="PR",0,TB_Radiologia2[[#This Row],[TIPIFICAÇÃO]]="HB",TB_Radiologia2[[#This Row],[CH ONLINE]],TB_Radiologia2[[#This Row],[TIPIFICAÇÃO]]="ON.S",0,AND(TB_Radiologia2[[#This Row],[TIPIFICAÇÃO]]="EXT",TB_Radiologia2[[#This Row],[TIPO DE OFERTA]]="PRESENCIAL"),TB_Radiologia2[[#This Row],[CRÉDITOS]]-TB_Radiologia2[[#This Row],[CRÉDITOS PAGO PROFESSOR]])/Cursos!$E$3,0),0)</f>
        <v>0</v>
      </c>
      <c r="Z24" s="93" t="s">
        <v>77</v>
      </c>
      <c r="AA24" s="10"/>
      <c r="AB24" s="10"/>
      <c r="AC24" s="10"/>
      <c r="AD24" s="10"/>
      <c r="AE24" s="10"/>
    </row>
    <row r="25" spans="2:31" s="55" customFormat="1" x14ac:dyDescent="0.25">
      <c r="B25" s="10" t="str">
        <f t="shared" si="0"/>
        <v>RADIOLOGIA</v>
      </c>
      <c r="C25" s="54" t="s">
        <v>112</v>
      </c>
      <c r="D25" s="94">
        <v>2</v>
      </c>
      <c r="E25" s="95" t="s">
        <v>115</v>
      </c>
      <c r="F25" s="56" t="s">
        <v>116</v>
      </c>
      <c r="G25" s="89">
        <f>SUM(TB_Radiologia2[[#This Row],[CH TEÓRICA]:[CH ONLINE]])</f>
        <v>66</v>
      </c>
      <c r="H25" s="90" t="s">
        <v>80</v>
      </c>
      <c r="I25" s="94">
        <v>33</v>
      </c>
      <c r="J25" s="94">
        <v>0</v>
      </c>
      <c r="K25" s="94">
        <v>0</v>
      </c>
      <c r="L25" s="94">
        <v>0</v>
      </c>
      <c r="M25" s="94">
        <v>33</v>
      </c>
      <c r="N25" s="94" t="s">
        <v>10</v>
      </c>
      <c r="O25" s="54">
        <f>ROUNDUP(TB_Radiologia2[[#This Row],[CH TOTAL]]/Cursos!$E$3,0)</f>
        <v>4</v>
      </c>
      <c r="P25" s="92" cm="1">
        <f t="array" ref="P25">IF(AND(TB_Radiologia2[[#This Row],[TIPIFICAÇÃO]]="TCC",TB_Radiologia2[[#This Row],[TIPO DE OFERTA]]="PRESENCIAL"),SUM(TB_Radiologia2[[#This Row],[CH TEÓRICA]:[CH PRÁTICA]]/66),IF(TB_Radiologia2[[#This Row],[TIPIFICAÇÃO]]="EST",1,IF(AND(IF(OR(TB_Radiologia2[[#This Row],[TIPIFICAÇÃO]]="HB",TB_Radiologia2[[#This Row],[TIPIFICAÇÃO]]="PR"),SUM(TB_Radiologia2[[#This Row],[CH TEÓRICA]:[CH PRÁTICA]])/66,IF(TB_Radiologia2[[#This Row],[TIPIFICAÇÃO]]="EXT",0.5,0))&gt;0.6,IF(OR(TB_Radiologia2[[#This Row],[TIPIFICAÇÃO]]="HB",TB_Radiologia2[[#This Row],[TIPIFICAÇÃO]]="PR"),SUM(TB_Radiologia2[[#This Row],[CH TEÓRICA]:[CH PRÁTICA]])/66,IF(TB_Radiologia2[[#This Row],[TIPIFICAÇÃO]]="EXT",0.5,0))&lt;0.8),1,IF(OR(TB_Radiologia2[[#This Row],[TIPIFICAÇÃO]]="HB",TB_Radiologia2[[#This Row],[TIPIFICAÇÃO]]="PR"),SUM(TB_Radiologia2[[#This Row],[CH TEÓRICA]:[CH PRÁTICA]])/66,IF(TB_Radiologia2[[#This Row],[TIPIFICAÇÃO]]="EXT",0.5,0)))))</f>
        <v>0.5</v>
      </c>
      <c r="Q25" s="53"/>
      <c r="R25" s="12" t="s">
        <v>68</v>
      </c>
      <c r="S25" s="12"/>
      <c r="T25" s="12"/>
      <c r="U25" s="12"/>
      <c r="V25" s="10" cm="1">
        <f t="array" ref="V25">ROUNDUP(IFERROR(_xlfn.IFS(TB_Radiologia2[[#This Row],[TIPIFICAÇÃO]]="ON.A",0,AND(TB_Radiologia2[[#This Row],[TIPIFICAÇÃO]]="EST",TB_Radiologia2[[#This Row],[TIPO DE OFERTA]]="PRESENCIAL"),0,AND(TB_Radiologia2[[#This Row],[TIPIFICAÇÃO]]="PR",OR(TB_Radiologia2[[#This Row],[TIPO DE OFERTA]]="PRESENCIAL",TB_Radiologia2[[#This Row],[TIPO DE OFERTA]]="SEMI-PRESENCIAL")),TB_Radiologia2[[#This Row],[CH TEÓRICA]]+TB_Radiologia2[[#This Row],[CH PRÁTICA]],AND(TB_Radiologia2[[#This Row],[TIPIFICAÇÃO]]="HB",TB_Radiologia2[[#This Row],[TIPO DE OFERTA]]="PRESENCIAL"),TB_Radiologia2[[#This Row],[CH TEÓRICA]]+TB_Radiologia2[[#This Row],[CH PRÁTICA]],AND(TB_Radiologia2[[#This Row],[TIPIFICAÇÃO]]="EXT",OR(TB_Radiologia2[[#This Row],[TIPO DE OFERTA]]="PRESENCIAL",TB_Radiologia2[[#This Row],[TIPO DE OFERTA]]="SEMI-PRESENCIAL")),33,AND(TB_Radiologia2[[#This Row],[TIPIFICAÇÃO]]="TCC",TB_Radiologia2[[#This Row],[TIPO DE OFERTA]]="PRESENCIAL"),SUM(TB_Radiologia2[[#This Row],[CH TEÓRICA]],TB_Radiologia2[[#This Row],[CH PRÁTICA]]))/Cursos!$E$3,0),0)</f>
        <v>2</v>
      </c>
      <c r="W25" s="10">
        <f>IF(TB_Radiologia2[[#This Row],[TIPIFICAÇÃO]]="ON.S",ROUNDUP(TB_Radiologia2[[#This Row],[CH TEÓRICA]]/Cursos!$E$3,0),0)</f>
        <v>0</v>
      </c>
      <c r="X25" s="54" cm="1">
        <f t="array" ref="X25">IFERROR(_xlfn.IFS(TB_Radiologia2[[#This Row],[TIPIFICAÇÃO]]="ON.A",1,TB_Radiologia2[[#This Row],[TIPIFICAÇÃO]]="PR",0,TB_Radiologia2[[#This Row],[TIPIFICAÇÃO]]="HB",0,AND(TB_Radiologia2[[#This Row],[TIPIFICAÇÃO]]="EXT",OR(TB_Radiologia2[[#This Row],[TIPO DE OFERTA]]="SEMI-PRESENCIAL",TB_Radiologia2[[#This Row],[TIPO DE OFERTA]]="EAD 100%")),1),0)</f>
        <v>0</v>
      </c>
      <c r="Y25" s="54" cm="1">
        <f t="array" ref="Y25">ROUNDUP(IFERROR(_xlfn.IFS(TB_Radiologia2[[#This Row],[TIPIFICAÇÃO]]="ON.A",0,TB_Radiologia2[[#This Row],[TIPIFICAÇÃO]]="PR",0,TB_Radiologia2[[#This Row],[TIPIFICAÇÃO]]="HB",TB_Radiologia2[[#This Row],[CH ONLINE]],TB_Radiologia2[[#This Row],[TIPIFICAÇÃO]]="ON.S",0,AND(TB_Radiologia2[[#This Row],[TIPIFICAÇÃO]]="EXT",TB_Radiologia2[[#This Row],[TIPO DE OFERTA]]="PRESENCIAL"),TB_Radiologia2[[#This Row],[CRÉDITOS]]-TB_Radiologia2[[#This Row],[CRÉDITOS PAGO PROFESSOR]])/Cursos!$E$3,0),0)</f>
        <v>2</v>
      </c>
      <c r="Z25" s="93" t="s">
        <v>77</v>
      </c>
      <c r="AA25" s="10"/>
      <c r="AB25" s="10"/>
      <c r="AC25" s="10"/>
      <c r="AD25" s="10"/>
      <c r="AE25" s="10"/>
    </row>
    <row r="26" spans="2:31" s="55" customFormat="1" x14ac:dyDescent="0.25">
      <c r="B26" s="10" t="str">
        <f t="shared" si="0"/>
        <v>RADIOLOGIA</v>
      </c>
      <c r="C26" s="54" t="s">
        <v>112</v>
      </c>
      <c r="D26" s="94">
        <v>3</v>
      </c>
      <c r="E26" s="95" t="s">
        <v>117</v>
      </c>
      <c r="F26" s="56" t="s">
        <v>118</v>
      </c>
      <c r="G26" s="89">
        <f>SUM(TB_Radiologia2[[#This Row],[CH TEÓRICA]:[CH ONLINE]])</f>
        <v>33</v>
      </c>
      <c r="H26" s="90" t="s">
        <v>80</v>
      </c>
      <c r="I26" s="94">
        <v>33</v>
      </c>
      <c r="J26" s="94">
        <v>0</v>
      </c>
      <c r="K26" s="94">
        <v>0</v>
      </c>
      <c r="L26" s="94">
        <v>0</v>
      </c>
      <c r="M26" s="94">
        <v>0</v>
      </c>
      <c r="N26" s="94" t="s">
        <v>8</v>
      </c>
      <c r="O26" s="54">
        <f>ROUNDUP(TB_Radiologia2[[#This Row],[CH TOTAL]]/Cursos!$E$3,0)</f>
        <v>2</v>
      </c>
      <c r="P26" s="92" cm="1">
        <f t="array" ref="P26">IF(AND(TB_Radiologia2[[#This Row],[TIPIFICAÇÃO]]="TCC",TB_Radiologia2[[#This Row],[TIPO DE OFERTA]]="PRESENCIAL"),SUM(TB_Radiologia2[[#This Row],[CH TEÓRICA]:[CH PRÁTICA]]/66),IF(TB_Radiologia2[[#This Row],[TIPIFICAÇÃO]]="EST",1,IF(AND(IF(OR(TB_Radiologia2[[#This Row],[TIPIFICAÇÃO]]="HB",TB_Radiologia2[[#This Row],[TIPIFICAÇÃO]]="PR"),SUM(TB_Radiologia2[[#This Row],[CH TEÓRICA]:[CH PRÁTICA]])/66,IF(TB_Radiologia2[[#This Row],[TIPIFICAÇÃO]]="EXT",0.5,0))&gt;0.6,IF(OR(TB_Radiologia2[[#This Row],[TIPIFICAÇÃO]]="HB",TB_Radiologia2[[#This Row],[TIPIFICAÇÃO]]="PR"),SUM(TB_Radiologia2[[#This Row],[CH TEÓRICA]:[CH PRÁTICA]])/66,IF(TB_Radiologia2[[#This Row],[TIPIFICAÇÃO]]="EXT",0.5,0))&lt;0.8),1,IF(OR(TB_Radiologia2[[#This Row],[TIPIFICAÇÃO]]="HB",TB_Radiologia2[[#This Row],[TIPIFICAÇÃO]]="PR"),SUM(TB_Radiologia2[[#This Row],[CH TEÓRICA]:[CH PRÁTICA]])/66,IF(TB_Radiologia2[[#This Row],[TIPIFICAÇÃO]]="EXT",0.5,0)))))</f>
        <v>0.5</v>
      </c>
      <c r="Q26" s="53"/>
      <c r="R26" s="12" t="s">
        <v>68</v>
      </c>
      <c r="S26" s="12"/>
      <c r="T26" s="12"/>
      <c r="U26" s="12"/>
      <c r="V26" s="10" cm="1">
        <f t="array" ref="V26">ROUNDUP(IFERROR(_xlfn.IFS(TB_Radiologia2[[#This Row],[TIPIFICAÇÃO]]="ON.A",0,AND(TB_Radiologia2[[#This Row],[TIPIFICAÇÃO]]="EST",TB_Radiologia2[[#This Row],[TIPO DE OFERTA]]="PRESENCIAL"),0,AND(TB_Radiologia2[[#This Row],[TIPIFICAÇÃO]]="PR",OR(TB_Radiologia2[[#This Row],[TIPO DE OFERTA]]="PRESENCIAL",TB_Radiologia2[[#This Row],[TIPO DE OFERTA]]="SEMI-PRESENCIAL")),TB_Radiologia2[[#This Row],[CH TEÓRICA]]+TB_Radiologia2[[#This Row],[CH PRÁTICA]],AND(TB_Radiologia2[[#This Row],[TIPIFICAÇÃO]]="HB",TB_Radiologia2[[#This Row],[TIPO DE OFERTA]]="PRESENCIAL"),TB_Radiologia2[[#This Row],[CH TEÓRICA]]+TB_Radiologia2[[#This Row],[CH PRÁTICA]],AND(TB_Radiologia2[[#This Row],[TIPIFICAÇÃO]]="EXT",OR(TB_Radiologia2[[#This Row],[TIPO DE OFERTA]]="PRESENCIAL",TB_Radiologia2[[#This Row],[TIPO DE OFERTA]]="SEMI-PRESENCIAL")),33,AND(TB_Radiologia2[[#This Row],[TIPIFICAÇÃO]]="TCC",TB_Radiologia2[[#This Row],[TIPO DE OFERTA]]="PRESENCIAL"),SUM(TB_Radiologia2[[#This Row],[CH TEÓRICA]],TB_Radiologia2[[#This Row],[CH PRÁTICA]]))/Cursos!$E$3,0),0)</f>
        <v>2</v>
      </c>
      <c r="W26" s="10">
        <f>IF(TB_Radiologia2[[#This Row],[TIPIFICAÇÃO]]="ON.S",ROUNDUP(TB_Radiologia2[[#This Row],[CH TEÓRICA]]/Cursos!$E$3,0),0)</f>
        <v>0</v>
      </c>
      <c r="X26" s="54" cm="1">
        <f t="array" ref="X26">IFERROR(_xlfn.IFS(TB_Radiologia2[[#This Row],[TIPIFICAÇÃO]]="ON.A",1,TB_Radiologia2[[#This Row],[TIPIFICAÇÃO]]="PR",0,TB_Radiologia2[[#This Row],[TIPIFICAÇÃO]]="HB",0,AND(TB_Radiologia2[[#This Row],[TIPIFICAÇÃO]]="EXT",OR(TB_Radiologia2[[#This Row],[TIPO DE OFERTA]]="SEMI-PRESENCIAL",TB_Radiologia2[[#This Row],[TIPO DE OFERTA]]="EAD 100%")),1),0)</f>
        <v>0</v>
      </c>
      <c r="Y26" s="54" cm="1">
        <f t="array" ref="Y26">ROUNDUP(IFERROR(_xlfn.IFS(TB_Radiologia2[[#This Row],[TIPIFICAÇÃO]]="ON.A",0,TB_Radiologia2[[#This Row],[TIPIFICAÇÃO]]="PR",0,TB_Radiologia2[[#This Row],[TIPIFICAÇÃO]]="HB",TB_Radiologia2[[#This Row],[CH ONLINE]],TB_Radiologia2[[#This Row],[TIPIFICAÇÃO]]="ON.S",0,AND(TB_Radiologia2[[#This Row],[TIPIFICAÇÃO]]="EXT",TB_Radiologia2[[#This Row],[TIPO DE OFERTA]]="PRESENCIAL"),TB_Radiologia2[[#This Row],[CRÉDITOS]]-TB_Radiologia2[[#This Row],[CRÉDITOS PAGO PROFESSOR]])/Cursos!$E$3,0),0)</f>
        <v>0</v>
      </c>
      <c r="Z26" s="93" t="s">
        <v>77</v>
      </c>
      <c r="AA26" s="10"/>
      <c r="AB26" s="10"/>
      <c r="AC26" s="10"/>
      <c r="AD26" s="10"/>
      <c r="AE26" s="10"/>
    </row>
    <row r="27" spans="2:31" x14ac:dyDescent="0.25">
      <c r="B27" s="7" t="str">
        <f t="shared" si="0"/>
        <v>RADIOLOGIA</v>
      </c>
      <c r="C27" s="42" t="s">
        <v>112</v>
      </c>
      <c r="D27" s="46">
        <v>4</v>
      </c>
      <c r="E27" s="83" t="s">
        <v>119</v>
      </c>
      <c r="F27" s="45" t="s">
        <v>120</v>
      </c>
      <c r="G27" s="80">
        <f>SUM(TB_Radiologia2[[#This Row],[CH TEÓRICA]:[CH ONLINE]])</f>
        <v>49</v>
      </c>
      <c r="H27" s="79" t="s">
        <v>80</v>
      </c>
      <c r="I27" s="46">
        <v>33</v>
      </c>
      <c r="J27" s="46">
        <v>16</v>
      </c>
      <c r="K27" s="46">
        <v>0</v>
      </c>
      <c r="L27" s="46">
        <v>0</v>
      </c>
      <c r="M27" s="46">
        <v>0</v>
      </c>
      <c r="N27" s="46" t="s">
        <v>8</v>
      </c>
      <c r="O27" s="42">
        <f>ROUNDUP(TB_Radiologia2[[#This Row],[CH TOTAL]]/Cursos!$E$3,0)</f>
        <v>3</v>
      </c>
      <c r="P27" s="52" cm="1">
        <f t="array" ref="P27">IF(AND(TB_Radiologia2[[#This Row],[TIPIFICAÇÃO]]="TCC",TB_Radiologia2[[#This Row],[TIPO DE OFERTA]]="PRESENCIAL"),SUM(TB_Radiologia2[[#This Row],[CH TEÓRICA]:[CH PRÁTICA]]/66),IF(TB_Radiologia2[[#This Row],[TIPIFICAÇÃO]]="EST",1,IF(AND(IF(OR(TB_Radiologia2[[#This Row],[TIPIFICAÇÃO]]="HB",TB_Radiologia2[[#This Row],[TIPIFICAÇÃO]]="PR"),SUM(TB_Radiologia2[[#This Row],[CH TEÓRICA]:[CH PRÁTICA]])/66,IF(TB_Radiologia2[[#This Row],[TIPIFICAÇÃO]]="EXT",0.5,0))&gt;0.6,IF(OR(TB_Radiologia2[[#This Row],[TIPIFICAÇÃO]]="HB",TB_Radiologia2[[#This Row],[TIPIFICAÇÃO]]="PR"),SUM(TB_Radiologia2[[#This Row],[CH TEÓRICA]:[CH PRÁTICA]])/66,IF(TB_Radiologia2[[#This Row],[TIPIFICAÇÃO]]="EXT",0.5,0))&lt;0.8),1,IF(OR(TB_Radiologia2[[#This Row],[TIPIFICAÇÃO]]="HB",TB_Radiologia2[[#This Row],[TIPIFICAÇÃO]]="PR"),SUM(TB_Radiologia2[[#This Row],[CH TEÓRICA]:[CH PRÁTICA]])/66,IF(TB_Radiologia2[[#This Row],[TIPIFICAÇÃO]]="EXT",0.5,0)))))</f>
        <v>1</v>
      </c>
      <c r="Q27" s="44"/>
      <c r="R27" s="12" t="s">
        <v>68</v>
      </c>
      <c r="S27" s="12"/>
      <c r="T27" s="12"/>
      <c r="U27" s="12"/>
      <c r="V27" s="10" cm="1">
        <f t="array" ref="V27">ROUNDUP(IFERROR(_xlfn.IFS(TB_Radiologia2[[#This Row],[TIPIFICAÇÃO]]="ON.A",0,AND(TB_Radiologia2[[#This Row],[TIPIFICAÇÃO]]="EST",TB_Radiologia2[[#This Row],[TIPO DE OFERTA]]="PRESENCIAL"),0,AND(TB_Radiologia2[[#This Row],[TIPIFICAÇÃO]]="PR",OR(TB_Radiologia2[[#This Row],[TIPO DE OFERTA]]="PRESENCIAL",TB_Radiologia2[[#This Row],[TIPO DE OFERTA]]="SEMI-PRESENCIAL")),TB_Radiologia2[[#This Row],[CH TEÓRICA]]+TB_Radiologia2[[#This Row],[CH PRÁTICA]],AND(TB_Radiologia2[[#This Row],[TIPIFICAÇÃO]]="HB",TB_Radiologia2[[#This Row],[TIPO DE OFERTA]]="PRESENCIAL"),TB_Radiologia2[[#This Row],[CH TEÓRICA]]+TB_Radiologia2[[#This Row],[CH PRÁTICA]],AND(TB_Radiologia2[[#This Row],[TIPIFICAÇÃO]]="EXT",OR(TB_Radiologia2[[#This Row],[TIPO DE OFERTA]]="PRESENCIAL",TB_Radiologia2[[#This Row],[TIPO DE OFERTA]]="SEMI-PRESENCIAL")),33,AND(TB_Radiologia2[[#This Row],[TIPIFICAÇÃO]]="TCC",TB_Radiologia2[[#This Row],[TIPO DE OFERTA]]="PRESENCIAL"),SUM(TB_Radiologia2[[#This Row],[CH TEÓRICA]],TB_Radiologia2[[#This Row],[CH PRÁTICA]]))/Cursos!$E$3,0),0)</f>
        <v>3</v>
      </c>
      <c r="W27" s="10">
        <f>IF(TB_Radiologia2[[#This Row],[TIPIFICAÇÃO]]="ON.S",ROUNDUP(TB_Radiologia2[[#This Row],[CH TEÓRICA]]/Cursos!$E$3,0),0)</f>
        <v>0</v>
      </c>
      <c r="X27" s="42" cm="1">
        <f t="array" ref="X27">IFERROR(_xlfn.IFS(TB_Radiologia2[[#This Row],[TIPIFICAÇÃO]]="ON.A",1,TB_Radiologia2[[#This Row],[TIPIFICAÇÃO]]="PR",0,TB_Radiologia2[[#This Row],[TIPIFICAÇÃO]]="HB",0,AND(TB_Radiologia2[[#This Row],[TIPIFICAÇÃO]]="EXT",OR(TB_Radiologia2[[#This Row],[TIPO DE OFERTA]]="SEMI-PRESENCIAL",TB_Radiologia2[[#This Row],[TIPO DE OFERTA]]="EAD 100%")),1),0)</f>
        <v>0</v>
      </c>
      <c r="Y27" s="42" cm="1">
        <f t="array" ref="Y27">ROUNDUP(IFERROR(_xlfn.IFS(TB_Radiologia2[[#This Row],[TIPIFICAÇÃO]]="ON.A",0,TB_Radiologia2[[#This Row],[TIPIFICAÇÃO]]="PR",0,TB_Radiologia2[[#This Row],[TIPIFICAÇÃO]]="HB",TB_Radiologia2[[#This Row],[CH ONLINE]],TB_Radiologia2[[#This Row],[TIPIFICAÇÃO]]="ON.S",0,AND(TB_Radiologia2[[#This Row],[TIPIFICAÇÃO]]="EXT",TB_Radiologia2[[#This Row],[TIPO DE OFERTA]]="PRESENCIAL"),TB_Radiologia2[[#This Row],[CRÉDITOS]]-TB_Radiologia2[[#This Row],[CRÉDITOS PAGO PROFESSOR]])/Cursos!$E$3,0),0)</f>
        <v>0</v>
      </c>
      <c r="Z27" s="13" t="s">
        <v>77</v>
      </c>
      <c r="AA27" s="10"/>
      <c r="AB27" s="10"/>
      <c r="AC27" s="10"/>
      <c r="AD27" s="10"/>
      <c r="AE27" s="10"/>
    </row>
    <row r="28" spans="2:31" ht="14.1" customHeight="1" x14ac:dyDescent="0.25">
      <c r="B28" s="7" t="str">
        <f t="shared" si="0"/>
        <v>RADIOLOGIA</v>
      </c>
      <c r="C28" s="42" t="s">
        <v>112</v>
      </c>
      <c r="D28" s="46">
        <v>5</v>
      </c>
      <c r="E28" s="83" t="s">
        <v>121</v>
      </c>
      <c r="F28" s="45" t="s">
        <v>122</v>
      </c>
      <c r="G28" s="80">
        <f>SUM(TB_Radiologia2[[#This Row],[CH TEÓRICA]:[CH ONLINE]])</f>
        <v>66</v>
      </c>
      <c r="H28" s="79" t="s">
        <v>80</v>
      </c>
      <c r="I28" s="46">
        <v>33</v>
      </c>
      <c r="J28" s="46">
        <v>33</v>
      </c>
      <c r="K28" s="46">
        <v>0</v>
      </c>
      <c r="L28" s="46">
        <v>0</v>
      </c>
      <c r="M28" s="46">
        <v>0</v>
      </c>
      <c r="N28" s="46" t="s">
        <v>8</v>
      </c>
      <c r="O28" s="42">
        <f>ROUNDUP(TB_Radiologia2[[#This Row],[CH TOTAL]]/Cursos!$E$3,0)</f>
        <v>4</v>
      </c>
      <c r="P28" s="52" cm="1">
        <f t="array" ref="P28">IF(AND(TB_Radiologia2[[#This Row],[TIPIFICAÇÃO]]="TCC",TB_Radiologia2[[#This Row],[TIPO DE OFERTA]]="PRESENCIAL"),SUM(TB_Radiologia2[[#This Row],[CH TEÓRICA]:[CH PRÁTICA]]/66),IF(TB_Radiologia2[[#This Row],[TIPIFICAÇÃO]]="EST",1,IF(AND(IF(OR(TB_Radiologia2[[#This Row],[TIPIFICAÇÃO]]="HB",TB_Radiologia2[[#This Row],[TIPIFICAÇÃO]]="PR"),SUM(TB_Radiologia2[[#This Row],[CH TEÓRICA]:[CH PRÁTICA]])/66,IF(TB_Radiologia2[[#This Row],[TIPIFICAÇÃO]]="EXT",0.5,0))&gt;0.6,IF(OR(TB_Radiologia2[[#This Row],[TIPIFICAÇÃO]]="HB",TB_Radiologia2[[#This Row],[TIPIFICAÇÃO]]="PR"),SUM(TB_Radiologia2[[#This Row],[CH TEÓRICA]:[CH PRÁTICA]])/66,IF(TB_Radiologia2[[#This Row],[TIPIFICAÇÃO]]="EXT",0.5,0))&lt;0.8),1,IF(OR(TB_Radiologia2[[#This Row],[TIPIFICAÇÃO]]="HB",TB_Radiologia2[[#This Row],[TIPIFICAÇÃO]]="PR"),SUM(TB_Radiologia2[[#This Row],[CH TEÓRICA]:[CH PRÁTICA]])/66,IF(TB_Radiologia2[[#This Row],[TIPIFICAÇÃO]]="EXT",0.5,0)))))</f>
        <v>1</v>
      </c>
      <c r="Q28" s="44"/>
      <c r="R28" s="12" t="s">
        <v>68</v>
      </c>
      <c r="S28" s="12"/>
      <c r="T28" s="12"/>
      <c r="U28" s="12"/>
      <c r="V28" s="10" cm="1">
        <f t="array" ref="V28">ROUNDUP(IFERROR(_xlfn.IFS(TB_Radiologia2[[#This Row],[TIPIFICAÇÃO]]="ON.A",0,AND(TB_Radiologia2[[#This Row],[TIPIFICAÇÃO]]="EST",TB_Radiologia2[[#This Row],[TIPO DE OFERTA]]="PRESENCIAL"),0,AND(TB_Radiologia2[[#This Row],[TIPIFICAÇÃO]]="PR",OR(TB_Radiologia2[[#This Row],[TIPO DE OFERTA]]="PRESENCIAL",TB_Radiologia2[[#This Row],[TIPO DE OFERTA]]="SEMI-PRESENCIAL")),TB_Radiologia2[[#This Row],[CH TEÓRICA]]+TB_Radiologia2[[#This Row],[CH PRÁTICA]],AND(TB_Radiologia2[[#This Row],[TIPIFICAÇÃO]]="HB",TB_Radiologia2[[#This Row],[TIPO DE OFERTA]]="PRESENCIAL"),TB_Radiologia2[[#This Row],[CH TEÓRICA]]+TB_Radiologia2[[#This Row],[CH PRÁTICA]],AND(TB_Radiologia2[[#This Row],[TIPIFICAÇÃO]]="EXT",OR(TB_Radiologia2[[#This Row],[TIPO DE OFERTA]]="PRESENCIAL",TB_Radiologia2[[#This Row],[TIPO DE OFERTA]]="SEMI-PRESENCIAL")),33,AND(TB_Radiologia2[[#This Row],[TIPIFICAÇÃO]]="TCC",TB_Radiologia2[[#This Row],[TIPO DE OFERTA]]="PRESENCIAL"),SUM(TB_Radiologia2[[#This Row],[CH TEÓRICA]],TB_Radiologia2[[#This Row],[CH PRÁTICA]]))/Cursos!$E$3,0),0)</f>
        <v>4</v>
      </c>
      <c r="W28" s="10">
        <f>IF(TB_Radiologia2[[#This Row],[TIPIFICAÇÃO]]="ON.S",ROUNDUP(TB_Radiologia2[[#This Row],[CH TEÓRICA]]/Cursos!$E$3,0),0)</f>
        <v>0</v>
      </c>
      <c r="X28" s="42" cm="1">
        <f t="array" ref="X28">IFERROR(_xlfn.IFS(TB_Radiologia2[[#This Row],[TIPIFICAÇÃO]]="ON.A",1,TB_Radiologia2[[#This Row],[TIPIFICAÇÃO]]="PR",0,TB_Radiologia2[[#This Row],[TIPIFICAÇÃO]]="HB",0,AND(TB_Radiologia2[[#This Row],[TIPIFICAÇÃO]]="EXT",OR(TB_Radiologia2[[#This Row],[TIPO DE OFERTA]]="SEMI-PRESENCIAL",TB_Radiologia2[[#This Row],[TIPO DE OFERTA]]="EAD 100%")),1),0)</f>
        <v>0</v>
      </c>
      <c r="Y28" s="42" cm="1">
        <f t="array" ref="Y28">ROUNDUP(IFERROR(_xlfn.IFS(TB_Radiologia2[[#This Row],[TIPIFICAÇÃO]]="ON.A",0,TB_Radiologia2[[#This Row],[TIPIFICAÇÃO]]="PR",0,TB_Radiologia2[[#This Row],[TIPIFICAÇÃO]]="HB",TB_Radiologia2[[#This Row],[CH ONLINE]],TB_Radiologia2[[#This Row],[TIPIFICAÇÃO]]="ON.S",0,AND(TB_Radiologia2[[#This Row],[TIPIFICAÇÃO]]="EXT",TB_Radiologia2[[#This Row],[TIPO DE OFERTA]]="PRESENCIAL"),TB_Radiologia2[[#This Row],[CRÉDITOS]]-TB_Radiologia2[[#This Row],[CRÉDITOS PAGO PROFESSOR]])/Cursos!$E$3,0),0)</f>
        <v>0</v>
      </c>
      <c r="Z28" s="13" t="s">
        <v>77</v>
      </c>
      <c r="AA28" s="10"/>
      <c r="AB28" s="10"/>
      <c r="AC28" s="10"/>
      <c r="AD28" s="10"/>
      <c r="AE28" s="10"/>
    </row>
    <row r="29" spans="2:31" x14ac:dyDescent="0.25">
      <c r="B29" s="7" t="str">
        <f t="shared" si="0"/>
        <v>RADIOLOGIA</v>
      </c>
      <c r="C29" s="42" t="s">
        <v>112</v>
      </c>
      <c r="D29" s="46">
        <v>6</v>
      </c>
      <c r="E29" s="83" t="s">
        <v>123</v>
      </c>
      <c r="F29" s="43" t="s">
        <v>124</v>
      </c>
      <c r="G29" s="80">
        <f>SUM(TB_Radiologia2[[#This Row],[CH TEÓRICA]:[CH ONLINE]])</f>
        <v>90</v>
      </c>
      <c r="H29" s="79" t="s">
        <v>90</v>
      </c>
      <c r="I29" s="46">
        <v>0</v>
      </c>
      <c r="J29" s="46">
        <v>0</v>
      </c>
      <c r="K29" s="46">
        <v>0</v>
      </c>
      <c r="L29" s="46">
        <v>90</v>
      </c>
      <c r="M29" s="46">
        <v>0</v>
      </c>
      <c r="N29" s="46" t="s">
        <v>12</v>
      </c>
      <c r="O29" s="42">
        <f>ROUNDUP(TB_Radiologia2[[#This Row],[CH TOTAL]]/Cursos!$E$3,0)</f>
        <v>6</v>
      </c>
      <c r="P29" s="52" cm="1">
        <f t="array" ref="P29">IF(AND(TB_Radiologia2[[#This Row],[TIPIFICAÇÃO]]="TCC",TB_Radiologia2[[#This Row],[TIPO DE OFERTA]]="PRESENCIAL"),SUM(TB_Radiologia2[[#This Row],[CH TEÓRICA]:[CH PRÁTICA]]/66),IF(TB_Radiologia2[[#This Row],[TIPIFICAÇÃO]]="EST",1,IF(AND(IF(OR(TB_Radiologia2[[#This Row],[TIPIFICAÇÃO]]="HB",TB_Radiologia2[[#This Row],[TIPIFICAÇÃO]]="PR"),SUM(TB_Radiologia2[[#This Row],[CH TEÓRICA]:[CH PRÁTICA]])/66,IF(TB_Radiologia2[[#This Row],[TIPIFICAÇÃO]]="EXT",0.5,0))&gt;0.6,IF(OR(TB_Radiologia2[[#This Row],[TIPIFICAÇÃO]]="HB",TB_Radiologia2[[#This Row],[TIPIFICAÇÃO]]="PR"),SUM(TB_Radiologia2[[#This Row],[CH TEÓRICA]:[CH PRÁTICA]])/66,IF(TB_Radiologia2[[#This Row],[TIPIFICAÇÃO]]="EXT",0.5,0))&lt;0.8),1,IF(OR(TB_Radiologia2[[#This Row],[TIPIFICAÇÃO]]="HB",TB_Radiologia2[[#This Row],[TIPIFICAÇÃO]]="PR"),SUM(TB_Radiologia2[[#This Row],[CH TEÓRICA]:[CH PRÁTICA]])/66,IF(TB_Radiologia2[[#This Row],[TIPIFICAÇÃO]]="EXT",0.5,0)))))</f>
        <v>0.5</v>
      </c>
      <c r="Q29" s="44"/>
      <c r="R29" s="12" t="s">
        <v>68</v>
      </c>
      <c r="S29" s="12"/>
      <c r="T29" s="12"/>
      <c r="U29" s="12"/>
      <c r="V29" s="10" cm="1">
        <f t="array" ref="V29">ROUNDUP(IFERROR(_xlfn.IFS(TB_Radiologia2[[#This Row],[TIPIFICAÇÃO]]="ON.A",0,AND(TB_Radiologia2[[#This Row],[TIPIFICAÇÃO]]="EST",TB_Radiologia2[[#This Row],[TIPO DE OFERTA]]="PRESENCIAL"),0,AND(TB_Radiologia2[[#This Row],[TIPIFICAÇÃO]]="PR",OR(TB_Radiologia2[[#This Row],[TIPO DE OFERTA]]="PRESENCIAL",TB_Radiologia2[[#This Row],[TIPO DE OFERTA]]="SEMI-PRESENCIAL")),TB_Radiologia2[[#This Row],[CH TEÓRICA]]+TB_Radiologia2[[#This Row],[CH PRÁTICA]],AND(TB_Radiologia2[[#This Row],[TIPIFICAÇÃO]]="HB",TB_Radiologia2[[#This Row],[TIPO DE OFERTA]]="PRESENCIAL"),TB_Radiologia2[[#This Row],[CH TEÓRICA]]+TB_Radiologia2[[#This Row],[CH PRÁTICA]],AND(TB_Radiologia2[[#This Row],[TIPIFICAÇÃO]]="EXT",OR(TB_Radiologia2[[#This Row],[TIPO DE OFERTA]]="PRESENCIAL",TB_Radiologia2[[#This Row],[TIPO DE OFERTA]]="SEMI-PRESENCIAL")),33,AND(TB_Radiologia2[[#This Row],[TIPIFICAÇÃO]]="TCC",TB_Radiologia2[[#This Row],[TIPO DE OFERTA]]="PRESENCIAL"),SUM(TB_Radiologia2[[#This Row],[CH TEÓRICA]],TB_Radiologia2[[#This Row],[CH PRÁTICA]]))/Cursos!$E$3,0),0)</f>
        <v>2</v>
      </c>
      <c r="W29" s="10">
        <f>IF(TB_Radiologia2[[#This Row],[TIPIFICAÇÃO]]="ON.S",ROUNDUP(TB_Radiologia2[[#This Row],[CH TEÓRICA]]/Cursos!$E$3,0),0)</f>
        <v>0</v>
      </c>
      <c r="X29" s="42" cm="1">
        <f t="array" ref="X29">IFERROR(_xlfn.IFS(TB_Radiologia2[[#This Row],[TIPIFICAÇÃO]]="ON.A",1,TB_Radiologia2[[#This Row],[TIPIFICAÇÃO]]="PR",0,TB_Radiologia2[[#This Row],[TIPIFICAÇÃO]]="HB",0,AND(TB_Radiologia2[[#This Row],[TIPIFICAÇÃO]]="EXT",OR(TB_Radiologia2[[#This Row],[TIPO DE OFERTA]]="SEMI-PRESENCIAL",TB_Radiologia2[[#This Row],[TIPO DE OFERTA]]="EAD 100%")),1),0)</f>
        <v>0</v>
      </c>
      <c r="Y29" s="42" cm="1">
        <f t="array" ref="Y29">ROUNDUP(IFERROR(_xlfn.IFS(TB_Radiologia2[[#This Row],[TIPIFICAÇÃO]]="ON.A",0,TB_Radiologia2[[#This Row],[TIPIFICAÇÃO]]="PR",0,TB_Radiologia2[[#This Row],[TIPIFICAÇÃO]]="HB",TB_Radiologia2[[#This Row],[CH ONLINE]],TB_Radiologia2[[#This Row],[TIPIFICAÇÃO]]="ON.S",0,AND(TB_Radiologia2[[#This Row],[TIPIFICAÇÃO]]="EXT",TB_Radiologia2[[#This Row],[TIPO DE OFERTA]]="PRESENCIAL"),TB_Radiologia2[[#This Row],[CRÉDITOS]]-TB_Radiologia2[[#This Row],[CRÉDITOS PAGO PROFESSOR]])/Cursos!$E$3,0),0)</f>
        <v>1</v>
      </c>
      <c r="Z29" s="13" t="s">
        <v>77</v>
      </c>
      <c r="AA29" s="10"/>
      <c r="AB29" s="10"/>
      <c r="AC29" s="10"/>
      <c r="AD29" s="10"/>
      <c r="AE29" s="10"/>
    </row>
    <row r="30" spans="2:31" x14ac:dyDescent="0.25">
      <c r="B30" s="7" t="str">
        <f t="shared" si="0"/>
        <v>RADIOLOGIA</v>
      </c>
      <c r="C30" s="42" t="s">
        <v>125</v>
      </c>
      <c r="D30" s="46">
        <v>1</v>
      </c>
      <c r="E30" s="83" t="s">
        <v>126</v>
      </c>
      <c r="F30" s="43" t="s">
        <v>127</v>
      </c>
      <c r="G30" s="80">
        <f>SUM(TB_Radiologia2[[#This Row],[CH TEÓRICA]:[CH ONLINE]])</f>
        <v>66</v>
      </c>
      <c r="H30" s="79" t="s">
        <v>80</v>
      </c>
      <c r="I30" s="46">
        <v>33</v>
      </c>
      <c r="J30" s="46">
        <v>33</v>
      </c>
      <c r="K30" s="46">
        <v>0</v>
      </c>
      <c r="L30" s="46">
        <v>0</v>
      </c>
      <c r="M30" s="46">
        <v>0</v>
      </c>
      <c r="N30" s="46" t="s">
        <v>8</v>
      </c>
      <c r="O30" s="42">
        <f>ROUNDUP(TB_Radiologia2[[#This Row],[CH TOTAL]]/Cursos!$E$3,0)</f>
        <v>4</v>
      </c>
      <c r="P30" s="52" cm="1">
        <f t="array" ref="P30">IF(AND(TB_Radiologia2[[#This Row],[TIPIFICAÇÃO]]="TCC",TB_Radiologia2[[#This Row],[TIPO DE OFERTA]]="PRESENCIAL"),SUM(TB_Radiologia2[[#This Row],[CH TEÓRICA]:[CH PRÁTICA]]/66),IF(TB_Radiologia2[[#This Row],[TIPIFICAÇÃO]]="EST",1,IF(AND(IF(OR(TB_Radiologia2[[#This Row],[TIPIFICAÇÃO]]="HB",TB_Radiologia2[[#This Row],[TIPIFICAÇÃO]]="PR"),SUM(TB_Radiologia2[[#This Row],[CH TEÓRICA]:[CH PRÁTICA]])/66,IF(TB_Radiologia2[[#This Row],[TIPIFICAÇÃO]]="EXT",0.5,0))&gt;0.6,IF(OR(TB_Radiologia2[[#This Row],[TIPIFICAÇÃO]]="HB",TB_Radiologia2[[#This Row],[TIPIFICAÇÃO]]="PR"),SUM(TB_Radiologia2[[#This Row],[CH TEÓRICA]:[CH PRÁTICA]])/66,IF(TB_Radiologia2[[#This Row],[TIPIFICAÇÃO]]="EXT",0.5,0))&lt;0.8),1,IF(OR(TB_Radiologia2[[#This Row],[TIPIFICAÇÃO]]="HB",TB_Radiologia2[[#This Row],[TIPIFICAÇÃO]]="PR"),SUM(TB_Radiologia2[[#This Row],[CH TEÓRICA]:[CH PRÁTICA]])/66,IF(TB_Radiologia2[[#This Row],[TIPIFICAÇÃO]]="EXT",0.5,0)))))</f>
        <v>1</v>
      </c>
      <c r="Q30" s="44"/>
      <c r="R30" s="12" t="s">
        <v>68</v>
      </c>
      <c r="S30" s="12"/>
      <c r="T30" s="12"/>
      <c r="U30" s="12"/>
      <c r="V30" s="10" cm="1">
        <f t="array" ref="V30">ROUNDUP(IFERROR(_xlfn.IFS(TB_Radiologia2[[#This Row],[TIPIFICAÇÃO]]="ON.A",0,AND(TB_Radiologia2[[#This Row],[TIPIFICAÇÃO]]="EST",TB_Radiologia2[[#This Row],[TIPO DE OFERTA]]="PRESENCIAL"),0,AND(TB_Radiologia2[[#This Row],[TIPIFICAÇÃO]]="PR",OR(TB_Radiologia2[[#This Row],[TIPO DE OFERTA]]="PRESENCIAL",TB_Radiologia2[[#This Row],[TIPO DE OFERTA]]="SEMI-PRESENCIAL")),TB_Radiologia2[[#This Row],[CH TEÓRICA]]+TB_Radiologia2[[#This Row],[CH PRÁTICA]],AND(TB_Radiologia2[[#This Row],[TIPIFICAÇÃO]]="HB",TB_Radiologia2[[#This Row],[TIPO DE OFERTA]]="PRESENCIAL"),TB_Radiologia2[[#This Row],[CH TEÓRICA]]+TB_Radiologia2[[#This Row],[CH PRÁTICA]],AND(TB_Radiologia2[[#This Row],[TIPIFICAÇÃO]]="EXT",OR(TB_Radiologia2[[#This Row],[TIPO DE OFERTA]]="PRESENCIAL",TB_Radiologia2[[#This Row],[TIPO DE OFERTA]]="SEMI-PRESENCIAL")),33,AND(TB_Radiologia2[[#This Row],[TIPIFICAÇÃO]]="TCC",TB_Radiologia2[[#This Row],[TIPO DE OFERTA]]="PRESENCIAL"),SUM(TB_Radiologia2[[#This Row],[CH TEÓRICA]],TB_Radiologia2[[#This Row],[CH PRÁTICA]]))/Cursos!$E$3,0),0)</f>
        <v>4</v>
      </c>
      <c r="W30" s="10">
        <f>IF(TB_Radiologia2[[#This Row],[TIPIFICAÇÃO]]="ON.S",ROUNDUP(TB_Radiologia2[[#This Row],[CH TEÓRICA]]/Cursos!$E$3,0),0)</f>
        <v>0</v>
      </c>
      <c r="X30" s="42" cm="1">
        <f t="array" ref="X30">IFERROR(_xlfn.IFS(TB_Radiologia2[[#This Row],[TIPIFICAÇÃO]]="ON.A",1,TB_Radiologia2[[#This Row],[TIPIFICAÇÃO]]="PR",0,TB_Radiologia2[[#This Row],[TIPIFICAÇÃO]]="HB",0,AND(TB_Radiologia2[[#This Row],[TIPIFICAÇÃO]]="EXT",OR(TB_Radiologia2[[#This Row],[TIPO DE OFERTA]]="SEMI-PRESENCIAL",TB_Radiologia2[[#This Row],[TIPO DE OFERTA]]="EAD 100%")),1),0)</f>
        <v>0</v>
      </c>
      <c r="Y30" s="42" cm="1">
        <f t="array" ref="Y30">ROUNDUP(IFERROR(_xlfn.IFS(TB_Radiologia2[[#This Row],[TIPIFICAÇÃO]]="ON.A",0,TB_Radiologia2[[#This Row],[TIPIFICAÇÃO]]="PR",0,TB_Radiologia2[[#This Row],[TIPIFICAÇÃO]]="HB",TB_Radiologia2[[#This Row],[CH ONLINE]],TB_Radiologia2[[#This Row],[TIPIFICAÇÃO]]="ON.S",0,AND(TB_Radiologia2[[#This Row],[TIPIFICAÇÃO]]="EXT",TB_Radiologia2[[#This Row],[TIPO DE OFERTA]]="PRESENCIAL"),TB_Radiologia2[[#This Row],[CRÉDITOS]]-TB_Radiologia2[[#This Row],[CRÉDITOS PAGO PROFESSOR]])/Cursos!$E$3,0),0)</f>
        <v>0</v>
      </c>
      <c r="Z30" s="13" t="s">
        <v>77</v>
      </c>
      <c r="AA30" s="10"/>
      <c r="AB30" s="10"/>
      <c r="AC30" s="10"/>
      <c r="AD30" s="10"/>
      <c r="AE30" s="10"/>
    </row>
    <row r="31" spans="2:31" x14ac:dyDescent="0.25">
      <c r="B31" s="7" t="str">
        <f t="shared" si="0"/>
        <v>RADIOLOGIA</v>
      </c>
      <c r="C31" s="42" t="s">
        <v>125</v>
      </c>
      <c r="D31" s="46">
        <v>2</v>
      </c>
      <c r="E31" s="83" t="s">
        <v>128</v>
      </c>
      <c r="F31" s="43" t="s">
        <v>129</v>
      </c>
      <c r="G31" s="80">
        <f>SUM(TB_Radiologia2[[#This Row],[CH TEÓRICA]:[CH ONLINE]])</f>
        <v>66</v>
      </c>
      <c r="H31" s="79" t="s">
        <v>80</v>
      </c>
      <c r="I31" s="46">
        <v>66</v>
      </c>
      <c r="J31" s="46">
        <v>0</v>
      </c>
      <c r="K31" s="46">
        <v>0</v>
      </c>
      <c r="L31" s="46">
        <v>0</v>
      </c>
      <c r="M31" s="46">
        <v>0</v>
      </c>
      <c r="N31" s="46" t="s">
        <v>8</v>
      </c>
      <c r="O31" s="42">
        <f>ROUNDUP(TB_Radiologia2[[#This Row],[CH TOTAL]]/Cursos!$E$3,0)</f>
        <v>4</v>
      </c>
      <c r="P31" s="52" cm="1">
        <f t="array" ref="P31">IF(AND(TB_Radiologia2[[#This Row],[TIPIFICAÇÃO]]="TCC",TB_Radiologia2[[#This Row],[TIPO DE OFERTA]]="PRESENCIAL"),SUM(TB_Radiologia2[[#This Row],[CH TEÓRICA]:[CH PRÁTICA]]/66),IF(TB_Radiologia2[[#This Row],[TIPIFICAÇÃO]]="EST",1,IF(AND(IF(OR(TB_Radiologia2[[#This Row],[TIPIFICAÇÃO]]="HB",TB_Radiologia2[[#This Row],[TIPIFICAÇÃO]]="PR"),SUM(TB_Radiologia2[[#This Row],[CH TEÓRICA]:[CH PRÁTICA]])/66,IF(TB_Radiologia2[[#This Row],[TIPIFICAÇÃO]]="EXT",0.5,0))&gt;0.6,IF(OR(TB_Radiologia2[[#This Row],[TIPIFICAÇÃO]]="HB",TB_Radiologia2[[#This Row],[TIPIFICAÇÃO]]="PR"),SUM(TB_Radiologia2[[#This Row],[CH TEÓRICA]:[CH PRÁTICA]])/66,IF(TB_Radiologia2[[#This Row],[TIPIFICAÇÃO]]="EXT",0.5,0))&lt;0.8),1,IF(OR(TB_Radiologia2[[#This Row],[TIPIFICAÇÃO]]="HB",TB_Radiologia2[[#This Row],[TIPIFICAÇÃO]]="PR"),SUM(TB_Radiologia2[[#This Row],[CH TEÓRICA]:[CH PRÁTICA]])/66,IF(TB_Radiologia2[[#This Row],[TIPIFICAÇÃO]]="EXT",0.5,0)))))</f>
        <v>1</v>
      </c>
      <c r="Q31" s="44"/>
      <c r="R31" s="12" t="s">
        <v>68</v>
      </c>
      <c r="S31" s="12"/>
      <c r="T31" s="12"/>
      <c r="U31" s="12"/>
      <c r="V31" s="10" cm="1">
        <f t="array" ref="V31">ROUNDUP(IFERROR(_xlfn.IFS(TB_Radiologia2[[#This Row],[TIPIFICAÇÃO]]="ON.A",0,AND(TB_Radiologia2[[#This Row],[TIPIFICAÇÃO]]="EST",TB_Radiologia2[[#This Row],[TIPO DE OFERTA]]="PRESENCIAL"),0,AND(TB_Radiologia2[[#This Row],[TIPIFICAÇÃO]]="PR",OR(TB_Radiologia2[[#This Row],[TIPO DE OFERTA]]="PRESENCIAL",TB_Radiologia2[[#This Row],[TIPO DE OFERTA]]="SEMI-PRESENCIAL")),TB_Radiologia2[[#This Row],[CH TEÓRICA]]+TB_Radiologia2[[#This Row],[CH PRÁTICA]],AND(TB_Radiologia2[[#This Row],[TIPIFICAÇÃO]]="HB",TB_Radiologia2[[#This Row],[TIPO DE OFERTA]]="PRESENCIAL"),TB_Radiologia2[[#This Row],[CH TEÓRICA]]+TB_Radiologia2[[#This Row],[CH PRÁTICA]],AND(TB_Radiologia2[[#This Row],[TIPIFICAÇÃO]]="EXT",OR(TB_Radiologia2[[#This Row],[TIPO DE OFERTA]]="PRESENCIAL",TB_Radiologia2[[#This Row],[TIPO DE OFERTA]]="SEMI-PRESENCIAL")),33,AND(TB_Radiologia2[[#This Row],[TIPIFICAÇÃO]]="TCC",TB_Radiologia2[[#This Row],[TIPO DE OFERTA]]="PRESENCIAL"),SUM(TB_Radiologia2[[#This Row],[CH TEÓRICA]],TB_Radiologia2[[#This Row],[CH PRÁTICA]]))/Cursos!$E$3,0),0)</f>
        <v>4</v>
      </c>
      <c r="W31" s="10">
        <f>IF(TB_Radiologia2[[#This Row],[TIPIFICAÇÃO]]="ON.S",ROUNDUP(TB_Radiologia2[[#This Row],[CH TEÓRICA]]/Cursos!$E$3,0),0)</f>
        <v>0</v>
      </c>
      <c r="X31" s="42" cm="1">
        <f t="array" ref="X31">IFERROR(_xlfn.IFS(TB_Radiologia2[[#This Row],[TIPIFICAÇÃO]]="ON.A",1,TB_Radiologia2[[#This Row],[TIPIFICAÇÃO]]="PR",0,TB_Radiologia2[[#This Row],[TIPIFICAÇÃO]]="HB",0,AND(TB_Radiologia2[[#This Row],[TIPIFICAÇÃO]]="EXT",OR(TB_Radiologia2[[#This Row],[TIPO DE OFERTA]]="SEMI-PRESENCIAL",TB_Radiologia2[[#This Row],[TIPO DE OFERTA]]="EAD 100%")),1),0)</f>
        <v>0</v>
      </c>
      <c r="Y31" s="42" cm="1">
        <f t="array" ref="Y31">ROUNDUP(IFERROR(_xlfn.IFS(TB_Radiologia2[[#This Row],[TIPIFICAÇÃO]]="ON.A",0,TB_Radiologia2[[#This Row],[TIPIFICAÇÃO]]="PR",0,TB_Radiologia2[[#This Row],[TIPIFICAÇÃO]]="HB",TB_Radiologia2[[#This Row],[CH ONLINE]],TB_Radiologia2[[#This Row],[TIPIFICAÇÃO]]="ON.S",0,AND(TB_Radiologia2[[#This Row],[TIPIFICAÇÃO]]="EXT",TB_Radiologia2[[#This Row],[TIPO DE OFERTA]]="PRESENCIAL"),TB_Radiologia2[[#This Row],[CRÉDITOS]]-TB_Radiologia2[[#This Row],[CRÉDITOS PAGO PROFESSOR]])/Cursos!$E$3,0),0)</f>
        <v>0</v>
      </c>
      <c r="Z31" s="13" t="s">
        <v>77</v>
      </c>
      <c r="AA31" s="10"/>
      <c r="AB31" s="10"/>
      <c r="AC31" s="10"/>
      <c r="AD31" s="10"/>
      <c r="AE31" s="10"/>
    </row>
    <row r="32" spans="2:31" ht="14.25" customHeight="1" x14ac:dyDescent="0.25">
      <c r="B32" s="7" t="str">
        <f t="shared" si="0"/>
        <v>RADIOLOGIA</v>
      </c>
      <c r="C32" s="42" t="s">
        <v>125</v>
      </c>
      <c r="D32" s="46">
        <v>3</v>
      </c>
      <c r="E32" s="83" t="s">
        <v>130</v>
      </c>
      <c r="F32" s="43" t="s">
        <v>131</v>
      </c>
      <c r="G32" s="80">
        <f>SUM(TB_Radiologia2[[#This Row],[CH TEÓRICA]:[CH ONLINE]])</f>
        <v>49</v>
      </c>
      <c r="H32" s="79" t="s">
        <v>80</v>
      </c>
      <c r="I32" s="46">
        <v>49</v>
      </c>
      <c r="J32" s="46">
        <v>0</v>
      </c>
      <c r="K32" s="46">
        <v>0</v>
      </c>
      <c r="L32" s="46">
        <v>0</v>
      </c>
      <c r="M32" s="46">
        <v>0</v>
      </c>
      <c r="N32" s="46" t="s">
        <v>8</v>
      </c>
      <c r="O32" s="42">
        <f>ROUNDUP(TB_Radiologia2[[#This Row],[CH TOTAL]]/Cursos!$E$3,0)</f>
        <v>3</v>
      </c>
      <c r="P32" s="52" cm="1">
        <f t="array" ref="P32">IF(AND(TB_Radiologia2[[#This Row],[TIPIFICAÇÃO]]="TCC",TB_Radiologia2[[#This Row],[TIPO DE OFERTA]]="PRESENCIAL"),SUM(TB_Radiologia2[[#This Row],[CH TEÓRICA]:[CH PRÁTICA]]/66),IF(TB_Radiologia2[[#This Row],[TIPIFICAÇÃO]]="EST",1,IF(AND(IF(OR(TB_Radiologia2[[#This Row],[TIPIFICAÇÃO]]="HB",TB_Radiologia2[[#This Row],[TIPIFICAÇÃO]]="PR"),SUM(TB_Radiologia2[[#This Row],[CH TEÓRICA]:[CH PRÁTICA]])/66,IF(TB_Radiologia2[[#This Row],[TIPIFICAÇÃO]]="EXT",0.5,0))&gt;0.6,IF(OR(TB_Radiologia2[[#This Row],[TIPIFICAÇÃO]]="HB",TB_Radiologia2[[#This Row],[TIPIFICAÇÃO]]="PR"),SUM(TB_Radiologia2[[#This Row],[CH TEÓRICA]:[CH PRÁTICA]])/66,IF(TB_Radiologia2[[#This Row],[TIPIFICAÇÃO]]="EXT",0.5,0))&lt;0.8),1,IF(OR(TB_Radiologia2[[#This Row],[TIPIFICAÇÃO]]="HB",TB_Radiologia2[[#This Row],[TIPIFICAÇÃO]]="PR"),SUM(TB_Radiologia2[[#This Row],[CH TEÓRICA]:[CH PRÁTICA]])/66,IF(TB_Radiologia2[[#This Row],[TIPIFICAÇÃO]]="EXT",0.5,0)))))</f>
        <v>1</v>
      </c>
      <c r="Q32" s="44"/>
      <c r="R32" s="12" t="s">
        <v>68</v>
      </c>
      <c r="S32" s="12"/>
      <c r="T32" s="12"/>
      <c r="U32" s="12"/>
      <c r="V32" s="10" cm="1">
        <f t="array" ref="V32">ROUNDUP(IFERROR(_xlfn.IFS(TB_Radiologia2[[#This Row],[TIPIFICAÇÃO]]="ON.A",0,AND(TB_Radiologia2[[#This Row],[TIPIFICAÇÃO]]="EST",TB_Radiologia2[[#This Row],[TIPO DE OFERTA]]="PRESENCIAL"),0,AND(TB_Radiologia2[[#This Row],[TIPIFICAÇÃO]]="PR",OR(TB_Radiologia2[[#This Row],[TIPO DE OFERTA]]="PRESENCIAL",TB_Radiologia2[[#This Row],[TIPO DE OFERTA]]="SEMI-PRESENCIAL")),TB_Radiologia2[[#This Row],[CH TEÓRICA]]+TB_Radiologia2[[#This Row],[CH PRÁTICA]],AND(TB_Radiologia2[[#This Row],[TIPIFICAÇÃO]]="HB",TB_Radiologia2[[#This Row],[TIPO DE OFERTA]]="PRESENCIAL"),TB_Radiologia2[[#This Row],[CH TEÓRICA]]+TB_Radiologia2[[#This Row],[CH PRÁTICA]],AND(TB_Radiologia2[[#This Row],[TIPIFICAÇÃO]]="EXT",OR(TB_Radiologia2[[#This Row],[TIPO DE OFERTA]]="PRESENCIAL",TB_Radiologia2[[#This Row],[TIPO DE OFERTA]]="SEMI-PRESENCIAL")),33,AND(TB_Radiologia2[[#This Row],[TIPIFICAÇÃO]]="TCC",TB_Radiologia2[[#This Row],[TIPO DE OFERTA]]="PRESENCIAL"),SUM(TB_Radiologia2[[#This Row],[CH TEÓRICA]],TB_Radiologia2[[#This Row],[CH PRÁTICA]]))/Cursos!$E$3,0),0)</f>
        <v>3</v>
      </c>
      <c r="W32" s="10">
        <f>IF(TB_Radiologia2[[#This Row],[TIPIFICAÇÃO]]="ON.S",ROUNDUP(TB_Radiologia2[[#This Row],[CH TEÓRICA]]/Cursos!$E$3,0),0)</f>
        <v>0</v>
      </c>
      <c r="X32" s="42" cm="1">
        <f t="array" ref="X32">IFERROR(_xlfn.IFS(TB_Radiologia2[[#This Row],[TIPIFICAÇÃO]]="ON.A",1,TB_Radiologia2[[#This Row],[TIPIFICAÇÃO]]="PR",0,TB_Radiologia2[[#This Row],[TIPIFICAÇÃO]]="HB",0,AND(TB_Radiologia2[[#This Row],[TIPIFICAÇÃO]]="EXT",OR(TB_Radiologia2[[#This Row],[TIPO DE OFERTA]]="SEMI-PRESENCIAL",TB_Radiologia2[[#This Row],[TIPO DE OFERTA]]="EAD 100%")),1),0)</f>
        <v>0</v>
      </c>
      <c r="Y32" s="42" cm="1">
        <f t="array" ref="Y32">ROUNDUP(IFERROR(_xlfn.IFS(TB_Radiologia2[[#This Row],[TIPIFICAÇÃO]]="ON.A",0,TB_Radiologia2[[#This Row],[TIPIFICAÇÃO]]="PR",0,TB_Radiologia2[[#This Row],[TIPIFICAÇÃO]]="HB",TB_Radiologia2[[#This Row],[CH ONLINE]],TB_Radiologia2[[#This Row],[TIPIFICAÇÃO]]="ON.S",0,AND(TB_Radiologia2[[#This Row],[TIPIFICAÇÃO]]="EXT",TB_Radiologia2[[#This Row],[TIPO DE OFERTA]]="PRESENCIAL"),TB_Radiologia2[[#This Row],[CRÉDITOS]]-TB_Radiologia2[[#This Row],[CRÉDITOS PAGO PROFESSOR]])/Cursos!$E$3,0),0)</f>
        <v>0</v>
      </c>
      <c r="Z32" s="13" t="s">
        <v>77</v>
      </c>
      <c r="AA32" s="10"/>
      <c r="AB32" s="10"/>
      <c r="AC32" s="10"/>
      <c r="AD32" s="10"/>
      <c r="AE32" s="10"/>
    </row>
    <row r="33" spans="2:31" x14ac:dyDescent="0.25">
      <c r="B33" s="7" t="str">
        <f t="shared" si="0"/>
        <v>RADIOLOGIA</v>
      </c>
      <c r="C33" s="42" t="s">
        <v>125</v>
      </c>
      <c r="D33" s="46">
        <v>4</v>
      </c>
      <c r="E33" s="83" t="s">
        <v>132</v>
      </c>
      <c r="F33" s="43" t="s">
        <v>133</v>
      </c>
      <c r="G33" s="80">
        <f>SUM(TB_Radiologia2[[#This Row],[CH TEÓRICA]:[CH ONLINE]])</f>
        <v>66</v>
      </c>
      <c r="H33" s="79" t="s">
        <v>93</v>
      </c>
      <c r="I33" s="46">
        <v>0</v>
      </c>
      <c r="J33" s="46">
        <v>0</v>
      </c>
      <c r="K33" s="46">
        <v>0</v>
      </c>
      <c r="L33" s="46">
        <v>0</v>
      </c>
      <c r="M33" s="46">
        <v>66</v>
      </c>
      <c r="N33" s="46" t="s">
        <v>4</v>
      </c>
      <c r="O33" s="42">
        <f>ROUNDUP(TB_Radiologia2[[#This Row],[CH TOTAL]]/Cursos!$E$3,0)</f>
        <v>4</v>
      </c>
      <c r="P33" s="52" cm="1">
        <f t="array" ref="P33">IF(AND(TB_Radiologia2[[#This Row],[TIPIFICAÇÃO]]="TCC",TB_Radiologia2[[#This Row],[TIPO DE OFERTA]]="PRESENCIAL"),SUM(TB_Radiologia2[[#This Row],[CH TEÓRICA]:[CH PRÁTICA]]/66),IF(TB_Radiologia2[[#This Row],[TIPIFICAÇÃO]]="EST",1,IF(AND(IF(OR(TB_Radiologia2[[#This Row],[TIPIFICAÇÃO]]="HB",TB_Radiologia2[[#This Row],[TIPIFICAÇÃO]]="PR"),SUM(TB_Radiologia2[[#This Row],[CH TEÓRICA]:[CH PRÁTICA]])/66,IF(TB_Radiologia2[[#This Row],[TIPIFICAÇÃO]]="EXT",0.5,0))&gt;0.6,IF(OR(TB_Radiologia2[[#This Row],[TIPIFICAÇÃO]]="HB",TB_Radiologia2[[#This Row],[TIPIFICAÇÃO]]="PR"),SUM(TB_Radiologia2[[#This Row],[CH TEÓRICA]:[CH PRÁTICA]])/66,IF(TB_Radiologia2[[#This Row],[TIPIFICAÇÃO]]="EXT",0.5,0))&lt;0.8),1,IF(OR(TB_Radiologia2[[#This Row],[TIPIFICAÇÃO]]="HB",TB_Radiologia2[[#This Row],[TIPIFICAÇÃO]]="PR"),SUM(TB_Radiologia2[[#This Row],[CH TEÓRICA]:[CH PRÁTICA]])/66,IF(TB_Radiologia2[[#This Row],[TIPIFICAÇÃO]]="EXT",0.5,0)))))</f>
        <v>0</v>
      </c>
      <c r="Q33" s="44"/>
      <c r="R33" s="12" t="s">
        <v>68</v>
      </c>
      <c r="S33" s="12"/>
      <c r="T33" s="12"/>
      <c r="U33" s="12"/>
      <c r="V33" s="10" cm="1">
        <f t="array" ref="V33">ROUNDUP(IFERROR(_xlfn.IFS(TB_Radiologia2[[#This Row],[TIPIFICAÇÃO]]="ON.A",0,AND(TB_Radiologia2[[#This Row],[TIPIFICAÇÃO]]="EST",TB_Radiologia2[[#This Row],[TIPO DE OFERTA]]="PRESENCIAL"),0,AND(TB_Radiologia2[[#This Row],[TIPIFICAÇÃO]]="PR",OR(TB_Radiologia2[[#This Row],[TIPO DE OFERTA]]="PRESENCIAL",TB_Radiologia2[[#This Row],[TIPO DE OFERTA]]="SEMI-PRESENCIAL")),TB_Radiologia2[[#This Row],[CH TEÓRICA]]+TB_Radiologia2[[#This Row],[CH PRÁTICA]],AND(TB_Radiologia2[[#This Row],[TIPIFICAÇÃO]]="HB",TB_Radiologia2[[#This Row],[TIPO DE OFERTA]]="PRESENCIAL"),TB_Radiologia2[[#This Row],[CH TEÓRICA]]+TB_Radiologia2[[#This Row],[CH PRÁTICA]],AND(TB_Radiologia2[[#This Row],[TIPIFICAÇÃO]]="EXT",OR(TB_Radiologia2[[#This Row],[TIPO DE OFERTA]]="PRESENCIAL",TB_Radiologia2[[#This Row],[TIPO DE OFERTA]]="SEMI-PRESENCIAL")),33,AND(TB_Radiologia2[[#This Row],[TIPIFICAÇÃO]]="TCC",TB_Radiologia2[[#This Row],[TIPO DE OFERTA]]="PRESENCIAL"),SUM(TB_Radiologia2[[#This Row],[CH TEÓRICA]],TB_Radiologia2[[#This Row],[CH PRÁTICA]]))/Cursos!$E$3,0),0)</f>
        <v>0</v>
      </c>
      <c r="W33" s="10">
        <f>IF(TB_Radiologia2[[#This Row],[TIPIFICAÇÃO]]="ON.S",ROUNDUP(TB_Radiologia2[[#This Row],[CH TEÓRICA]]/Cursos!$E$3,0),0)</f>
        <v>0</v>
      </c>
      <c r="X33" s="42" cm="1">
        <f t="array" ref="X33">IFERROR(_xlfn.IFS(TB_Radiologia2[[#This Row],[TIPIFICAÇÃO]]="ON.A",1,TB_Radiologia2[[#This Row],[TIPIFICAÇÃO]]="PR",0,TB_Radiologia2[[#This Row],[TIPIFICAÇÃO]]="HB",0,AND(TB_Radiologia2[[#This Row],[TIPIFICAÇÃO]]="EXT",OR(TB_Radiologia2[[#This Row],[TIPO DE OFERTA]]="SEMI-PRESENCIAL",TB_Radiologia2[[#This Row],[TIPO DE OFERTA]]="EAD 100%")),1),0)</f>
        <v>1</v>
      </c>
      <c r="Y33" s="42" cm="1">
        <f t="array" ref="Y33">ROUNDUP(IFERROR(_xlfn.IFS(TB_Radiologia2[[#This Row],[TIPIFICAÇÃO]]="ON.A",0,TB_Radiologia2[[#This Row],[TIPIFICAÇÃO]]="PR",0,TB_Radiologia2[[#This Row],[TIPIFICAÇÃO]]="HB",TB_Radiologia2[[#This Row],[CH ONLINE]],TB_Radiologia2[[#This Row],[TIPIFICAÇÃO]]="ON.S",0,AND(TB_Radiologia2[[#This Row],[TIPIFICAÇÃO]]="EXT",TB_Radiologia2[[#This Row],[TIPO DE OFERTA]]="PRESENCIAL"),TB_Radiologia2[[#This Row],[CRÉDITOS]]-TB_Radiologia2[[#This Row],[CRÉDITOS PAGO PROFESSOR]])/Cursos!$E$3,0),0)</f>
        <v>0</v>
      </c>
      <c r="Z33" s="13" t="s">
        <v>77</v>
      </c>
      <c r="AA33" s="10"/>
      <c r="AB33" s="10"/>
      <c r="AC33" s="10"/>
      <c r="AD33" s="10"/>
      <c r="AE33" s="10"/>
    </row>
    <row r="34" spans="2:31" x14ac:dyDescent="0.25">
      <c r="B34" s="7" t="str">
        <f t="shared" si="0"/>
        <v>RADIOLOGIA</v>
      </c>
      <c r="C34" s="42" t="s">
        <v>125</v>
      </c>
      <c r="D34" s="82">
        <v>5</v>
      </c>
      <c r="E34" s="84" t="s">
        <v>134</v>
      </c>
      <c r="F34" s="43" t="s">
        <v>135</v>
      </c>
      <c r="G34" s="80">
        <f>SUM(TB_Radiologia2[[#This Row],[CH TEÓRICA]:[CH ONLINE]])</f>
        <v>33</v>
      </c>
      <c r="H34" s="78" t="s">
        <v>80</v>
      </c>
      <c r="I34" s="82">
        <v>33</v>
      </c>
      <c r="J34" s="82">
        <v>0</v>
      </c>
      <c r="K34" s="81">
        <v>0</v>
      </c>
      <c r="L34" s="81">
        <v>0</v>
      </c>
      <c r="M34" s="82">
        <v>0</v>
      </c>
      <c r="N34" s="82" t="s">
        <v>8</v>
      </c>
      <c r="O34" s="42">
        <f>ROUNDUP(TB_Radiologia2[[#This Row],[CH TOTAL]]/Cursos!$E$3,0)</f>
        <v>2</v>
      </c>
      <c r="P34" s="52" cm="1">
        <f t="array" ref="P34">IF(AND(TB_Radiologia2[[#This Row],[TIPIFICAÇÃO]]="TCC",TB_Radiologia2[[#This Row],[TIPO DE OFERTA]]="PRESENCIAL"),SUM(TB_Radiologia2[[#This Row],[CH TEÓRICA]:[CH PRÁTICA]]/66),IF(TB_Radiologia2[[#This Row],[TIPIFICAÇÃO]]="EST",1,IF(AND(IF(OR(TB_Radiologia2[[#This Row],[TIPIFICAÇÃO]]="HB",TB_Radiologia2[[#This Row],[TIPIFICAÇÃO]]="PR"),SUM(TB_Radiologia2[[#This Row],[CH TEÓRICA]:[CH PRÁTICA]])/66,IF(TB_Radiologia2[[#This Row],[TIPIFICAÇÃO]]="EXT",0.5,0))&gt;0.6,IF(OR(TB_Radiologia2[[#This Row],[TIPIFICAÇÃO]]="HB",TB_Radiologia2[[#This Row],[TIPIFICAÇÃO]]="PR"),SUM(TB_Radiologia2[[#This Row],[CH TEÓRICA]:[CH PRÁTICA]])/66,IF(TB_Radiologia2[[#This Row],[TIPIFICAÇÃO]]="EXT",0.5,0))&lt;0.8),1,IF(OR(TB_Radiologia2[[#This Row],[TIPIFICAÇÃO]]="HB",TB_Radiologia2[[#This Row],[TIPIFICAÇÃO]]="PR"),SUM(TB_Radiologia2[[#This Row],[CH TEÓRICA]:[CH PRÁTICA]])/66,IF(TB_Radiologia2[[#This Row],[TIPIFICAÇÃO]]="EXT",0.5,0)))))</f>
        <v>0.5</v>
      </c>
      <c r="Q34" s="44"/>
      <c r="R34" s="12" t="s">
        <v>68</v>
      </c>
      <c r="S34" s="12"/>
      <c r="T34" s="12"/>
      <c r="U34" s="12"/>
      <c r="V34" s="10" cm="1">
        <f t="array" ref="V34">ROUNDUP(IFERROR(_xlfn.IFS(TB_Radiologia2[[#This Row],[TIPIFICAÇÃO]]="ON.A",0,AND(TB_Radiologia2[[#This Row],[TIPIFICAÇÃO]]="EST",TB_Radiologia2[[#This Row],[TIPO DE OFERTA]]="PRESENCIAL"),0,AND(TB_Radiologia2[[#This Row],[TIPIFICAÇÃO]]="PR",OR(TB_Radiologia2[[#This Row],[TIPO DE OFERTA]]="PRESENCIAL",TB_Radiologia2[[#This Row],[TIPO DE OFERTA]]="SEMI-PRESENCIAL")),TB_Radiologia2[[#This Row],[CH TEÓRICA]]+TB_Radiologia2[[#This Row],[CH PRÁTICA]],AND(TB_Radiologia2[[#This Row],[TIPIFICAÇÃO]]="HB",TB_Radiologia2[[#This Row],[TIPO DE OFERTA]]="PRESENCIAL"),TB_Radiologia2[[#This Row],[CH TEÓRICA]]+TB_Radiologia2[[#This Row],[CH PRÁTICA]],AND(TB_Radiologia2[[#This Row],[TIPIFICAÇÃO]]="EXT",OR(TB_Radiologia2[[#This Row],[TIPO DE OFERTA]]="PRESENCIAL",TB_Radiologia2[[#This Row],[TIPO DE OFERTA]]="SEMI-PRESENCIAL")),33,AND(TB_Radiologia2[[#This Row],[TIPIFICAÇÃO]]="TCC",TB_Radiologia2[[#This Row],[TIPO DE OFERTA]]="PRESENCIAL"),SUM(TB_Radiologia2[[#This Row],[CH TEÓRICA]],TB_Radiologia2[[#This Row],[CH PRÁTICA]]))/Cursos!$E$3,0),0)</f>
        <v>2</v>
      </c>
      <c r="W34" s="10">
        <f>IF(TB_Radiologia2[[#This Row],[TIPIFICAÇÃO]]="ON.S",ROUNDUP(TB_Radiologia2[[#This Row],[CH TEÓRICA]]/Cursos!$E$3,0),0)</f>
        <v>0</v>
      </c>
      <c r="X34" s="42" cm="1">
        <f t="array" ref="X34">IFERROR(_xlfn.IFS(TB_Radiologia2[[#This Row],[TIPIFICAÇÃO]]="ON.A",1,TB_Radiologia2[[#This Row],[TIPIFICAÇÃO]]="PR",0,TB_Radiologia2[[#This Row],[TIPIFICAÇÃO]]="HB",0,AND(TB_Radiologia2[[#This Row],[TIPIFICAÇÃO]]="EXT",OR(TB_Radiologia2[[#This Row],[TIPO DE OFERTA]]="SEMI-PRESENCIAL",TB_Radiologia2[[#This Row],[TIPO DE OFERTA]]="EAD 100%")),1),0)</f>
        <v>0</v>
      </c>
      <c r="Y34" s="42" cm="1">
        <f t="array" ref="Y34">ROUNDUP(IFERROR(_xlfn.IFS(TB_Radiologia2[[#This Row],[TIPIFICAÇÃO]]="ON.A",0,TB_Radiologia2[[#This Row],[TIPIFICAÇÃO]]="PR",0,TB_Radiologia2[[#This Row],[TIPIFICAÇÃO]]="HB",TB_Radiologia2[[#This Row],[CH ONLINE]],TB_Radiologia2[[#This Row],[TIPIFICAÇÃO]]="ON.S",0,AND(TB_Radiologia2[[#This Row],[TIPIFICAÇÃO]]="EXT",TB_Radiologia2[[#This Row],[TIPO DE OFERTA]]="PRESENCIAL"),TB_Radiologia2[[#This Row],[CRÉDITOS]]-TB_Radiologia2[[#This Row],[CRÉDITOS PAGO PROFESSOR]])/Cursos!$E$3,0),0)</f>
        <v>0</v>
      </c>
      <c r="Z34" s="13" t="s">
        <v>77</v>
      </c>
      <c r="AA34" s="10"/>
      <c r="AB34" s="10"/>
      <c r="AC34" s="10"/>
      <c r="AD34" s="10"/>
      <c r="AE34" s="10"/>
    </row>
    <row r="35" spans="2:31" s="55" customFormat="1" x14ac:dyDescent="0.25">
      <c r="B35" s="10" t="str">
        <f t="shared" si="0"/>
        <v>RADIOLOGIA</v>
      </c>
      <c r="C35" s="54" t="s">
        <v>125</v>
      </c>
      <c r="D35" s="46">
        <v>6</v>
      </c>
      <c r="E35" s="83" t="s">
        <v>136</v>
      </c>
      <c r="F35" s="56" t="s">
        <v>137</v>
      </c>
      <c r="G35" s="80">
        <f>SUM(TB_Radiologia2[[#This Row],[CH TEÓRICA]:[CH ONLINE]])</f>
        <v>90</v>
      </c>
      <c r="H35" s="79" t="s">
        <v>90</v>
      </c>
      <c r="I35" s="46">
        <v>0</v>
      </c>
      <c r="J35" s="46">
        <v>0</v>
      </c>
      <c r="K35" s="46">
        <v>0</v>
      </c>
      <c r="L35" s="46">
        <v>90</v>
      </c>
      <c r="M35" s="46">
        <v>0</v>
      </c>
      <c r="N35" s="46" t="s">
        <v>12</v>
      </c>
      <c r="O35" s="42">
        <f>ROUNDUP(TB_Radiologia2[[#This Row],[CH TOTAL]]/Cursos!$E$3,0)</f>
        <v>6</v>
      </c>
      <c r="P35" s="52" cm="1">
        <f t="array" ref="P35">IF(AND(TB_Radiologia2[[#This Row],[TIPIFICAÇÃO]]="TCC",TB_Radiologia2[[#This Row],[TIPO DE OFERTA]]="PRESENCIAL"),SUM(TB_Radiologia2[[#This Row],[CH TEÓRICA]:[CH PRÁTICA]]/66),IF(TB_Radiologia2[[#This Row],[TIPIFICAÇÃO]]="EST",1,IF(AND(IF(OR(TB_Radiologia2[[#This Row],[TIPIFICAÇÃO]]="HB",TB_Radiologia2[[#This Row],[TIPIFICAÇÃO]]="PR"),SUM(TB_Radiologia2[[#This Row],[CH TEÓRICA]:[CH PRÁTICA]])/66,IF(TB_Radiologia2[[#This Row],[TIPIFICAÇÃO]]="EXT",0.5,0))&gt;0.6,IF(OR(TB_Radiologia2[[#This Row],[TIPIFICAÇÃO]]="HB",TB_Radiologia2[[#This Row],[TIPIFICAÇÃO]]="PR"),SUM(TB_Radiologia2[[#This Row],[CH TEÓRICA]:[CH PRÁTICA]])/66,IF(TB_Radiologia2[[#This Row],[TIPIFICAÇÃO]]="EXT",0.5,0))&lt;0.8),1,IF(OR(TB_Radiologia2[[#This Row],[TIPIFICAÇÃO]]="HB",TB_Radiologia2[[#This Row],[TIPIFICAÇÃO]]="PR"),SUM(TB_Radiologia2[[#This Row],[CH TEÓRICA]:[CH PRÁTICA]])/66,IF(TB_Radiologia2[[#This Row],[TIPIFICAÇÃO]]="EXT",0.5,0)))))</f>
        <v>0.5</v>
      </c>
      <c r="Q35" s="53"/>
      <c r="R35" s="12" t="s">
        <v>68</v>
      </c>
      <c r="S35" s="12"/>
      <c r="T35" s="12"/>
      <c r="U35" s="12"/>
      <c r="V35" s="10" cm="1">
        <f t="array" ref="V35">ROUNDUP(IFERROR(_xlfn.IFS(TB_Radiologia2[[#This Row],[TIPIFICAÇÃO]]="ON.A",0,AND(TB_Radiologia2[[#This Row],[TIPIFICAÇÃO]]="EST",TB_Radiologia2[[#This Row],[TIPO DE OFERTA]]="PRESENCIAL"),0,AND(TB_Radiologia2[[#This Row],[TIPIFICAÇÃO]]="PR",OR(TB_Radiologia2[[#This Row],[TIPO DE OFERTA]]="PRESENCIAL",TB_Radiologia2[[#This Row],[TIPO DE OFERTA]]="SEMI-PRESENCIAL")),TB_Radiologia2[[#This Row],[CH TEÓRICA]]+TB_Radiologia2[[#This Row],[CH PRÁTICA]],AND(TB_Radiologia2[[#This Row],[TIPIFICAÇÃO]]="HB",TB_Radiologia2[[#This Row],[TIPO DE OFERTA]]="PRESENCIAL"),TB_Radiologia2[[#This Row],[CH TEÓRICA]]+TB_Radiologia2[[#This Row],[CH PRÁTICA]],AND(TB_Radiologia2[[#This Row],[TIPIFICAÇÃO]]="EXT",OR(TB_Radiologia2[[#This Row],[TIPO DE OFERTA]]="PRESENCIAL",TB_Radiologia2[[#This Row],[TIPO DE OFERTA]]="SEMI-PRESENCIAL")),33,AND(TB_Radiologia2[[#This Row],[TIPIFICAÇÃO]]="TCC",TB_Radiologia2[[#This Row],[TIPO DE OFERTA]]="PRESENCIAL"),SUM(TB_Radiologia2[[#This Row],[CH TEÓRICA]],TB_Radiologia2[[#This Row],[CH PRÁTICA]]))/Cursos!$E$3,0),0)</f>
        <v>2</v>
      </c>
      <c r="W35" s="10">
        <f>IF(TB_Radiologia2[[#This Row],[TIPIFICAÇÃO]]="ON.S",ROUNDUP(TB_Radiologia2[[#This Row],[CH TEÓRICA]]/Cursos!$E$3,0),0)</f>
        <v>0</v>
      </c>
      <c r="X35" s="54" cm="1">
        <f t="array" ref="X35">IFERROR(_xlfn.IFS(TB_Radiologia2[[#This Row],[TIPIFICAÇÃO]]="ON.A",1,TB_Radiologia2[[#This Row],[TIPIFICAÇÃO]]="PR",0,TB_Radiologia2[[#This Row],[TIPIFICAÇÃO]]="HB",0,AND(TB_Radiologia2[[#This Row],[TIPIFICAÇÃO]]="EXT",OR(TB_Radiologia2[[#This Row],[TIPO DE OFERTA]]="SEMI-PRESENCIAL",TB_Radiologia2[[#This Row],[TIPO DE OFERTA]]="EAD 100%")),1),0)</f>
        <v>0</v>
      </c>
      <c r="Y35" s="54" cm="1">
        <f t="array" ref="Y35">ROUNDUP(IFERROR(_xlfn.IFS(TB_Radiologia2[[#This Row],[TIPIFICAÇÃO]]="ON.A",0,TB_Radiologia2[[#This Row],[TIPIFICAÇÃO]]="PR",0,TB_Radiologia2[[#This Row],[TIPIFICAÇÃO]]="HB",TB_Radiologia2[[#This Row],[CH ONLINE]],TB_Radiologia2[[#This Row],[TIPIFICAÇÃO]]="ON.S",0,AND(TB_Radiologia2[[#This Row],[TIPIFICAÇÃO]]="EXT",TB_Radiologia2[[#This Row],[TIPO DE OFERTA]]="PRESENCIAL"),TB_Radiologia2[[#This Row],[CRÉDITOS]]-TB_Radiologia2[[#This Row],[CRÉDITOS PAGO PROFESSOR]])/Cursos!$E$3,0),0)</f>
        <v>1</v>
      </c>
      <c r="Z35" s="13" t="s">
        <v>77</v>
      </c>
      <c r="AA35" s="10"/>
      <c r="AB35" s="10"/>
      <c r="AC35" s="10"/>
      <c r="AD35" s="10"/>
      <c r="AE35" s="10"/>
    </row>
    <row r="36" spans="2:31" s="55" customFormat="1" ht="16.5" customHeight="1" x14ac:dyDescent="0.25">
      <c r="B36" s="10" t="str">
        <f t="shared" si="0"/>
        <v>RADIOLOGIA</v>
      </c>
      <c r="C36" s="54" t="s">
        <v>125</v>
      </c>
      <c r="D36" s="46">
        <v>7</v>
      </c>
      <c r="E36" s="83" t="s">
        <v>138</v>
      </c>
      <c r="F36" s="56" t="s">
        <v>139</v>
      </c>
      <c r="G36" s="80">
        <f>SUM(TB_Radiologia2[[#This Row],[CH TEÓRICA]:[CH ONLINE]])</f>
        <v>49</v>
      </c>
      <c r="H36" s="79" t="s">
        <v>80</v>
      </c>
      <c r="I36" s="46">
        <v>49</v>
      </c>
      <c r="J36" s="46">
        <v>0</v>
      </c>
      <c r="K36" s="46">
        <v>0</v>
      </c>
      <c r="L36" s="46">
        <v>0</v>
      </c>
      <c r="M36" s="46">
        <v>0</v>
      </c>
      <c r="N36" s="46" t="s">
        <v>8</v>
      </c>
      <c r="O36" s="42">
        <f>ROUNDUP(TB_Radiologia2[[#This Row],[CH TOTAL]]/Cursos!$E$3,0)</f>
        <v>3</v>
      </c>
      <c r="P36" s="52" cm="1">
        <f t="array" ref="P36">IF(AND(TB_Radiologia2[[#This Row],[TIPIFICAÇÃO]]="TCC",TB_Radiologia2[[#This Row],[TIPO DE OFERTA]]="PRESENCIAL"),SUM(TB_Radiologia2[[#This Row],[CH TEÓRICA]:[CH PRÁTICA]]/66),IF(TB_Radiologia2[[#This Row],[TIPIFICAÇÃO]]="EST",1,IF(AND(IF(OR(TB_Radiologia2[[#This Row],[TIPIFICAÇÃO]]="HB",TB_Radiologia2[[#This Row],[TIPIFICAÇÃO]]="PR"),SUM(TB_Radiologia2[[#This Row],[CH TEÓRICA]:[CH PRÁTICA]])/66,IF(TB_Radiologia2[[#This Row],[TIPIFICAÇÃO]]="EXT",0.5,0))&gt;0.6,IF(OR(TB_Radiologia2[[#This Row],[TIPIFICAÇÃO]]="HB",TB_Radiologia2[[#This Row],[TIPIFICAÇÃO]]="PR"),SUM(TB_Radiologia2[[#This Row],[CH TEÓRICA]:[CH PRÁTICA]])/66,IF(TB_Radiologia2[[#This Row],[TIPIFICAÇÃO]]="EXT",0.5,0))&lt;0.8),1,IF(OR(TB_Radiologia2[[#This Row],[TIPIFICAÇÃO]]="HB",TB_Radiologia2[[#This Row],[TIPIFICAÇÃO]]="PR"),SUM(TB_Radiologia2[[#This Row],[CH TEÓRICA]:[CH PRÁTICA]])/66,IF(TB_Radiologia2[[#This Row],[TIPIFICAÇÃO]]="EXT",0.5,0)))))</f>
        <v>1</v>
      </c>
      <c r="Q36" s="53"/>
      <c r="R36" s="12" t="s">
        <v>68</v>
      </c>
      <c r="S36" s="12"/>
      <c r="T36" s="12"/>
      <c r="U36" s="12"/>
      <c r="V36" s="10" cm="1">
        <f t="array" ref="V36">ROUNDUP(IFERROR(_xlfn.IFS(TB_Radiologia2[[#This Row],[TIPIFICAÇÃO]]="ON.A",0,AND(TB_Radiologia2[[#This Row],[TIPIFICAÇÃO]]="EST",TB_Radiologia2[[#This Row],[TIPO DE OFERTA]]="PRESENCIAL"),0,AND(TB_Radiologia2[[#This Row],[TIPIFICAÇÃO]]="PR",OR(TB_Radiologia2[[#This Row],[TIPO DE OFERTA]]="PRESENCIAL",TB_Radiologia2[[#This Row],[TIPO DE OFERTA]]="SEMI-PRESENCIAL")),TB_Radiologia2[[#This Row],[CH TEÓRICA]]+TB_Radiologia2[[#This Row],[CH PRÁTICA]],AND(TB_Radiologia2[[#This Row],[TIPIFICAÇÃO]]="HB",TB_Radiologia2[[#This Row],[TIPO DE OFERTA]]="PRESENCIAL"),TB_Radiologia2[[#This Row],[CH TEÓRICA]]+TB_Radiologia2[[#This Row],[CH PRÁTICA]],AND(TB_Radiologia2[[#This Row],[TIPIFICAÇÃO]]="EXT",OR(TB_Radiologia2[[#This Row],[TIPO DE OFERTA]]="PRESENCIAL",TB_Radiologia2[[#This Row],[TIPO DE OFERTA]]="SEMI-PRESENCIAL")),33,AND(TB_Radiologia2[[#This Row],[TIPIFICAÇÃO]]="TCC",TB_Radiologia2[[#This Row],[TIPO DE OFERTA]]="PRESENCIAL"),SUM(TB_Radiologia2[[#This Row],[CH TEÓRICA]],TB_Radiologia2[[#This Row],[CH PRÁTICA]]))/Cursos!$E$3,0),0)</f>
        <v>3</v>
      </c>
      <c r="W36" s="10">
        <f>IF(TB_Radiologia2[[#This Row],[TIPIFICAÇÃO]]="ON.S",ROUNDUP(TB_Radiologia2[[#This Row],[CH TEÓRICA]]/Cursos!$E$3,0),0)</f>
        <v>0</v>
      </c>
      <c r="X36" s="54" cm="1">
        <f t="array" ref="X36">IFERROR(_xlfn.IFS(TB_Radiologia2[[#This Row],[TIPIFICAÇÃO]]="ON.A",1,TB_Radiologia2[[#This Row],[TIPIFICAÇÃO]]="PR",0,TB_Radiologia2[[#This Row],[TIPIFICAÇÃO]]="HB",0,AND(TB_Radiologia2[[#This Row],[TIPIFICAÇÃO]]="EXT",OR(TB_Radiologia2[[#This Row],[TIPO DE OFERTA]]="SEMI-PRESENCIAL",TB_Radiologia2[[#This Row],[TIPO DE OFERTA]]="EAD 100%")),1),0)</f>
        <v>0</v>
      </c>
      <c r="Y36" s="54" cm="1">
        <f t="array" ref="Y36">ROUNDUP(IFERROR(_xlfn.IFS(TB_Radiologia2[[#This Row],[TIPIFICAÇÃO]]="ON.A",0,TB_Radiologia2[[#This Row],[TIPIFICAÇÃO]]="PR",0,TB_Radiologia2[[#This Row],[TIPIFICAÇÃO]]="HB",TB_Radiologia2[[#This Row],[CH ONLINE]],TB_Radiologia2[[#This Row],[TIPIFICAÇÃO]]="ON.S",0,AND(TB_Radiologia2[[#This Row],[TIPIFICAÇÃO]]="EXT",TB_Radiologia2[[#This Row],[TIPO DE OFERTA]]="PRESENCIAL"),TB_Radiologia2[[#This Row],[CRÉDITOS]]-TB_Radiologia2[[#This Row],[CRÉDITOS PAGO PROFESSOR]])/Cursos!$E$3,0),0)</f>
        <v>0</v>
      </c>
      <c r="Z36" s="13" t="s">
        <v>77</v>
      </c>
      <c r="AA36" s="10"/>
      <c r="AB36" s="10"/>
      <c r="AC36" s="10"/>
      <c r="AD36" s="10"/>
      <c r="AE36" s="10"/>
    </row>
    <row r="37" spans="2:31" x14ac:dyDescent="0.25">
      <c r="B37" s="7" t="str">
        <f t="shared" si="0"/>
        <v>RADIOLOGIA</v>
      </c>
      <c r="C37" s="42" t="s">
        <v>140</v>
      </c>
      <c r="D37" s="46">
        <v>1</v>
      </c>
      <c r="E37" s="79" t="s">
        <v>141</v>
      </c>
      <c r="F37" s="45" t="s">
        <v>142</v>
      </c>
      <c r="G37" s="80">
        <f>SUM(TB_Radiologia2[[#This Row],[CH TEÓRICA]:[CH ONLINE]])</f>
        <v>66</v>
      </c>
      <c r="H37" s="79" t="s">
        <v>80</v>
      </c>
      <c r="I37" s="46">
        <v>33</v>
      </c>
      <c r="J37" s="46">
        <v>33</v>
      </c>
      <c r="K37" s="46">
        <v>0</v>
      </c>
      <c r="L37" s="46">
        <v>0</v>
      </c>
      <c r="M37" s="46">
        <v>0</v>
      </c>
      <c r="N37" s="46" t="s">
        <v>8</v>
      </c>
      <c r="O37" s="42">
        <f>ROUNDUP(TB_Radiologia2[[#This Row],[CH TOTAL]]/Cursos!$E$3,0)</f>
        <v>4</v>
      </c>
      <c r="P37" s="52" cm="1">
        <f t="array" ref="P37">IF(AND(TB_Radiologia2[[#This Row],[TIPIFICAÇÃO]]="TCC",TB_Radiologia2[[#This Row],[TIPO DE OFERTA]]="PRESENCIAL"),SUM(TB_Radiologia2[[#This Row],[CH TEÓRICA]:[CH PRÁTICA]]/66),IF(TB_Radiologia2[[#This Row],[TIPIFICAÇÃO]]="EST",1,IF(AND(IF(OR(TB_Radiologia2[[#This Row],[TIPIFICAÇÃO]]="HB",TB_Radiologia2[[#This Row],[TIPIFICAÇÃO]]="PR"),SUM(TB_Radiologia2[[#This Row],[CH TEÓRICA]:[CH PRÁTICA]])/66,IF(TB_Radiologia2[[#This Row],[TIPIFICAÇÃO]]="EXT",0.5,0))&gt;0.6,IF(OR(TB_Radiologia2[[#This Row],[TIPIFICAÇÃO]]="HB",TB_Radiologia2[[#This Row],[TIPIFICAÇÃO]]="PR"),SUM(TB_Radiologia2[[#This Row],[CH TEÓRICA]:[CH PRÁTICA]])/66,IF(TB_Radiologia2[[#This Row],[TIPIFICAÇÃO]]="EXT",0.5,0))&lt;0.8),1,IF(OR(TB_Radiologia2[[#This Row],[TIPIFICAÇÃO]]="HB",TB_Radiologia2[[#This Row],[TIPIFICAÇÃO]]="PR"),SUM(TB_Radiologia2[[#This Row],[CH TEÓRICA]:[CH PRÁTICA]])/66,IF(TB_Radiologia2[[#This Row],[TIPIFICAÇÃO]]="EXT",0.5,0)))))</f>
        <v>1</v>
      </c>
      <c r="Q37" s="44"/>
      <c r="R37" s="12" t="s">
        <v>68</v>
      </c>
      <c r="S37" s="12"/>
      <c r="T37" s="12"/>
      <c r="U37" s="12"/>
      <c r="V37" s="10" cm="1">
        <f t="array" ref="V37">ROUNDUP(IFERROR(_xlfn.IFS(TB_Radiologia2[[#This Row],[TIPIFICAÇÃO]]="ON.A",0,AND(TB_Radiologia2[[#This Row],[TIPIFICAÇÃO]]="EST",TB_Radiologia2[[#This Row],[TIPO DE OFERTA]]="PRESENCIAL"),0,AND(TB_Radiologia2[[#This Row],[TIPIFICAÇÃO]]="PR",OR(TB_Radiologia2[[#This Row],[TIPO DE OFERTA]]="PRESENCIAL",TB_Radiologia2[[#This Row],[TIPO DE OFERTA]]="SEMI-PRESENCIAL")),TB_Radiologia2[[#This Row],[CH TEÓRICA]]+TB_Radiologia2[[#This Row],[CH PRÁTICA]],AND(TB_Radiologia2[[#This Row],[TIPIFICAÇÃO]]="HB",TB_Radiologia2[[#This Row],[TIPO DE OFERTA]]="PRESENCIAL"),TB_Radiologia2[[#This Row],[CH TEÓRICA]]+TB_Radiologia2[[#This Row],[CH PRÁTICA]],AND(TB_Radiologia2[[#This Row],[TIPIFICAÇÃO]]="EXT",OR(TB_Radiologia2[[#This Row],[TIPO DE OFERTA]]="PRESENCIAL",TB_Radiologia2[[#This Row],[TIPO DE OFERTA]]="SEMI-PRESENCIAL")),33,AND(TB_Radiologia2[[#This Row],[TIPIFICAÇÃO]]="TCC",TB_Radiologia2[[#This Row],[TIPO DE OFERTA]]="PRESENCIAL"),SUM(TB_Radiologia2[[#This Row],[CH TEÓRICA]],TB_Radiologia2[[#This Row],[CH PRÁTICA]]))/Cursos!$E$3,0),0)</f>
        <v>4</v>
      </c>
      <c r="W37" s="10">
        <f>IF(TB_Radiologia2[[#This Row],[TIPIFICAÇÃO]]="ON.S",ROUNDUP(TB_Radiologia2[[#This Row],[CH TEÓRICA]]/Cursos!$E$3,0),0)</f>
        <v>0</v>
      </c>
      <c r="X37" s="42" cm="1">
        <f t="array" ref="X37">IFERROR(_xlfn.IFS(TB_Radiologia2[[#This Row],[TIPIFICAÇÃO]]="ON.A",1,TB_Radiologia2[[#This Row],[TIPIFICAÇÃO]]="PR",0,TB_Radiologia2[[#This Row],[TIPIFICAÇÃO]]="HB",0,AND(TB_Radiologia2[[#This Row],[TIPIFICAÇÃO]]="EXT",OR(TB_Radiologia2[[#This Row],[TIPO DE OFERTA]]="SEMI-PRESENCIAL",TB_Radiologia2[[#This Row],[TIPO DE OFERTA]]="EAD 100%")),1),0)</f>
        <v>0</v>
      </c>
      <c r="Y37" s="42" cm="1">
        <f t="array" ref="Y37">ROUNDUP(IFERROR(_xlfn.IFS(TB_Radiologia2[[#This Row],[TIPIFICAÇÃO]]="ON.A",0,TB_Radiologia2[[#This Row],[TIPIFICAÇÃO]]="PR",0,TB_Radiologia2[[#This Row],[TIPIFICAÇÃO]]="HB",TB_Radiologia2[[#This Row],[CH ONLINE]],TB_Radiologia2[[#This Row],[TIPIFICAÇÃO]]="ON.S",0,AND(TB_Radiologia2[[#This Row],[TIPIFICAÇÃO]]="EXT",TB_Radiologia2[[#This Row],[TIPO DE OFERTA]]="PRESENCIAL"),TB_Radiologia2[[#This Row],[CRÉDITOS]]-TB_Radiologia2[[#This Row],[CRÉDITOS PAGO PROFESSOR]])/Cursos!$E$3,0),0)</f>
        <v>0</v>
      </c>
      <c r="Z37" s="13" t="s">
        <v>77</v>
      </c>
      <c r="AA37" s="10"/>
      <c r="AB37" s="10"/>
      <c r="AC37" s="10"/>
      <c r="AD37" s="10"/>
      <c r="AE37" s="10"/>
    </row>
    <row r="38" spans="2:31" x14ac:dyDescent="0.25">
      <c r="B38" s="7" t="str">
        <f t="shared" si="0"/>
        <v>RADIOLOGIA</v>
      </c>
      <c r="C38" s="42" t="s">
        <v>140</v>
      </c>
      <c r="D38" s="46">
        <v>2</v>
      </c>
      <c r="E38" s="79" t="s">
        <v>143</v>
      </c>
      <c r="F38" s="45" t="s">
        <v>144</v>
      </c>
      <c r="G38" s="80">
        <f>SUM(TB_Radiologia2[[#This Row],[CH TEÓRICA]:[CH ONLINE]])</f>
        <v>66</v>
      </c>
      <c r="H38" s="79" t="s">
        <v>80</v>
      </c>
      <c r="I38" s="46">
        <v>33</v>
      </c>
      <c r="J38" s="46">
        <v>33</v>
      </c>
      <c r="K38" s="46">
        <v>0</v>
      </c>
      <c r="L38" s="46">
        <v>0</v>
      </c>
      <c r="M38" s="46">
        <v>0</v>
      </c>
      <c r="N38" s="46" t="s">
        <v>8</v>
      </c>
      <c r="O38" s="42">
        <f>ROUNDUP(TB_Radiologia2[[#This Row],[CH TOTAL]]/Cursos!$E$3,0)</f>
        <v>4</v>
      </c>
      <c r="P38" s="52" cm="1">
        <f t="array" ref="P38">IF(AND(TB_Radiologia2[[#This Row],[TIPIFICAÇÃO]]="TCC",TB_Radiologia2[[#This Row],[TIPO DE OFERTA]]="PRESENCIAL"),SUM(TB_Radiologia2[[#This Row],[CH TEÓRICA]:[CH PRÁTICA]]/66),IF(TB_Radiologia2[[#This Row],[TIPIFICAÇÃO]]="EST",1,IF(AND(IF(OR(TB_Radiologia2[[#This Row],[TIPIFICAÇÃO]]="HB",TB_Radiologia2[[#This Row],[TIPIFICAÇÃO]]="PR"),SUM(TB_Radiologia2[[#This Row],[CH TEÓRICA]:[CH PRÁTICA]])/66,IF(TB_Radiologia2[[#This Row],[TIPIFICAÇÃO]]="EXT",0.5,0))&gt;0.6,IF(OR(TB_Radiologia2[[#This Row],[TIPIFICAÇÃO]]="HB",TB_Radiologia2[[#This Row],[TIPIFICAÇÃO]]="PR"),SUM(TB_Radiologia2[[#This Row],[CH TEÓRICA]:[CH PRÁTICA]])/66,IF(TB_Radiologia2[[#This Row],[TIPIFICAÇÃO]]="EXT",0.5,0))&lt;0.8),1,IF(OR(TB_Radiologia2[[#This Row],[TIPIFICAÇÃO]]="HB",TB_Radiologia2[[#This Row],[TIPIFICAÇÃO]]="PR"),SUM(TB_Radiologia2[[#This Row],[CH TEÓRICA]:[CH PRÁTICA]])/66,IF(TB_Radiologia2[[#This Row],[TIPIFICAÇÃO]]="EXT",0.5,0)))))</f>
        <v>1</v>
      </c>
      <c r="Q38" s="44"/>
      <c r="R38" s="12" t="s">
        <v>68</v>
      </c>
      <c r="S38" s="12"/>
      <c r="T38" s="12"/>
      <c r="U38" s="12"/>
      <c r="V38" s="10" cm="1">
        <f t="array" ref="V38">ROUNDUP(IFERROR(_xlfn.IFS(TB_Radiologia2[[#This Row],[TIPIFICAÇÃO]]="ON.A",0,AND(TB_Radiologia2[[#This Row],[TIPIFICAÇÃO]]="EST",TB_Radiologia2[[#This Row],[TIPO DE OFERTA]]="PRESENCIAL"),0,AND(TB_Radiologia2[[#This Row],[TIPIFICAÇÃO]]="PR",OR(TB_Radiologia2[[#This Row],[TIPO DE OFERTA]]="PRESENCIAL",TB_Radiologia2[[#This Row],[TIPO DE OFERTA]]="SEMI-PRESENCIAL")),TB_Radiologia2[[#This Row],[CH TEÓRICA]]+TB_Radiologia2[[#This Row],[CH PRÁTICA]],AND(TB_Radiologia2[[#This Row],[TIPIFICAÇÃO]]="HB",TB_Radiologia2[[#This Row],[TIPO DE OFERTA]]="PRESENCIAL"),TB_Radiologia2[[#This Row],[CH TEÓRICA]]+TB_Radiologia2[[#This Row],[CH PRÁTICA]],AND(TB_Radiologia2[[#This Row],[TIPIFICAÇÃO]]="EXT",OR(TB_Radiologia2[[#This Row],[TIPO DE OFERTA]]="PRESENCIAL",TB_Radiologia2[[#This Row],[TIPO DE OFERTA]]="SEMI-PRESENCIAL")),33,AND(TB_Radiologia2[[#This Row],[TIPIFICAÇÃO]]="TCC",TB_Radiologia2[[#This Row],[TIPO DE OFERTA]]="PRESENCIAL"),SUM(TB_Radiologia2[[#This Row],[CH TEÓRICA]],TB_Radiologia2[[#This Row],[CH PRÁTICA]]))/Cursos!$E$3,0),0)</f>
        <v>4</v>
      </c>
      <c r="W38" s="10">
        <f>IF(TB_Radiologia2[[#This Row],[TIPIFICAÇÃO]]="ON.S",ROUNDUP(TB_Radiologia2[[#This Row],[CH TEÓRICA]]/Cursos!$E$3,0),0)</f>
        <v>0</v>
      </c>
      <c r="X38" s="42" cm="1">
        <f t="array" ref="X38">IFERROR(_xlfn.IFS(TB_Radiologia2[[#This Row],[TIPIFICAÇÃO]]="ON.A",1,TB_Radiologia2[[#This Row],[TIPIFICAÇÃO]]="PR",0,TB_Radiologia2[[#This Row],[TIPIFICAÇÃO]]="HB",0,AND(TB_Radiologia2[[#This Row],[TIPIFICAÇÃO]]="EXT",OR(TB_Radiologia2[[#This Row],[TIPO DE OFERTA]]="SEMI-PRESENCIAL",TB_Radiologia2[[#This Row],[TIPO DE OFERTA]]="EAD 100%")),1),0)</f>
        <v>0</v>
      </c>
      <c r="Y38" s="42" cm="1">
        <f t="array" ref="Y38">ROUNDUP(IFERROR(_xlfn.IFS(TB_Radiologia2[[#This Row],[TIPIFICAÇÃO]]="ON.A",0,TB_Radiologia2[[#This Row],[TIPIFICAÇÃO]]="PR",0,TB_Radiologia2[[#This Row],[TIPIFICAÇÃO]]="HB",TB_Radiologia2[[#This Row],[CH ONLINE]],TB_Radiologia2[[#This Row],[TIPIFICAÇÃO]]="ON.S",0,AND(TB_Radiologia2[[#This Row],[TIPIFICAÇÃO]]="EXT",TB_Radiologia2[[#This Row],[TIPO DE OFERTA]]="PRESENCIAL"),TB_Radiologia2[[#This Row],[CRÉDITOS]]-TB_Radiologia2[[#This Row],[CRÉDITOS PAGO PROFESSOR]])/Cursos!$E$3,0),0)</f>
        <v>0</v>
      </c>
      <c r="Z38" s="13" t="s">
        <v>77</v>
      </c>
      <c r="AA38" s="10"/>
      <c r="AB38" s="10"/>
      <c r="AC38" s="10"/>
      <c r="AD38" s="10"/>
      <c r="AE38" s="10"/>
    </row>
    <row r="39" spans="2:31" x14ac:dyDescent="0.25">
      <c r="B39" s="7" t="str">
        <f t="shared" si="0"/>
        <v>RADIOLOGIA</v>
      </c>
      <c r="C39" s="42" t="s">
        <v>140</v>
      </c>
      <c r="D39" s="46">
        <v>3</v>
      </c>
      <c r="E39" s="79" t="s">
        <v>145</v>
      </c>
      <c r="F39" s="45" t="s">
        <v>146</v>
      </c>
      <c r="G39" s="80">
        <f>SUM(TB_Radiologia2[[#This Row],[CH TEÓRICA]:[CH ONLINE]])</f>
        <v>49</v>
      </c>
      <c r="H39" s="79" t="s">
        <v>80</v>
      </c>
      <c r="I39" s="46">
        <v>33</v>
      </c>
      <c r="J39" s="46">
        <v>16</v>
      </c>
      <c r="K39" s="46">
        <v>0</v>
      </c>
      <c r="L39" s="46">
        <v>0</v>
      </c>
      <c r="M39" s="46">
        <v>0</v>
      </c>
      <c r="N39" s="46" t="s">
        <v>8</v>
      </c>
      <c r="O39" s="42">
        <f>ROUNDUP(TB_Radiologia2[[#This Row],[CH TOTAL]]/Cursos!$E$3,0)</f>
        <v>3</v>
      </c>
      <c r="P39" s="52" cm="1">
        <f t="array" ref="P39">IF(AND(TB_Radiologia2[[#This Row],[TIPIFICAÇÃO]]="TCC",TB_Radiologia2[[#This Row],[TIPO DE OFERTA]]="PRESENCIAL"),SUM(TB_Radiologia2[[#This Row],[CH TEÓRICA]:[CH PRÁTICA]]/66),IF(TB_Radiologia2[[#This Row],[TIPIFICAÇÃO]]="EST",1,IF(AND(IF(OR(TB_Radiologia2[[#This Row],[TIPIFICAÇÃO]]="HB",TB_Radiologia2[[#This Row],[TIPIFICAÇÃO]]="PR"),SUM(TB_Radiologia2[[#This Row],[CH TEÓRICA]:[CH PRÁTICA]])/66,IF(TB_Radiologia2[[#This Row],[TIPIFICAÇÃO]]="EXT",0.5,0))&gt;0.6,IF(OR(TB_Radiologia2[[#This Row],[TIPIFICAÇÃO]]="HB",TB_Radiologia2[[#This Row],[TIPIFICAÇÃO]]="PR"),SUM(TB_Radiologia2[[#This Row],[CH TEÓRICA]:[CH PRÁTICA]])/66,IF(TB_Radiologia2[[#This Row],[TIPIFICAÇÃO]]="EXT",0.5,0))&lt;0.8),1,IF(OR(TB_Radiologia2[[#This Row],[TIPIFICAÇÃO]]="HB",TB_Radiologia2[[#This Row],[TIPIFICAÇÃO]]="PR"),SUM(TB_Radiologia2[[#This Row],[CH TEÓRICA]:[CH PRÁTICA]])/66,IF(TB_Radiologia2[[#This Row],[TIPIFICAÇÃO]]="EXT",0.5,0)))))</f>
        <v>1</v>
      </c>
      <c r="Q39" s="44"/>
      <c r="R39" s="12" t="s">
        <v>68</v>
      </c>
      <c r="S39" s="12"/>
      <c r="T39" s="12"/>
      <c r="U39" s="12"/>
      <c r="V39" s="10" cm="1">
        <f t="array" ref="V39">ROUNDUP(IFERROR(_xlfn.IFS(TB_Radiologia2[[#This Row],[TIPIFICAÇÃO]]="ON.A",0,AND(TB_Radiologia2[[#This Row],[TIPIFICAÇÃO]]="EST",TB_Radiologia2[[#This Row],[TIPO DE OFERTA]]="PRESENCIAL"),0,AND(TB_Radiologia2[[#This Row],[TIPIFICAÇÃO]]="PR",OR(TB_Radiologia2[[#This Row],[TIPO DE OFERTA]]="PRESENCIAL",TB_Radiologia2[[#This Row],[TIPO DE OFERTA]]="SEMI-PRESENCIAL")),TB_Radiologia2[[#This Row],[CH TEÓRICA]]+TB_Radiologia2[[#This Row],[CH PRÁTICA]],AND(TB_Radiologia2[[#This Row],[TIPIFICAÇÃO]]="HB",TB_Radiologia2[[#This Row],[TIPO DE OFERTA]]="PRESENCIAL"),TB_Radiologia2[[#This Row],[CH TEÓRICA]]+TB_Radiologia2[[#This Row],[CH PRÁTICA]],AND(TB_Radiologia2[[#This Row],[TIPIFICAÇÃO]]="EXT",OR(TB_Radiologia2[[#This Row],[TIPO DE OFERTA]]="PRESENCIAL",TB_Radiologia2[[#This Row],[TIPO DE OFERTA]]="SEMI-PRESENCIAL")),33,AND(TB_Radiologia2[[#This Row],[TIPIFICAÇÃO]]="TCC",TB_Radiologia2[[#This Row],[TIPO DE OFERTA]]="PRESENCIAL"),SUM(TB_Radiologia2[[#This Row],[CH TEÓRICA]],TB_Radiologia2[[#This Row],[CH PRÁTICA]]))/Cursos!$E$3,0),0)</f>
        <v>3</v>
      </c>
      <c r="W39" s="10">
        <f>IF(TB_Radiologia2[[#This Row],[TIPIFICAÇÃO]]="ON.S",ROUNDUP(TB_Radiologia2[[#This Row],[CH TEÓRICA]]/Cursos!$E$3,0),0)</f>
        <v>0</v>
      </c>
      <c r="X39" s="42" cm="1">
        <f t="array" ref="X39">IFERROR(_xlfn.IFS(TB_Radiologia2[[#This Row],[TIPIFICAÇÃO]]="ON.A",1,TB_Radiologia2[[#This Row],[TIPIFICAÇÃO]]="PR",0,TB_Radiologia2[[#This Row],[TIPIFICAÇÃO]]="HB",0,AND(TB_Radiologia2[[#This Row],[TIPIFICAÇÃO]]="EXT",OR(TB_Radiologia2[[#This Row],[TIPO DE OFERTA]]="SEMI-PRESENCIAL",TB_Radiologia2[[#This Row],[TIPO DE OFERTA]]="EAD 100%")),1),0)</f>
        <v>0</v>
      </c>
      <c r="Y39" s="42" cm="1">
        <f t="array" ref="Y39">ROUNDUP(IFERROR(_xlfn.IFS(TB_Radiologia2[[#This Row],[TIPIFICAÇÃO]]="ON.A",0,TB_Radiologia2[[#This Row],[TIPIFICAÇÃO]]="PR",0,TB_Radiologia2[[#This Row],[TIPIFICAÇÃO]]="HB",TB_Radiologia2[[#This Row],[CH ONLINE]],TB_Radiologia2[[#This Row],[TIPIFICAÇÃO]]="ON.S",0,AND(TB_Radiologia2[[#This Row],[TIPIFICAÇÃO]]="EXT",TB_Radiologia2[[#This Row],[TIPO DE OFERTA]]="PRESENCIAL"),TB_Radiologia2[[#This Row],[CRÉDITOS]]-TB_Radiologia2[[#This Row],[CRÉDITOS PAGO PROFESSOR]])/Cursos!$E$3,0),0)</f>
        <v>0</v>
      </c>
      <c r="Z39" s="13" t="s">
        <v>77</v>
      </c>
      <c r="AA39" s="10"/>
      <c r="AB39" s="10"/>
      <c r="AC39" s="10"/>
      <c r="AD39" s="10"/>
      <c r="AE39" s="10"/>
    </row>
    <row r="40" spans="2:31" x14ac:dyDescent="0.25">
      <c r="B40" s="7" t="str">
        <f t="shared" si="0"/>
        <v>RADIOLOGIA</v>
      </c>
      <c r="C40" s="42" t="s">
        <v>140</v>
      </c>
      <c r="D40" s="46">
        <v>4</v>
      </c>
      <c r="E40" s="79" t="s">
        <v>147</v>
      </c>
      <c r="F40" s="45" t="s">
        <v>127</v>
      </c>
      <c r="G40" s="80">
        <f>SUM(TB_Radiologia2[[#This Row],[CH TEÓRICA]:[CH ONLINE]])</f>
        <v>49</v>
      </c>
      <c r="H40" s="79" t="s">
        <v>80</v>
      </c>
      <c r="I40" s="46">
        <v>49</v>
      </c>
      <c r="J40" s="46">
        <v>0</v>
      </c>
      <c r="K40" s="46">
        <v>0</v>
      </c>
      <c r="L40" s="46">
        <v>0</v>
      </c>
      <c r="M40" s="46">
        <v>0</v>
      </c>
      <c r="N40" s="46" t="s">
        <v>8</v>
      </c>
      <c r="O40" s="42">
        <f>ROUNDUP(TB_Radiologia2[[#This Row],[CH TOTAL]]/Cursos!$E$3,0)</f>
        <v>3</v>
      </c>
      <c r="P40" s="52" cm="1">
        <f t="array" ref="P40">IF(AND(TB_Radiologia2[[#This Row],[TIPIFICAÇÃO]]="TCC",TB_Radiologia2[[#This Row],[TIPO DE OFERTA]]="PRESENCIAL"),SUM(TB_Radiologia2[[#This Row],[CH TEÓRICA]:[CH PRÁTICA]]/66),IF(TB_Radiologia2[[#This Row],[TIPIFICAÇÃO]]="EST",1,IF(AND(IF(OR(TB_Radiologia2[[#This Row],[TIPIFICAÇÃO]]="HB",TB_Radiologia2[[#This Row],[TIPIFICAÇÃO]]="PR"),SUM(TB_Radiologia2[[#This Row],[CH TEÓRICA]:[CH PRÁTICA]])/66,IF(TB_Radiologia2[[#This Row],[TIPIFICAÇÃO]]="EXT",0.5,0))&gt;0.6,IF(OR(TB_Radiologia2[[#This Row],[TIPIFICAÇÃO]]="HB",TB_Radiologia2[[#This Row],[TIPIFICAÇÃO]]="PR"),SUM(TB_Radiologia2[[#This Row],[CH TEÓRICA]:[CH PRÁTICA]])/66,IF(TB_Radiologia2[[#This Row],[TIPIFICAÇÃO]]="EXT",0.5,0))&lt;0.8),1,IF(OR(TB_Radiologia2[[#This Row],[TIPIFICAÇÃO]]="HB",TB_Radiologia2[[#This Row],[TIPIFICAÇÃO]]="PR"),SUM(TB_Radiologia2[[#This Row],[CH TEÓRICA]:[CH PRÁTICA]])/66,IF(TB_Radiologia2[[#This Row],[TIPIFICAÇÃO]]="EXT",0.5,0)))))</f>
        <v>1</v>
      </c>
      <c r="Q40" s="44"/>
      <c r="R40" s="12" t="s">
        <v>68</v>
      </c>
      <c r="S40" s="12"/>
      <c r="T40" s="12"/>
      <c r="U40" s="12"/>
      <c r="V40" s="10" cm="1">
        <f t="array" ref="V40">ROUNDUP(IFERROR(_xlfn.IFS(TB_Radiologia2[[#This Row],[TIPIFICAÇÃO]]="ON.A",0,AND(TB_Radiologia2[[#This Row],[TIPIFICAÇÃO]]="EST",TB_Radiologia2[[#This Row],[TIPO DE OFERTA]]="PRESENCIAL"),0,AND(TB_Radiologia2[[#This Row],[TIPIFICAÇÃO]]="PR",OR(TB_Radiologia2[[#This Row],[TIPO DE OFERTA]]="PRESENCIAL",TB_Radiologia2[[#This Row],[TIPO DE OFERTA]]="SEMI-PRESENCIAL")),TB_Radiologia2[[#This Row],[CH TEÓRICA]]+TB_Radiologia2[[#This Row],[CH PRÁTICA]],AND(TB_Radiologia2[[#This Row],[TIPIFICAÇÃO]]="HB",TB_Radiologia2[[#This Row],[TIPO DE OFERTA]]="PRESENCIAL"),TB_Radiologia2[[#This Row],[CH TEÓRICA]]+TB_Radiologia2[[#This Row],[CH PRÁTICA]],AND(TB_Radiologia2[[#This Row],[TIPIFICAÇÃO]]="EXT",OR(TB_Radiologia2[[#This Row],[TIPO DE OFERTA]]="PRESENCIAL",TB_Radiologia2[[#This Row],[TIPO DE OFERTA]]="SEMI-PRESENCIAL")),33,AND(TB_Radiologia2[[#This Row],[TIPIFICAÇÃO]]="TCC",TB_Radiologia2[[#This Row],[TIPO DE OFERTA]]="PRESENCIAL"),SUM(TB_Radiologia2[[#This Row],[CH TEÓRICA]],TB_Radiologia2[[#This Row],[CH PRÁTICA]]))/Cursos!$E$3,0),0)</f>
        <v>3</v>
      </c>
      <c r="W40" s="10">
        <f>IF(TB_Radiologia2[[#This Row],[TIPIFICAÇÃO]]="ON.S",ROUNDUP(TB_Radiologia2[[#This Row],[CH TEÓRICA]]/Cursos!$E$3,0),0)</f>
        <v>0</v>
      </c>
      <c r="X40" s="42" cm="1">
        <f t="array" ref="X40">IFERROR(_xlfn.IFS(TB_Radiologia2[[#This Row],[TIPIFICAÇÃO]]="ON.A",1,TB_Radiologia2[[#This Row],[TIPIFICAÇÃO]]="PR",0,TB_Radiologia2[[#This Row],[TIPIFICAÇÃO]]="HB",0,AND(TB_Radiologia2[[#This Row],[TIPIFICAÇÃO]]="EXT",OR(TB_Radiologia2[[#This Row],[TIPO DE OFERTA]]="SEMI-PRESENCIAL",TB_Radiologia2[[#This Row],[TIPO DE OFERTA]]="EAD 100%")),1),0)</f>
        <v>0</v>
      </c>
      <c r="Y40" s="42" cm="1">
        <f t="array" ref="Y40">ROUNDUP(IFERROR(_xlfn.IFS(TB_Radiologia2[[#This Row],[TIPIFICAÇÃO]]="ON.A",0,TB_Radiologia2[[#This Row],[TIPIFICAÇÃO]]="PR",0,TB_Radiologia2[[#This Row],[TIPIFICAÇÃO]]="HB",TB_Radiologia2[[#This Row],[CH ONLINE]],TB_Radiologia2[[#This Row],[TIPIFICAÇÃO]]="ON.S",0,AND(TB_Radiologia2[[#This Row],[TIPIFICAÇÃO]]="EXT",TB_Radiologia2[[#This Row],[TIPO DE OFERTA]]="PRESENCIAL"),TB_Radiologia2[[#This Row],[CRÉDITOS]]-TB_Radiologia2[[#This Row],[CRÉDITOS PAGO PROFESSOR]])/Cursos!$E$3,0),0)</f>
        <v>0</v>
      </c>
      <c r="Z40" s="13" t="s">
        <v>77</v>
      </c>
      <c r="AA40" s="10"/>
      <c r="AB40" s="10"/>
      <c r="AC40" s="10"/>
      <c r="AD40" s="10"/>
      <c r="AE40" s="10"/>
    </row>
    <row r="41" spans="2:31" x14ac:dyDescent="0.25">
      <c r="B41" s="7" t="str">
        <f t="shared" si="0"/>
        <v>RADIOLOGIA</v>
      </c>
      <c r="C41" s="42" t="s">
        <v>140</v>
      </c>
      <c r="D41" s="46">
        <v>5</v>
      </c>
      <c r="E41" s="79" t="s">
        <v>148</v>
      </c>
      <c r="F41" s="45" t="s">
        <v>149</v>
      </c>
      <c r="G41" s="80">
        <f>SUM(TB_Radiologia2[[#This Row],[CH TEÓRICA]:[CH ONLINE]])</f>
        <v>244</v>
      </c>
      <c r="H41" s="79" t="s">
        <v>44</v>
      </c>
      <c r="I41" s="46">
        <v>0</v>
      </c>
      <c r="J41" s="46">
        <v>0</v>
      </c>
      <c r="K41" s="46">
        <v>244</v>
      </c>
      <c r="L41" s="46">
        <v>0</v>
      </c>
      <c r="M41" s="46">
        <v>0</v>
      </c>
      <c r="N41" s="46" t="s">
        <v>14</v>
      </c>
      <c r="O41" s="42">
        <f>ROUNDUP(TB_Radiologia2[[#This Row],[CH TOTAL]]/Cursos!$E$3,0)</f>
        <v>15</v>
      </c>
      <c r="P41" s="52" cm="1">
        <f t="array" ref="P41">IF(AND(TB_Radiologia2[[#This Row],[TIPIFICAÇÃO]]="TCC",TB_Radiologia2[[#This Row],[TIPO DE OFERTA]]="PRESENCIAL"),SUM(TB_Radiologia2[[#This Row],[CH TEÓRICA]:[CH PRÁTICA]]/66),IF(TB_Radiologia2[[#This Row],[TIPIFICAÇÃO]]="EST",1,IF(AND(IF(OR(TB_Radiologia2[[#This Row],[TIPIFICAÇÃO]]="HB",TB_Radiologia2[[#This Row],[TIPIFICAÇÃO]]="PR"),SUM(TB_Radiologia2[[#This Row],[CH TEÓRICA]:[CH PRÁTICA]])/66,IF(TB_Radiologia2[[#This Row],[TIPIFICAÇÃO]]="EXT",0.5,0))&gt;0.6,IF(OR(TB_Radiologia2[[#This Row],[TIPIFICAÇÃO]]="HB",TB_Radiologia2[[#This Row],[TIPIFICAÇÃO]]="PR"),SUM(TB_Radiologia2[[#This Row],[CH TEÓRICA]:[CH PRÁTICA]])/66,IF(TB_Radiologia2[[#This Row],[TIPIFICAÇÃO]]="EXT",0.5,0))&lt;0.8),1,IF(OR(TB_Radiologia2[[#This Row],[TIPIFICAÇÃO]]="HB",TB_Radiologia2[[#This Row],[TIPIFICAÇÃO]]="PR"),SUM(TB_Radiologia2[[#This Row],[CH TEÓRICA]:[CH PRÁTICA]])/66,IF(TB_Radiologia2[[#This Row],[TIPIFICAÇÃO]]="EXT",0.5,0)))))</f>
        <v>1</v>
      </c>
      <c r="Q41" s="44"/>
      <c r="R41" s="12" t="s">
        <v>68</v>
      </c>
      <c r="S41" s="12"/>
      <c r="T41" s="12"/>
      <c r="U41" s="12"/>
      <c r="V41" s="10" cm="1">
        <f t="array" ref="V41">ROUNDUP(IFERROR(_xlfn.IFS(TB_Radiologia2[[#This Row],[TIPIFICAÇÃO]]="ON.A",0,AND(TB_Radiologia2[[#This Row],[TIPIFICAÇÃO]]="EST",TB_Radiologia2[[#This Row],[TIPO DE OFERTA]]="PRESENCIAL"),0,AND(TB_Radiologia2[[#This Row],[TIPIFICAÇÃO]]="PR",OR(TB_Radiologia2[[#This Row],[TIPO DE OFERTA]]="PRESENCIAL",TB_Radiologia2[[#This Row],[TIPO DE OFERTA]]="SEMI-PRESENCIAL")),TB_Radiologia2[[#This Row],[CH TEÓRICA]]+TB_Radiologia2[[#This Row],[CH PRÁTICA]],AND(TB_Radiologia2[[#This Row],[TIPIFICAÇÃO]]="HB",TB_Radiologia2[[#This Row],[TIPO DE OFERTA]]="PRESENCIAL"),TB_Radiologia2[[#This Row],[CH TEÓRICA]]+TB_Radiologia2[[#This Row],[CH PRÁTICA]],AND(TB_Radiologia2[[#This Row],[TIPIFICAÇÃO]]="EXT",OR(TB_Radiologia2[[#This Row],[TIPO DE OFERTA]]="PRESENCIAL",TB_Radiologia2[[#This Row],[TIPO DE OFERTA]]="SEMI-PRESENCIAL")),33,AND(TB_Radiologia2[[#This Row],[TIPIFICAÇÃO]]="TCC",TB_Radiologia2[[#This Row],[TIPO DE OFERTA]]="PRESENCIAL"),SUM(TB_Radiologia2[[#This Row],[CH TEÓRICA]],TB_Radiologia2[[#This Row],[CH PRÁTICA]]))/Cursos!$E$3,0),0)</f>
        <v>0</v>
      </c>
      <c r="W41" s="10">
        <f>IF(TB_Radiologia2[[#This Row],[TIPIFICAÇÃO]]="ON.S",ROUNDUP(TB_Radiologia2[[#This Row],[CH TEÓRICA]]/Cursos!$E$3,0),0)</f>
        <v>0</v>
      </c>
      <c r="X41" s="42" cm="1">
        <f t="array" ref="X41">IFERROR(_xlfn.IFS(TB_Radiologia2[[#This Row],[TIPIFICAÇÃO]]="ON.A",1,TB_Radiologia2[[#This Row],[TIPIFICAÇÃO]]="PR",0,TB_Radiologia2[[#This Row],[TIPIFICAÇÃO]]="HB",0,AND(TB_Radiologia2[[#This Row],[TIPIFICAÇÃO]]="EXT",OR(TB_Radiologia2[[#This Row],[TIPO DE OFERTA]]="SEMI-PRESENCIAL",TB_Radiologia2[[#This Row],[TIPO DE OFERTA]]="EAD 100%")),1),0)</f>
        <v>0</v>
      </c>
      <c r="Y41" s="42" cm="1">
        <f t="array" ref="Y41">ROUNDUP(IFERROR(_xlfn.IFS(TB_Radiologia2[[#This Row],[TIPIFICAÇÃO]]="ON.A",0,TB_Radiologia2[[#This Row],[TIPIFICAÇÃO]]="PR",0,TB_Radiologia2[[#This Row],[TIPIFICAÇÃO]]="HB",TB_Radiologia2[[#This Row],[CH ONLINE]],TB_Radiologia2[[#This Row],[TIPIFICAÇÃO]]="ON.S",0,AND(TB_Radiologia2[[#This Row],[TIPIFICAÇÃO]]="EXT",TB_Radiologia2[[#This Row],[TIPO DE OFERTA]]="PRESENCIAL"),TB_Radiologia2[[#This Row],[CRÉDITOS]]-TB_Radiologia2[[#This Row],[CRÉDITOS PAGO PROFESSOR]])/Cursos!$E$3,0),0)</f>
        <v>0</v>
      </c>
      <c r="Z41" s="13" t="s">
        <v>77</v>
      </c>
      <c r="AA41" s="10"/>
      <c r="AB41" s="10"/>
      <c r="AC41" s="10"/>
      <c r="AD41" s="10"/>
      <c r="AE41" s="10"/>
    </row>
    <row r="42" spans="2:31" x14ac:dyDescent="0.25">
      <c r="B42" s="7" t="str">
        <f t="shared" si="0"/>
        <v>RADIOLOGIA</v>
      </c>
      <c r="C42" s="42" t="s">
        <v>150</v>
      </c>
      <c r="D42" s="46">
        <v>1</v>
      </c>
      <c r="E42" s="79" t="s">
        <v>151</v>
      </c>
      <c r="F42" s="45" t="s">
        <v>152</v>
      </c>
      <c r="G42" s="80">
        <f>SUM(TB_Radiologia2[[#This Row],[CH TEÓRICA]:[CH ONLINE]])</f>
        <v>66</v>
      </c>
      <c r="H42" s="85" t="s">
        <v>80</v>
      </c>
      <c r="I42" s="46">
        <v>66</v>
      </c>
      <c r="J42" s="46">
        <v>0</v>
      </c>
      <c r="K42" s="46">
        <v>0</v>
      </c>
      <c r="L42" s="46">
        <v>0</v>
      </c>
      <c r="M42" s="46">
        <v>0</v>
      </c>
      <c r="N42" s="46" t="s">
        <v>8</v>
      </c>
      <c r="O42" s="42">
        <f>ROUNDUP(TB_Radiologia2[[#This Row],[CH TOTAL]]/Cursos!$E$3,0)</f>
        <v>4</v>
      </c>
      <c r="P42" s="52" cm="1">
        <f t="array" ref="P42">IF(AND(TB_Radiologia2[[#This Row],[TIPIFICAÇÃO]]="TCC",TB_Radiologia2[[#This Row],[TIPO DE OFERTA]]="PRESENCIAL"),SUM(TB_Radiologia2[[#This Row],[CH TEÓRICA]:[CH PRÁTICA]]/66),IF(TB_Radiologia2[[#This Row],[TIPIFICAÇÃO]]="EST",1,IF(AND(IF(OR(TB_Radiologia2[[#This Row],[TIPIFICAÇÃO]]="HB",TB_Radiologia2[[#This Row],[TIPIFICAÇÃO]]="PR"),SUM(TB_Radiologia2[[#This Row],[CH TEÓRICA]:[CH PRÁTICA]])/66,IF(TB_Radiologia2[[#This Row],[TIPIFICAÇÃO]]="EXT",0.5,0))&gt;0.6,IF(OR(TB_Radiologia2[[#This Row],[TIPIFICAÇÃO]]="HB",TB_Radiologia2[[#This Row],[TIPIFICAÇÃO]]="PR"),SUM(TB_Radiologia2[[#This Row],[CH TEÓRICA]:[CH PRÁTICA]])/66,IF(TB_Radiologia2[[#This Row],[TIPIFICAÇÃO]]="EXT",0.5,0))&lt;0.8),1,IF(OR(TB_Radiologia2[[#This Row],[TIPIFICAÇÃO]]="HB",TB_Radiologia2[[#This Row],[TIPIFICAÇÃO]]="PR"),SUM(TB_Radiologia2[[#This Row],[CH TEÓRICA]:[CH PRÁTICA]])/66,IF(TB_Radiologia2[[#This Row],[TIPIFICAÇÃO]]="EXT",0.5,0)))))</f>
        <v>1</v>
      </c>
      <c r="Q42" s="44"/>
      <c r="R42" s="12" t="s">
        <v>68</v>
      </c>
      <c r="S42" s="12"/>
      <c r="T42" s="12"/>
      <c r="U42" s="12"/>
      <c r="V42" s="10" cm="1">
        <f t="array" ref="V42">ROUNDUP(IFERROR(_xlfn.IFS(TB_Radiologia2[[#This Row],[TIPIFICAÇÃO]]="ON.A",0,AND(TB_Radiologia2[[#This Row],[TIPIFICAÇÃO]]="EST",TB_Radiologia2[[#This Row],[TIPO DE OFERTA]]="PRESENCIAL"),0,AND(TB_Radiologia2[[#This Row],[TIPIFICAÇÃO]]="PR",OR(TB_Radiologia2[[#This Row],[TIPO DE OFERTA]]="PRESENCIAL",TB_Radiologia2[[#This Row],[TIPO DE OFERTA]]="SEMI-PRESENCIAL")),TB_Radiologia2[[#This Row],[CH TEÓRICA]]+TB_Radiologia2[[#This Row],[CH PRÁTICA]],AND(TB_Radiologia2[[#This Row],[TIPIFICAÇÃO]]="HB",TB_Radiologia2[[#This Row],[TIPO DE OFERTA]]="PRESENCIAL"),TB_Radiologia2[[#This Row],[CH TEÓRICA]]+TB_Radiologia2[[#This Row],[CH PRÁTICA]],AND(TB_Radiologia2[[#This Row],[TIPIFICAÇÃO]]="EXT",OR(TB_Radiologia2[[#This Row],[TIPO DE OFERTA]]="PRESENCIAL",TB_Radiologia2[[#This Row],[TIPO DE OFERTA]]="SEMI-PRESENCIAL")),33,AND(TB_Radiologia2[[#This Row],[TIPIFICAÇÃO]]="TCC",TB_Radiologia2[[#This Row],[TIPO DE OFERTA]]="PRESENCIAL"),SUM(TB_Radiologia2[[#This Row],[CH TEÓRICA]],TB_Radiologia2[[#This Row],[CH PRÁTICA]]))/Cursos!$E$3,0),0)</f>
        <v>4</v>
      </c>
      <c r="W42" s="10">
        <f>IF(TB_Radiologia2[[#This Row],[TIPIFICAÇÃO]]="ON.S",ROUNDUP(TB_Radiologia2[[#This Row],[CH TEÓRICA]]/Cursos!$E$3,0),0)</f>
        <v>0</v>
      </c>
      <c r="X42" s="42" cm="1">
        <f t="array" ref="X42">IFERROR(_xlfn.IFS(TB_Radiologia2[[#This Row],[TIPIFICAÇÃO]]="ON.A",1,TB_Radiologia2[[#This Row],[TIPIFICAÇÃO]]="PR",0,TB_Radiologia2[[#This Row],[TIPIFICAÇÃO]]="HB",0,AND(TB_Radiologia2[[#This Row],[TIPIFICAÇÃO]]="EXT",OR(TB_Radiologia2[[#This Row],[TIPO DE OFERTA]]="SEMI-PRESENCIAL",TB_Radiologia2[[#This Row],[TIPO DE OFERTA]]="EAD 100%")),1),0)</f>
        <v>0</v>
      </c>
      <c r="Y42" s="42" cm="1">
        <f t="array" ref="Y42">ROUNDUP(IFERROR(_xlfn.IFS(TB_Radiologia2[[#This Row],[TIPIFICAÇÃO]]="ON.A",0,TB_Radiologia2[[#This Row],[TIPIFICAÇÃO]]="PR",0,TB_Radiologia2[[#This Row],[TIPIFICAÇÃO]]="HB",TB_Radiologia2[[#This Row],[CH ONLINE]],TB_Radiologia2[[#This Row],[TIPIFICAÇÃO]]="ON.S",0,AND(TB_Radiologia2[[#This Row],[TIPIFICAÇÃO]]="EXT",TB_Radiologia2[[#This Row],[TIPO DE OFERTA]]="PRESENCIAL"),TB_Radiologia2[[#This Row],[CRÉDITOS]]-TB_Radiologia2[[#This Row],[CRÉDITOS PAGO PROFESSOR]])/Cursos!$E$3,0),0)</f>
        <v>0</v>
      </c>
      <c r="Z42" s="13" t="s">
        <v>77</v>
      </c>
      <c r="AA42" s="10"/>
      <c r="AB42" s="10"/>
      <c r="AC42" s="10"/>
      <c r="AD42" s="10"/>
      <c r="AE42" s="10"/>
    </row>
    <row r="43" spans="2:31" x14ac:dyDescent="0.25">
      <c r="B43" s="7" t="str">
        <f t="shared" si="0"/>
        <v>RADIOLOGIA</v>
      </c>
      <c r="C43" s="42" t="s">
        <v>150</v>
      </c>
      <c r="D43" s="46">
        <v>2</v>
      </c>
      <c r="E43" s="79" t="s">
        <v>153</v>
      </c>
      <c r="F43" s="45" t="s">
        <v>154</v>
      </c>
      <c r="G43" s="80">
        <f>SUM(TB_Radiologia2[[#This Row],[CH TEÓRICA]:[CH ONLINE]])</f>
        <v>49</v>
      </c>
      <c r="H43" s="85" t="s">
        <v>80</v>
      </c>
      <c r="I43" s="46">
        <v>33</v>
      </c>
      <c r="J43" s="46">
        <v>16</v>
      </c>
      <c r="K43" s="46">
        <v>0</v>
      </c>
      <c r="L43" s="46">
        <v>0</v>
      </c>
      <c r="M43" s="46">
        <v>0</v>
      </c>
      <c r="N43" s="46" t="s">
        <v>8</v>
      </c>
      <c r="O43" s="42">
        <f>ROUNDUP(TB_Radiologia2[[#This Row],[CH TOTAL]]/Cursos!$E$3,0)</f>
        <v>3</v>
      </c>
      <c r="P43" s="52" cm="1">
        <f t="array" ref="P43">IF(AND(TB_Radiologia2[[#This Row],[TIPIFICAÇÃO]]="TCC",TB_Radiologia2[[#This Row],[TIPO DE OFERTA]]="PRESENCIAL"),SUM(TB_Radiologia2[[#This Row],[CH TEÓRICA]:[CH PRÁTICA]]/66),IF(TB_Radiologia2[[#This Row],[TIPIFICAÇÃO]]="EST",1,IF(AND(IF(OR(TB_Radiologia2[[#This Row],[TIPIFICAÇÃO]]="HB",TB_Radiologia2[[#This Row],[TIPIFICAÇÃO]]="PR"),SUM(TB_Radiologia2[[#This Row],[CH TEÓRICA]:[CH PRÁTICA]])/66,IF(TB_Radiologia2[[#This Row],[TIPIFICAÇÃO]]="EXT",0.5,0))&gt;0.6,IF(OR(TB_Radiologia2[[#This Row],[TIPIFICAÇÃO]]="HB",TB_Radiologia2[[#This Row],[TIPIFICAÇÃO]]="PR"),SUM(TB_Radiologia2[[#This Row],[CH TEÓRICA]:[CH PRÁTICA]])/66,IF(TB_Radiologia2[[#This Row],[TIPIFICAÇÃO]]="EXT",0.5,0))&lt;0.8),1,IF(OR(TB_Radiologia2[[#This Row],[TIPIFICAÇÃO]]="HB",TB_Radiologia2[[#This Row],[TIPIFICAÇÃO]]="PR"),SUM(TB_Radiologia2[[#This Row],[CH TEÓRICA]:[CH PRÁTICA]])/66,IF(TB_Radiologia2[[#This Row],[TIPIFICAÇÃO]]="EXT",0.5,0)))))</f>
        <v>1</v>
      </c>
      <c r="Q43" s="44"/>
      <c r="R43" s="12" t="s">
        <v>68</v>
      </c>
      <c r="S43" s="12"/>
      <c r="T43" s="12"/>
      <c r="U43" s="12"/>
      <c r="V43" s="10" cm="1">
        <f t="array" ref="V43">ROUNDUP(IFERROR(_xlfn.IFS(TB_Radiologia2[[#This Row],[TIPIFICAÇÃO]]="ON.A",0,AND(TB_Radiologia2[[#This Row],[TIPIFICAÇÃO]]="EST",TB_Radiologia2[[#This Row],[TIPO DE OFERTA]]="PRESENCIAL"),0,AND(TB_Radiologia2[[#This Row],[TIPIFICAÇÃO]]="PR",OR(TB_Radiologia2[[#This Row],[TIPO DE OFERTA]]="PRESENCIAL",TB_Radiologia2[[#This Row],[TIPO DE OFERTA]]="SEMI-PRESENCIAL")),TB_Radiologia2[[#This Row],[CH TEÓRICA]]+TB_Radiologia2[[#This Row],[CH PRÁTICA]],AND(TB_Radiologia2[[#This Row],[TIPIFICAÇÃO]]="HB",TB_Radiologia2[[#This Row],[TIPO DE OFERTA]]="PRESENCIAL"),TB_Radiologia2[[#This Row],[CH TEÓRICA]]+TB_Radiologia2[[#This Row],[CH PRÁTICA]],AND(TB_Radiologia2[[#This Row],[TIPIFICAÇÃO]]="EXT",OR(TB_Radiologia2[[#This Row],[TIPO DE OFERTA]]="PRESENCIAL",TB_Radiologia2[[#This Row],[TIPO DE OFERTA]]="SEMI-PRESENCIAL")),33,AND(TB_Radiologia2[[#This Row],[TIPIFICAÇÃO]]="TCC",TB_Radiologia2[[#This Row],[TIPO DE OFERTA]]="PRESENCIAL"),SUM(TB_Radiologia2[[#This Row],[CH TEÓRICA]],TB_Radiologia2[[#This Row],[CH PRÁTICA]]))/Cursos!$E$3,0),0)</f>
        <v>3</v>
      </c>
      <c r="W43" s="10">
        <f>IF(TB_Radiologia2[[#This Row],[TIPIFICAÇÃO]]="ON.S",ROUNDUP(TB_Radiologia2[[#This Row],[CH TEÓRICA]]/Cursos!$E$3,0),0)</f>
        <v>0</v>
      </c>
      <c r="X43" s="42" cm="1">
        <f t="array" ref="X43">IFERROR(_xlfn.IFS(TB_Radiologia2[[#This Row],[TIPIFICAÇÃO]]="ON.A",1,TB_Radiologia2[[#This Row],[TIPIFICAÇÃO]]="PR",0,TB_Radiologia2[[#This Row],[TIPIFICAÇÃO]]="HB",0,AND(TB_Radiologia2[[#This Row],[TIPIFICAÇÃO]]="EXT",OR(TB_Radiologia2[[#This Row],[TIPO DE OFERTA]]="SEMI-PRESENCIAL",TB_Radiologia2[[#This Row],[TIPO DE OFERTA]]="EAD 100%")),1),0)</f>
        <v>0</v>
      </c>
      <c r="Y43" s="42" cm="1">
        <f t="array" ref="Y43">ROUNDUP(IFERROR(_xlfn.IFS(TB_Radiologia2[[#This Row],[TIPIFICAÇÃO]]="ON.A",0,TB_Radiologia2[[#This Row],[TIPIFICAÇÃO]]="PR",0,TB_Radiologia2[[#This Row],[TIPIFICAÇÃO]]="HB",TB_Radiologia2[[#This Row],[CH ONLINE]],TB_Radiologia2[[#This Row],[TIPIFICAÇÃO]]="ON.S",0,AND(TB_Radiologia2[[#This Row],[TIPIFICAÇÃO]]="EXT",TB_Radiologia2[[#This Row],[TIPO DE OFERTA]]="PRESENCIAL"),TB_Radiologia2[[#This Row],[CRÉDITOS]]-TB_Radiologia2[[#This Row],[CRÉDITOS PAGO PROFESSOR]])/Cursos!$E$3,0),0)</f>
        <v>0</v>
      </c>
      <c r="Z43" s="13" t="s">
        <v>77</v>
      </c>
      <c r="AA43" s="10"/>
      <c r="AB43" s="10"/>
      <c r="AC43" s="10"/>
      <c r="AD43" s="10"/>
      <c r="AE43" s="10"/>
    </row>
    <row r="44" spans="2:31" x14ac:dyDescent="0.25">
      <c r="B44" s="7" t="str">
        <f t="shared" si="0"/>
        <v>RADIOLOGIA</v>
      </c>
      <c r="C44" s="42" t="s">
        <v>150</v>
      </c>
      <c r="D44" s="46">
        <v>3</v>
      </c>
      <c r="E44" s="79" t="s">
        <v>155</v>
      </c>
      <c r="F44" s="45" t="s">
        <v>156</v>
      </c>
      <c r="G44" s="80">
        <f>SUM(TB_Radiologia2[[#This Row],[CH TEÓRICA]:[CH ONLINE]])</f>
        <v>33</v>
      </c>
      <c r="H44" s="85" t="s">
        <v>80</v>
      </c>
      <c r="I44" s="46">
        <v>33</v>
      </c>
      <c r="J44" s="46">
        <v>0</v>
      </c>
      <c r="K44" s="46">
        <v>0</v>
      </c>
      <c r="L44" s="46">
        <v>0</v>
      </c>
      <c r="M44" s="46">
        <v>0</v>
      </c>
      <c r="N44" s="46" t="s">
        <v>8</v>
      </c>
      <c r="O44" s="42">
        <f>ROUNDUP(TB_Radiologia2[[#This Row],[CH TOTAL]]/Cursos!$E$3,0)</f>
        <v>2</v>
      </c>
      <c r="P44" s="52" cm="1">
        <f t="array" ref="P44">IF(AND(TB_Radiologia2[[#This Row],[TIPIFICAÇÃO]]="TCC",TB_Radiologia2[[#This Row],[TIPO DE OFERTA]]="PRESENCIAL"),SUM(TB_Radiologia2[[#This Row],[CH TEÓRICA]:[CH PRÁTICA]]/66),IF(TB_Radiologia2[[#This Row],[TIPIFICAÇÃO]]="EST",1,IF(AND(IF(OR(TB_Radiologia2[[#This Row],[TIPIFICAÇÃO]]="HB",TB_Radiologia2[[#This Row],[TIPIFICAÇÃO]]="PR"),SUM(TB_Radiologia2[[#This Row],[CH TEÓRICA]:[CH PRÁTICA]])/66,IF(TB_Radiologia2[[#This Row],[TIPIFICAÇÃO]]="EXT",0.5,0))&gt;0.6,IF(OR(TB_Radiologia2[[#This Row],[TIPIFICAÇÃO]]="HB",TB_Radiologia2[[#This Row],[TIPIFICAÇÃO]]="PR"),SUM(TB_Radiologia2[[#This Row],[CH TEÓRICA]:[CH PRÁTICA]])/66,IF(TB_Radiologia2[[#This Row],[TIPIFICAÇÃO]]="EXT",0.5,0))&lt;0.8),1,IF(OR(TB_Radiologia2[[#This Row],[TIPIFICAÇÃO]]="HB",TB_Radiologia2[[#This Row],[TIPIFICAÇÃO]]="PR"),SUM(TB_Radiologia2[[#This Row],[CH TEÓRICA]:[CH PRÁTICA]])/66,IF(TB_Radiologia2[[#This Row],[TIPIFICAÇÃO]]="EXT",0.5,0)))))</f>
        <v>0.5</v>
      </c>
      <c r="Q44" s="44"/>
      <c r="R44" s="12" t="s">
        <v>68</v>
      </c>
      <c r="S44" s="12"/>
      <c r="T44" s="12"/>
      <c r="U44" s="12"/>
      <c r="V44" s="10" cm="1">
        <f t="array" ref="V44">ROUNDUP(IFERROR(_xlfn.IFS(TB_Radiologia2[[#This Row],[TIPIFICAÇÃO]]="ON.A",0,AND(TB_Radiologia2[[#This Row],[TIPIFICAÇÃO]]="EST",TB_Radiologia2[[#This Row],[TIPO DE OFERTA]]="PRESENCIAL"),0,AND(TB_Radiologia2[[#This Row],[TIPIFICAÇÃO]]="PR",OR(TB_Radiologia2[[#This Row],[TIPO DE OFERTA]]="PRESENCIAL",TB_Radiologia2[[#This Row],[TIPO DE OFERTA]]="SEMI-PRESENCIAL")),TB_Radiologia2[[#This Row],[CH TEÓRICA]]+TB_Radiologia2[[#This Row],[CH PRÁTICA]],AND(TB_Radiologia2[[#This Row],[TIPIFICAÇÃO]]="HB",TB_Radiologia2[[#This Row],[TIPO DE OFERTA]]="PRESENCIAL"),TB_Radiologia2[[#This Row],[CH TEÓRICA]]+TB_Radiologia2[[#This Row],[CH PRÁTICA]],AND(TB_Radiologia2[[#This Row],[TIPIFICAÇÃO]]="EXT",OR(TB_Radiologia2[[#This Row],[TIPO DE OFERTA]]="PRESENCIAL",TB_Radiologia2[[#This Row],[TIPO DE OFERTA]]="SEMI-PRESENCIAL")),33,AND(TB_Radiologia2[[#This Row],[TIPIFICAÇÃO]]="TCC",TB_Radiologia2[[#This Row],[TIPO DE OFERTA]]="PRESENCIAL"),SUM(TB_Radiologia2[[#This Row],[CH TEÓRICA]],TB_Radiologia2[[#This Row],[CH PRÁTICA]]))/Cursos!$E$3,0),0)</f>
        <v>2</v>
      </c>
      <c r="W44" s="10">
        <f>IF(TB_Radiologia2[[#This Row],[TIPIFICAÇÃO]]="ON.S",ROUNDUP(TB_Radiologia2[[#This Row],[CH TEÓRICA]]/Cursos!$E$3,0),0)</f>
        <v>0</v>
      </c>
      <c r="X44" s="42" cm="1">
        <f t="array" ref="X44">IFERROR(_xlfn.IFS(TB_Radiologia2[[#This Row],[TIPIFICAÇÃO]]="ON.A",1,TB_Radiologia2[[#This Row],[TIPIFICAÇÃO]]="PR",0,TB_Radiologia2[[#This Row],[TIPIFICAÇÃO]]="HB",0,AND(TB_Radiologia2[[#This Row],[TIPIFICAÇÃO]]="EXT",OR(TB_Radiologia2[[#This Row],[TIPO DE OFERTA]]="SEMI-PRESENCIAL",TB_Radiologia2[[#This Row],[TIPO DE OFERTA]]="EAD 100%")),1),0)</f>
        <v>0</v>
      </c>
      <c r="Y44" s="42" cm="1">
        <f t="array" ref="Y44">ROUNDUP(IFERROR(_xlfn.IFS(TB_Radiologia2[[#This Row],[TIPIFICAÇÃO]]="ON.A",0,TB_Radiologia2[[#This Row],[TIPIFICAÇÃO]]="PR",0,TB_Radiologia2[[#This Row],[TIPIFICAÇÃO]]="HB",TB_Radiologia2[[#This Row],[CH ONLINE]],TB_Radiologia2[[#This Row],[TIPIFICAÇÃO]]="ON.S",0,AND(TB_Radiologia2[[#This Row],[TIPIFICAÇÃO]]="EXT",TB_Radiologia2[[#This Row],[TIPO DE OFERTA]]="PRESENCIAL"),TB_Radiologia2[[#This Row],[CRÉDITOS]]-TB_Radiologia2[[#This Row],[CRÉDITOS PAGO PROFESSOR]])/Cursos!$E$3,0),0)</f>
        <v>0</v>
      </c>
      <c r="Z44" s="13" t="s">
        <v>77</v>
      </c>
      <c r="AA44" s="10"/>
      <c r="AB44" s="10"/>
      <c r="AC44" s="10"/>
      <c r="AD44" s="10"/>
      <c r="AE44" s="10"/>
    </row>
    <row r="45" spans="2:31" x14ac:dyDescent="0.25">
      <c r="B45" s="7" t="str">
        <f t="shared" si="0"/>
        <v>RADIOLOGIA</v>
      </c>
      <c r="C45" s="42" t="s">
        <v>150</v>
      </c>
      <c r="D45" s="46">
        <v>4</v>
      </c>
      <c r="E45" s="79" t="s">
        <v>157</v>
      </c>
      <c r="F45" s="45" t="s">
        <v>158</v>
      </c>
      <c r="G45" s="80">
        <f>SUM(TB_Radiologia2[[#This Row],[CH TEÓRICA]:[CH ONLINE]])</f>
        <v>66</v>
      </c>
      <c r="H45" s="85" t="s">
        <v>80</v>
      </c>
      <c r="I45" s="46">
        <v>33</v>
      </c>
      <c r="J45" s="46">
        <v>33</v>
      </c>
      <c r="K45" s="46">
        <v>0</v>
      </c>
      <c r="L45" s="46">
        <v>0</v>
      </c>
      <c r="M45" s="46">
        <v>0</v>
      </c>
      <c r="N45" s="46" t="s">
        <v>8</v>
      </c>
      <c r="O45" s="42">
        <f>ROUNDUP(TB_Radiologia2[[#This Row],[CH TOTAL]]/Cursos!$E$3,0)</f>
        <v>4</v>
      </c>
      <c r="P45" s="52" cm="1">
        <f t="array" ref="P45">IF(AND(TB_Radiologia2[[#This Row],[TIPIFICAÇÃO]]="TCC",TB_Radiologia2[[#This Row],[TIPO DE OFERTA]]="PRESENCIAL"),SUM(TB_Radiologia2[[#This Row],[CH TEÓRICA]:[CH PRÁTICA]]/66),IF(TB_Radiologia2[[#This Row],[TIPIFICAÇÃO]]="EST",1,IF(AND(IF(OR(TB_Radiologia2[[#This Row],[TIPIFICAÇÃO]]="HB",TB_Radiologia2[[#This Row],[TIPIFICAÇÃO]]="PR"),SUM(TB_Radiologia2[[#This Row],[CH TEÓRICA]:[CH PRÁTICA]])/66,IF(TB_Radiologia2[[#This Row],[TIPIFICAÇÃO]]="EXT",0.5,0))&gt;0.6,IF(OR(TB_Radiologia2[[#This Row],[TIPIFICAÇÃO]]="HB",TB_Radiologia2[[#This Row],[TIPIFICAÇÃO]]="PR"),SUM(TB_Radiologia2[[#This Row],[CH TEÓRICA]:[CH PRÁTICA]])/66,IF(TB_Radiologia2[[#This Row],[TIPIFICAÇÃO]]="EXT",0.5,0))&lt;0.8),1,IF(OR(TB_Radiologia2[[#This Row],[TIPIFICAÇÃO]]="HB",TB_Radiologia2[[#This Row],[TIPIFICAÇÃO]]="PR"),SUM(TB_Radiologia2[[#This Row],[CH TEÓRICA]:[CH PRÁTICA]])/66,IF(TB_Radiologia2[[#This Row],[TIPIFICAÇÃO]]="EXT",0.5,0)))))</f>
        <v>1</v>
      </c>
      <c r="Q45" s="44"/>
      <c r="R45" s="12" t="s">
        <v>68</v>
      </c>
      <c r="S45" s="12"/>
      <c r="T45" s="12"/>
      <c r="U45" s="12"/>
      <c r="V45" s="10" cm="1">
        <f t="array" ref="V45">ROUNDUP(IFERROR(_xlfn.IFS(TB_Radiologia2[[#This Row],[TIPIFICAÇÃO]]="ON.A",0,AND(TB_Radiologia2[[#This Row],[TIPIFICAÇÃO]]="EST",TB_Radiologia2[[#This Row],[TIPO DE OFERTA]]="PRESENCIAL"),0,AND(TB_Radiologia2[[#This Row],[TIPIFICAÇÃO]]="PR",OR(TB_Radiologia2[[#This Row],[TIPO DE OFERTA]]="PRESENCIAL",TB_Radiologia2[[#This Row],[TIPO DE OFERTA]]="SEMI-PRESENCIAL")),TB_Radiologia2[[#This Row],[CH TEÓRICA]]+TB_Radiologia2[[#This Row],[CH PRÁTICA]],AND(TB_Radiologia2[[#This Row],[TIPIFICAÇÃO]]="HB",TB_Radiologia2[[#This Row],[TIPO DE OFERTA]]="PRESENCIAL"),TB_Radiologia2[[#This Row],[CH TEÓRICA]]+TB_Radiologia2[[#This Row],[CH PRÁTICA]],AND(TB_Radiologia2[[#This Row],[TIPIFICAÇÃO]]="EXT",OR(TB_Radiologia2[[#This Row],[TIPO DE OFERTA]]="PRESENCIAL",TB_Radiologia2[[#This Row],[TIPO DE OFERTA]]="SEMI-PRESENCIAL")),33,AND(TB_Radiologia2[[#This Row],[TIPIFICAÇÃO]]="TCC",TB_Radiologia2[[#This Row],[TIPO DE OFERTA]]="PRESENCIAL"),SUM(TB_Radiologia2[[#This Row],[CH TEÓRICA]],TB_Radiologia2[[#This Row],[CH PRÁTICA]]))/Cursos!$E$3,0),0)</f>
        <v>4</v>
      </c>
      <c r="W45" s="10">
        <f>IF(TB_Radiologia2[[#This Row],[TIPIFICAÇÃO]]="ON.S",ROUNDUP(TB_Radiologia2[[#This Row],[CH TEÓRICA]]/Cursos!$E$3,0),0)</f>
        <v>0</v>
      </c>
      <c r="X45" s="42" cm="1">
        <f t="array" ref="X45">IFERROR(_xlfn.IFS(TB_Radiologia2[[#This Row],[TIPIFICAÇÃO]]="ON.A",1,TB_Radiologia2[[#This Row],[TIPIFICAÇÃO]]="PR",0,TB_Radiologia2[[#This Row],[TIPIFICAÇÃO]]="HB",0,AND(TB_Radiologia2[[#This Row],[TIPIFICAÇÃO]]="EXT",OR(TB_Radiologia2[[#This Row],[TIPO DE OFERTA]]="SEMI-PRESENCIAL",TB_Radiologia2[[#This Row],[TIPO DE OFERTA]]="EAD 100%")),1),0)</f>
        <v>0</v>
      </c>
      <c r="Y45" s="42" cm="1">
        <f t="array" ref="Y45">ROUNDUP(IFERROR(_xlfn.IFS(TB_Radiologia2[[#This Row],[TIPIFICAÇÃO]]="ON.A",0,TB_Radiologia2[[#This Row],[TIPIFICAÇÃO]]="PR",0,TB_Radiologia2[[#This Row],[TIPIFICAÇÃO]]="HB",TB_Radiologia2[[#This Row],[CH ONLINE]],TB_Radiologia2[[#This Row],[TIPIFICAÇÃO]]="ON.S",0,AND(TB_Radiologia2[[#This Row],[TIPIFICAÇÃO]]="EXT",TB_Radiologia2[[#This Row],[TIPO DE OFERTA]]="PRESENCIAL"),TB_Radiologia2[[#This Row],[CRÉDITOS]]-TB_Radiologia2[[#This Row],[CRÉDITOS PAGO PROFESSOR]])/Cursos!$E$3,0),0)</f>
        <v>0</v>
      </c>
      <c r="Z45" s="13" t="s">
        <v>77</v>
      </c>
      <c r="AA45" s="10"/>
      <c r="AB45" s="10"/>
      <c r="AC45" s="10"/>
      <c r="AD45" s="10"/>
      <c r="AE45" s="10"/>
    </row>
    <row r="46" spans="2:31" x14ac:dyDescent="0.25">
      <c r="B46" s="7" t="str">
        <f t="shared" si="0"/>
        <v>RADIOLOGIA</v>
      </c>
      <c r="C46" s="42" t="s">
        <v>150</v>
      </c>
      <c r="D46" s="46">
        <v>5</v>
      </c>
      <c r="E46" s="79" t="s">
        <v>159</v>
      </c>
      <c r="F46" s="45" t="s">
        <v>160</v>
      </c>
      <c r="G46" s="80">
        <f>SUM(TB_Radiologia2[[#This Row],[CH TEÓRICA]:[CH ONLINE]])</f>
        <v>244</v>
      </c>
      <c r="H46" s="85" t="s">
        <v>44</v>
      </c>
      <c r="I46" s="46">
        <v>0</v>
      </c>
      <c r="J46" s="46">
        <v>0</v>
      </c>
      <c r="K46" s="46">
        <v>244</v>
      </c>
      <c r="L46" s="46">
        <v>0</v>
      </c>
      <c r="M46" s="46">
        <v>0</v>
      </c>
      <c r="N46" s="46" t="s">
        <v>14</v>
      </c>
      <c r="O46" s="42">
        <f>ROUNDUP(TB_Radiologia2[[#This Row],[CH TOTAL]]/Cursos!$E$3,0)</f>
        <v>15</v>
      </c>
      <c r="P46" s="52" cm="1">
        <f t="array" ref="P46">IF(AND(TB_Radiologia2[[#This Row],[TIPIFICAÇÃO]]="TCC",TB_Radiologia2[[#This Row],[TIPO DE OFERTA]]="PRESENCIAL"),SUM(TB_Radiologia2[[#This Row],[CH TEÓRICA]:[CH PRÁTICA]]/66),IF(TB_Radiologia2[[#This Row],[TIPIFICAÇÃO]]="EST",1,IF(AND(IF(OR(TB_Radiologia2[[#This Row],[TIPIFICAÇÃO]]="HB",TB_Radiologia2[[#This Row],[TIPIFICAÇÃO]]="PR"),SUM(TB_Radiologia2[[#This Row],[CH TEÓRICA]:[CH PRÁTICA]])/66,IF(TB_Radiologia2[[#This Row],[TIPIFICAÇÃO]]="EXT",0.5,0))&gt;0.6,IF(OR(TB_Radiologia2[[#This Row],[TIPIFICAÇÃO]]="HB",TB_Radiologia2[[#This Row],[TIPIFICAÇÃO]]="PR"),SUM(TB_Radiologia2[[#This Row],[CH TEÓRICA]:[CH PRÁTICA]])/66,IF(TB_Radiologia2[[#This Row],[TIPIFICAÇÃO]]="EXT",0.5,0))&lt;0.8),1,IF(OR(TB_Radiologia2[[#This Row],[TIPIFICAÇÃO]]="HB",TB_Radiologia2[[#This Row],[TIPIFICAÇÃO]]="PR"),SUM(TB_Radiologia2[[#This Row],[CH TEÓRICA]:[CH PRÁTICA]])/66,IF(TB_Radiologia2[[#This Row],[TIPIFICAÇÃO]]="EXT",0.5,0)))))</f>
        <v>1</v>
      </c>
      <c r="Q46" s="44"/>
      <c r="R46" s="12" t="s">
        <v>68</v>
      </c>
      <c r="S46" s="12"/>
      <c r="T46" s="12"/>
      <c r="U46" s="12"/>
      <c r="V46" s="10" cm="1">
        <f t="array" ref="V46">ROUNDUP(IFERROR(_xlfn.IFS(TB_Radiologia2[[#This Row],[TIPIFICAÇÃO]]="ON.A",0,AND(TB_Radiologia2[[#This Row],[TIPIFICAÇÃO]]="EST",TB_Radiologia2[[#This Row],[TIPO DE OFERTA]]="PRESENCIAL"),0,AND(TB_Radiologia2[[#This Row],[TIPIFICAÇÃO]]="PR",OR(TB_Radiologia2[[#This Row],[TIPO DE OFERTA]]="PRESENCIAL",TB_Radiologia2[[#This Row],[TIPO DE OFERTA]]="SEMI-PRESENCIAL")),TB_Radiologia2[[#This Row],[CH TEÓRICA]]+TB_Radiologia2[[#This Row],[CH PRÁTICA]],AND(TB_Radiologia2[[#This Row],[TIPIFICAÇÃO]]="HB",TB_Radiologia2[[#This Row],[TIPO DE OFERTA]]="PRESENCIAL"),TB_Radiologia2[[#This Row],[CH TEÓRICA]]+TB_Radiologia2[[#This Row],[CH PRÁTICA]],AND(TB_Radiologia2[[#This Row],[TIPIFICAÇÃO]]="EXT",OR(TB_Radiologia2[[#This Row],[TIPO DE OFERTA]]="PRESENCIAL",TB_Radiologia2[[#This Row],[TIPO DE OFERTA]]="SEMI-PRESENCIAL")),33,AND(TB_Radiologia2[[#This Row],[TIPIFICAÇÃO]]="TCC",TB_Radiologia2[[#This Row],[TIPO DE OFERTA]]="PRESENCIAL"),SUM(TB_Radiologia2[[#This Row],[CH TEÓRICA]],TB_Radiologia2[[#This Row],[CH PRÁTICA]]))/Cursos!$E$3,0),0)</f>
        <v>0</v>
      </c>
      <c r="W46" s="10">
        <f>IF(TB_Radiologia2[[#This Row],[TIPIFICAÇÃO]]="ON.S",ROUNDUP(TB_Radiologia2[[#This Row],[CH TEÓRICA]]/Cursos!$E$3,0),0)</f>
        <v>0</v>
      </c>
      <c r="X46" s="42" cm="1">
        <f t="array" ref="X46">IFERROR(_xlfn.IFS(TB_Radiologia2[[#This Row],[TIPIFICAÇÃO]]="ON.A",1,TB_Radiologia2[[#This Row],[TIPIFICAÇÃO]]="PR",0,TB_Radiologia2[[#This Row],[TIPIFICAÇÃO]]="HB",0,AND(TB_Radiologia2[[#This Row],[TIPIFICAÇÃO]]="EXT",OR(TB_Radiologia2[[#This Row],[TIPO DE OFERTA]]="SEMI-PRESENCIAL",TB_Radiologia2[[#This Row],[TIPO DE OFERTA]]="EAD 100%")),1),0)</f>
        <v>0</v>
      </c>
      <c r="Y46" s="42" cm="1">
        <f t="array" ref="Y46">ROUNDUP(IFERROR(_xlfn.IFS(TB_Radiologia2[[#This Row],[TIPIFICAÇÃO]]="ON.A",0,TB_Radiologia2[[#This Row],[TIPIFICAÇÃO]]="PR",0,TB_Radiologia2[[#This Row],[TIPIFICAÇÃO]]="HB",TB_Radiologia2[[#This Row],[CH ONLINE]],TB_Radiologia2[[#This Row],[TIPIFICAÇÃO]]="ON.S",0,AND(TB_Radiologia2[[#This Row],[TIPIFICAÇÃO]]="EXT",TB_Radiologia2[[#This Row],[TIPO DE OFERTA]]="PRESENCIAL"),TB_Radiologia2[[#This Row],[CRÉDITOS]]-TB_Radiologia2[[#This Row],[CRÉDITOS PAGO PROFESSOR]])/Cursos!$E$3,0),0)</f>
        <v>0</v>
      </c>
      <c r="Z46" s="13" t="s">
        <v>77</v>
      </c>
      <c r="AA46" s="10"/>
      <c r="AB46" s="10"/>
      <c r="AC46" s="10"/>
      <c r="AD46" s="10"/>
      <c r="AE46" s="10"/>
    </row>
    <row r="47" spans="2:31" x14ac:dyDescent="0.25">
      <c r="B47" s="7" t="str">
        <f t="shared" ref="B47" si="1">$J$2</f>
        <v>RADIOLOGIA</v>
      </c>
      <c r="C47" s="42" t="s">
        <v>18</v>
      </c>
      <c r="D47" s="46"/>
      <c r="E47" s="79" t="s">
        <v>161</v>
      </c>
      <c r="F47" s="47" t="s">
        <v>18</v>
      </c>
      <c r="G47" s="80">
        <v>74</v>
      </c>
      <c r="H47" s="79" t="s">
        <v>18</v>
      </c>
      <c r="I47" s="46"/>
      <c r="J47" s="46"/>
      <c r="K47" s="46"/>
      <c r="L47" s="46"/>
      <c r="M47" s="46">
        <v>74</v>
      </c>
      <c r="N47" s="46" t="s">
        <v>18</v>
      </c>
      <c r="O47" s="42">
        <f>ROUNDUP(TB_Radiologia2[[#This Row],[CH TOTAL]]/Cursos!$E$3,0)</f>
        <v>5</v>
      </c>
      <c r="P47" s="52" cm="1">
        <f t="array" ref="P47">IF(AND(TB_Radiologia2[[#This Row],[TIPIFICAÇÃO]]="TCC",TB_Radiologia2[[#This Row],[TIPO DE OFERTA]]="PRESENCIAL"),SUM(TB_Radiologia2[[#This Row],[CH TEÓRICA]:[CH PRÁTICA]]/66),IF(TB_Radiologia2[[#This Row],[TIPIFICAÇÃO]]="EST",1,IF(AND(IF(OR(TB_Radiologia2[[#This Row],[TIPIFICAÇÃO]]="HB",TB_Radiologia2[[#This Row],[TIPIFICAÇÃO]]="PR"),SUM(TB_Radiologia2[[#This Row],[CH TEÓRICA]:[CH PRÁTICA]])/66,IF(TB_Radiologia2[[#This Row],[TIPIFICAÇÃO]]="EXT",0.5,0))&gt;0.6,IF(OR(TB_Radiologia2[[#This Row],[TIPIFICAÇÃO]]="HB",TB_Radiologia2[[#This Row],[TIPIFICAÇÃO]]="PR"),SUM(TB_Radiologia2[[#This Row],[CH TEÓRICA]:[CH PRÁTICA]])/66,IF(TB_Radiologia2[[#This Row],[TIPIFICAÇÃO]]="EXT",0.5,0))&lt;0.8),1,IF(OR(TB_Radiologia2[[#This Row],[TIPIFICAÇÃO]]="HB",TB_Radiologia2[[#This Row],[TIPIFICAÇÃO]]="PR"),SUM(TB_Radiologia2[[#This Row],[CH TEÓRICA]:[CH PRÁTICA]])/66,IF(TB_Radiologia2[[#This Row],[TIPIFICAÇÃO]]="EXT",0.5,0)))))</f>
        <v>0</v>
      </c>
      <c r="Q47" s="44"/>
      <c r="R47" s="12"/>
      <c r="S47" s="12"/>
      <c r="T47" s="12"/>
      <c r="U47" s="12"/>
      <c r="V47" s="10" cm="1">
        <f t="array" ref="V47">ROUNDUP(IFERROR(_xlfn.IFS(TB_Radiologia2[[#This Row],[TIPIFICAÇÃO]]="ON.A",0,AND(TB_Radiologia2[[#This Row],[TIPIFICAÇÃO]]="EST",TB_Radiologia2[[#This Row],[TIPO DE OFERTA]]="PRESENCIAL"),0,AND(TB_Radiologia2[[#This Row],[TIPIFICAÇÃO]]="PR",OR(TB_Radiologia2[[#This Row],[TIPO DE OFERTA]]="PRESENCIAL",TB_Radiologia2[[#This Row],[TIPO DE OFERTA]]="SEMI-PRESENCIAL")),TB_Radiologia2[[#This Row],[CH TEÓRICA]]+TB_Radiologia2[[#This Row],[CH PRÁTICA]],AND(TB_Radiologia2[[#This Row],[TIPIFICAÇÃO]]="HB",TB_Radiologia2[[#This Row],[TIPO DE OFERTA]]="PRESENCIAL"),TB_Radiologia2[[#This Row],[CH TEÓRICA]]+TB_Radiologia2[[#This Row],[CH PRÁTICA]],AND(TB_Radiologia2[[#This Row],[TIPIFICAÇÃO]]="EXT",OR(TB_Radiologia2[[#This Row],[TIPO DE OFERTA]]="PRESENCIAL",TB_Radiologia2[[#This Row],[TIPO DE OFERTA]]="SEMI-PRESENCIAL")),33,AND(TB_Radiologia2[[#This Row],[TIPIFICAÇÃO]]="TCC",TB_Radiologia2[[#This Row],[TIPO DE OFERTA]]="PRESENCIAL"),SUM(TB_Radiologia2[[#This Row],[CH TEÓRICA]],TB_Radiologia2[[#This Row],[CH PRÁTICA]]))/Cursos!$E$3,0),0)</f>
        <v>0</v>
      </c>
      <c r="W47" s="10">
        <f>IF(TB_Radiologia2[[#This Row],[TIPIFICAÇÃO]]="ON.S",ROUNDUP(TB_Radiologia2[[#This Row],[CH TEÓRICA]]/Cursos!$E$3,0),0)</f>
        <v>0</v>
      </c>
      <c r="X47" s="42" cm="1">
        <f t="array" ref="X47">IFERROR(_xlfn.IFS(TB_Radiologia2[[#This Row],[TIPIFICAÇÃO]]="ON.A",1,TB_Radiologia2[[#This Row],[TIPIFICAÇÃO]]="PR",0,TB_Radiologia2[[#This Row],[TIPIFICAÇÃO]]="HB",0,AND(TB_Radiologia2[[#This Row],[TIPIFICAÇÃO]]="EXT",OR(TB_Radiologia2[[#This Row],[TIPO DE OFERTA]]="SEMI-PRESENCIAL",TB_Radiologia2[[#This Row],[TIPO DE OFERTA]]="EAD 100%")),1),0)</f>
        <v>0</v>
      </c>
      <c r="Y47" s="42" cm="1">
        <f t="array" ref="Y47">ROUNDUP(IFERROR(_xlfn.IFS(TB_Radiologia2[[#This Row],[TIPIFICAÇÃO]]="ON.A",0,TB_Radiologia2[[#This Row],[TIPIFICAÇÃO]]="PR",0,TB_Radiologia2[[#This Row],[TIPIFICAÇÃO]]="HB",TB_Radiologia2[[#This Row],[CH ONLINE]],TB_Radiologia2[[#This Row],[TIPIFICAÇÃO]]="ON.S",0,AND(TB_Radiologia2[[#This Row],[TIPIFICAÇÃO]]="EXT",TB_Radiologia2[[#This Row],[TIPO DE OFERTA]]="PRESENCIAL"),TB_Radiologia2[[#This Row],[CRÉDITOS]]-TB_Radiologia2[[#This Row],[CRÉDITOS PAGO PROFESSOR]])/Cursos!$E$3,0),0)</f>
        <v>0</v>
      </c>
      <c r="Z47" s="13" t="s">
        <v>77</v>
      </c>
      <c r="AA47" s="16"/>
      <c r="AB47" s="16"/>
      <c r="AC47" s="16"/>
      <c r="AD47" s="16"/>
      <c r="AE47" s="16"/>
    </row>
    <row r="48" spans="2:31" x14ac:dyDescent="0.25">
      <c r="B48" s="18"/>
      <c r="C48" s="18"/>
      <c r="D48" s="18"/>
      <c r="E48" s="18"/>
      <c r="F48" s="18"/>
      <c r="G48" s="19"/>
      <c r="H48" s="18"/>
      <c r="I48" s="18"/>
      <c r="J48" s="18"/>
      <c r="K48" s="18"/>
      <c r="L48" s="18"/>
      <c r="M48" s="18"/>
      <c r="N48" s="1"/>
      <c r="O48" s="20"/>
      <c r="P48" s="20"/>
      <c r="Q48" s="20"/>
      <c r="R48" s="20"/>
      <c r="S48" s="20"/>
      <c r="T48" s="20"/>
      <c r="U48" s="20"/>
      <c r="V48" s="20"/>
      <c r="W48" s="20"/>
      <c r="Y48" s="20"/>
      <c r="Z48" s="20"/>
      <c r="AA48" s="20"/>
      <c r="AB48" s="20"/>
      <c r="AC48" s="20"/>
    </row>
    <row r="49" spans="2:30" x14ac:dyDescent="0.25">
      <c r="B49" s="18"/>
      <c r="C49" s="18"/>
      <c r="D49" s="18"/>
      <c r="E49" s="38" t="s">
        <v>162</v>
      </c>
      <c r="F49" s="38"/>
      <c r="G49" s="38">
        <f>SUBTOTAL(9,TB_Radiologia2[CH TOTAL])</f>
        <v>2600</v>
      </c>
      <c r="H49" s="38"/>
      <c r="I49" s="38">
        <f>SUBTOTAL(9,TB_Radiologia2[CH TEÓRICA])</f>
        <v>955</v>
      </c>
      <c r="J49" s="38">
        <f>SUBTOTAL(9,TB_Radiologia2[CH PRÁTICA])</f>
        <v>312</v>
      </c>
      <c r="K49" s="38">
        <f>SUBTOTAL(9,TB_Radiologia2[CH ESTÁGIO])</f>
        <v>488</v>
      </c>
      <c r="L49" s="38">
        <f>SUBTOTAL(9,TB_Radiologia2[CH EXTENSÃO])</f>
        <v>260</v>
      </c>
      <c r="M49" s="38">
        <f>SUBTOTAL(9,TB_Radiologia2[CH ONLINE])</f>
        <v>585</v>
      </c>
      <c r="N49" s="38"/>
      <c r="O49" s="38">
        <f>SUBTOTAL(9,TB_Radiologia2[CRÉDITOS])</f>
        <v>160</v>
      </c>
      <c r="P49" s="38">
        <f>SUBTOTAL(9,TB_Radiologia2[DIAS PRESENCIAL])</f>
        <v>24.5</v>
      </c>
      <c r="Q49" s="38"/>
      <c r="R49" s="38"/>
      <c r="S49" s="38"/>
      <c r="T49" s="38"/>
      <c r="U49" s="38"/>
      <c r="V49" s="38" t="e">
        <f>SUBTOTAL(9,V9:V16,V17:V22,V23:V28,V29:V34,V37:V41,V42:V46,#REF!,#REF!,V47)</f>
        <v>#REF!</v>
      </c>
      <c r="W49" s="38" t="e">
        <f>SUBTOTAL(9,W9:W16,W17:W22,W23:W28,W29:W34,W37:W41,W42:W46,#REF!,#REF!,W47)</f>
        <v>#REF!</v>
      </c>
      <c r="X49" s="38" t="e">
        <f>SUBTOTAL(9,X9:X16,X17:X22,X23:X28,X29:X34,X37:X41,X42:X46,#REF!,#REF!,X47)</f>
        <v>#REF!</v>
      </c>
      <c r="Y49" s="38" t="e">
        <f>SUBTOTAL(9,Y9:Y16,Y17:Y22,Y23:Y28,Y29:Y34,Y37:Y41,Y42:Y46,#REF!,#REF!,Y47)</f>
        <v>#REF!</v>
      </c>
      <c r="Z49" s="38"/>
      <c r="AA49" s="38"/>
      <c r="AB49" s="38"/>
      <c r="AC49" s="38"/>
      <c r="AD49" s="38"/>
    </row>
    <row r="50" spans="2:30" x14ac:dyDescent="0.25">
      <c r="B50" s="18"/>
      <c r="C50" s="18"/>
      <c r="D50" s="18"/>
      <c r="E50" s="38" t="s">
        <v>163</v>
      </c>
      <c r="F50" s="38"/>
      <c r="G50" s="38">
        <f>SUM(TB_Radiologia2[CH TOTAL])</f>
        <v>2600</v>
      </c>
      <c r="H50" s="38"/>
      <c r="I50" s="38">
        <f>SUM(TB_Radiologia2[CH TEÓRICA])</f>
        <v>955</v>
      </c>
      <c r="J50" s="38">
        <f>SUM(TB_Radiologia2[CH PRÁTICA])</f>
        <v>312</v>
      </c>
      <c r="K50" s="38">
        <f>SUM(TB_Radiologia2[CH ESTÁGIO])</f>
        <v>488</v>
      </c>
      <c r="L50" s="38">
        <f>SUM(TB_Radiologia2[CH EXTENSÃO])</f>
        <v>260</v>
      </c>
      <c r="M50" s="38">
        <f>SUM(TB_Radiologia2[CH ONLINE])</f>
        <v>585</v>
      </c>
      <c r="N50" s="38"/>
      <c r="O50" s="38">
        <f>SUM(TB_Radiologia2[CRÉDITOS])</f>
        <v>160</v>
      </c>
      <c r="P50" s="38">
        <f>SUM(TB_Radiologia2[DIAS PRESENCIAL])</f>
        <v>24.5</v>
      </c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</row>
    <row r="51" spans="2:30" x14ac:dyDescent="0.25">
      <c r="D51" s="37"/>
      <c r="E51" s="38" t="s">
        <v>164</v>
      </c>
      <c r="F51" s="38"/>
      <c r="G51" s="39">
        <f t="shared" ref="G51:O51" si="2">ROUND(G50*45/60,0)</f>
        <v>1950</v>
      </c>
      <c r="H51" s="39"/>
      <c r="I51" s="39">
        <f t="shared" si="2"/>
        <v>716</v>
      </c>
      <c r="J51" s="39">
        <f t="shared" si="2"/>
        <v>234</v>
      </c>
      <c r="K51" s="39">
        <f t="shared" si="2"/>
        <v>366</v>
      </c>
      <c r="L51" s="39">
        <f t="shared" si="2"/>
        <v>195</v>
      </c>
      <c r="M51" s="39">
        <f t="shared" si="2"/>
        <v>439</v>
      </c>
      <c r="N51" s="39"/>
      <c r="O51" s="39">
        <f t="shared" si="2"/>
        <v>120</v>
      </c>
      <c r="P51" s="40"/>
      <c r="Q51" s="40"/>
      <c r="R51" s="40"/>
      <c r="S51" s="40"/>
      <c r="T51" s="40"/>
      <c r="U51" s="40"/>
      <c r="V51" s="40" t="e">
        <f>ROUND(#REF!*50/60,0)</f>
        <v>#REF!</v>
      </c>
      <c r="W51" s="40" t="e">
        <f>ROUND(#REF!*50/60,0)</f>
        <v>#REF!</v>
      </c>
      <c r="X51" s="40" t="e">
        <f>ROUND(#REF!*50/60,0)</f>
        <v>#REF!</v>
      </c>
      <c r="Y51" s="40" t="e">
        <f>ROUND(#REF!*50/60,0)</f>
        <v>#REF!</v>
      </c>
      <c r="Z51" s="40"/>
      <c r="AA51" s="40"/>
      <c r="AB51" s="40"/>
      <c r="AC51" s="40"/>
      <c r="AD51" s="40"/>
    </row>
    <row r="52" spans="2:30" x14ac:dyDescent="0.25">
      <c r="G52" s="48"/>
      <c r="H52" s="49" t="s">
        <v>165</v>
      </c>
      <c r="I52" s="41">
        <f>IFERROR(I50/$G$50,0)</f>
        <v>0.36730769230769234</v>
      </c>
      <c r="J52" s="41">
        <f>IFERROR(J50/$G$50,0)</f>
        <v>0.12</v>
      </c>
      <c r="K52" s="41">
        <f>IFERROR(K50/$G$50,0)</f>
        <v>0.18769230769230769</v>
      </c>
      <c r="L52" s="41">
        <f>IFERROR(L50/$G$50,0)</f>
        <v>0.1</v>
      </c>
      <c r="M52" s="41">
        <f>IFERROR(M50/$G$50,0)</f>
        <v>0.22500000000000001</v>
      </c>
    </row>
    <row r="56" spans="2:30" x14ac:dyDescent="0.25">
      <c r="E56" s="38" t="s">
        <v>166</v>
      </c>
      <c r="F56" s="38"/>
      <c r="G56" s="38">
        <f>SUM(I50:L50)</f>
        <v>2015</v>
      </c>
      <c r="H56" s="50">
        <f>IFERROR(G56/G50,0)</f>
        <v>0.77500000000000002</v>
      </c>
    </row>
    <row r="57" spans="2:30" x14ac:dyDescent="0.25">
      <c r="E57" s="38" t="s">
        <v>57</v>
      </c>
      <c r="F57" s="38"/>
      <c r="G57" s="38">
        <f>G50-G56</f>
        <v>585</v>
      </c>
      <c r="H57" s="50">
        <f>IFERROR(G57/G50,0)</f>
        <v>0.22500000000000001</v>
      </c>
    </row>
  </sheetData>
  <sheetProtection autoFilter="0"/>
  <mergeCells count="2">
    <mergeCell ref="J2:N2"/>
    <mergeCell ref="Q5:Q7"/>
  </mergeCells>
  <dataValidations count="2">
    <dataValidation type="list" allowBlank="1" showInputMessage="1" showErrorMessage="1" sqref="F26 F39 F37 F30 F42:F45" xr:uid="{79577CE4-7C30-413C-BA1B-0809D27E161D}">
      <formula1>INDIRECT($J$2)</formula1>
    </dataValidation>
    <dataValidation allowBlank="1" showDropDown="1" showInputMessage="1" showErrorMessage="1" sqref="F12:F16 F9:F10" xr:uid="{EED7FE59-9A7B-4F7D-B4BA-2E26C03B1FDF}"/>
  </dataValidations>
  <pageMargins left="0.511811024" right="0.511811024" top="0.78740157499999996" bottom="0.78740157499999996" header="0.31496062000000002" footer="0.31496062000000002"/>
  <pageSetup paperSize="9" orientation="portrait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DD800C0-AEC4-42CE-A5DC-FB614260BAFC}">
          <x14:formula1>
            <xm:f>Cursos!$B$3:$B$33</xm:f>
          </x14:formula1>
          <xm:sqref>J2:N2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5D4E1-71FE-4181-925F-B4A6FE9C867D}">
  <dimension ref="B1:AC38"/>
  <sheetViews>
    <sheetView showGridLines="0" zoomScale="80" zoomScaleNormal="80" workbookViewId="0">
      <pane xSplit="2" ySplit="4" topLeftCell="C5" activePane="bottomRight" state="frozen"/>
      <selection pane="topRight" activeCell="C1" sqref="C1"/>
      <selection pane="bottomLeft" activeCell="A4" sqref="A4"/>
      <selection pane="bottomRight" activeCell="S7" sqref="S7"/>
    </sheetView>
  </sheetViews>
  <sheetFormatPr defaultRowHeight="15" x14ac:dyDescent="0.25"/>
  <cols>
    <col min="1" max="1" width="1.85546875" customWidth="1"/>
    <col min="2" max="2" width="34.140625" style="1" customWidth="1"/>
    <col min="3" max="3" width="20" style="1" customWidth="1"/>
    <col min="4" max="4" width="2" customWidth="1"/>
    <col min="5" max="6" width="1.5703125" customWidth="1"/>
    <col min="7" max="7" width="15.5703125" bestFit="1" customWidth="1"/>
    <col min="8" max="8" width="14.5703125" customWidth="1"/>
    <col min="9" max="9" width="15.140625" customWidth="1"/>
    <col min="10" max="12" width="1.5703125" customWidth="1"/>
    <col min="13" max="13" width="17.5703125" bestFit="1" customWidth="1"/>
    <col min="14" max="14" width="17.42578125" customWidth="1"/>
    <col min="15" max="15" width="15.42578125" customWidth="1"/>
    <col min="16" max="18" width="1.5703125" customWidth="1"/>
    <col min="19" max="19" width="24.140625" bestFit="1" customWidth="1"/>
    <col min="20" max="20" width="13.28515625" customWidth="1"/>
    <col min="21" max="21" width="13.7109375" customWidth="1"/>
    <col min="22" max="25" width="1.5703125" customWidth="1"/>
    <col min="26" max="26" width="18.85546875" customWidth="1"/>
    <col min="27" max="27" width="20.5703125" bestFit="1" customWidth="1"/>
    <col min="28" max="28" width="13.140625" style="1" bestFit="1" customWidth="1"/>
    <col min="29" max="29" width="5.7109375" customWidth="1"/>
    <col min="30" max="30" width="11.42578125" bestFit="1" customWidth="1"/>
    <col min="31" max="31" width="10.42578125" bestFit="1" customWidth="1"/>
  </cols>
  <sheetData>
    <row r="1" spans="2:29" x14ac:dyDescent="0.25">
      <c r="B1" s="103" t="s">
        <v>170</v>
      </c>
    </row>
    <row r="2" spans="2:29" x14ac:dyDescent="0.25">
      <c r="B2" s="103"/>
    </row>
    <row r="3" spans="2:29" x14ac:dyDescent="0.25">
      <c r="B3" s="103"/>
      <c r="AA3" s="63" t="s">
        <v>171</v>
      </c>
      <c r="AB3" s="105" t="s">
        <v>172</v>
      </c>
      <c r="AC3" s="105"/>
    </row>
    <row r="4" spans="2:29" x14ac:dyDescent="0.25">
      <c r="B4" s="61" t="s">
        <v>46</v>
      </c>
      <c r="C4" s="61" t="s">
        <v>51</v>
      </c>
      <c r="G4" s="61" t="s">
        <v>47</v>
      </c>
      <c r="H4" s="61" t="s">
        <v>51</v>
      </c>
      <c r="I4" s="61" t="s">
        <v>172</v>
      </c>
      <c r="M4" s="61" t="s">
        <v>58</v>
      </c>
      <c r="N4" s="61" t="s">
        <v>51</v>
      </c>
      <c r="O4" s="61" t="s">
        <v>172</v>
      </c>
      <c r="S4" s="61" t="s">
        <v>52</v>
      </c>
      <c r="T4" s="61" t="s">
        <v>51</v>
      </c>
      <c r="U4" s="61" t="s">
        <v>172</v>
      </c>
      <c r="Z4" s="61" t="s">
        <v>173</v>
      </c>
      <c r="AA4" s="61"/>
      <c r="AB4" s="61"/>
      <c r="AC4" s="75"/>
    </row>
    <row r="5" spans="2:29" x14ac:dyDescent="0.25">
      <c r="B5" s="1" t="s">
        <v>39</v>
      </c>
      <c r="C5" s="106">
        <v>2600</v>
      </c>
      <c r="G5" s="1" t="s">
        <v>73</v>
      </c>
      <c r="H5" s="106">
        <v>393</v>
      </c>
      <c r="I5" s="62">
        <v>0.15115384615384617</v>
      </c>
      <c r="M5" s="1" t="s">
        <v>18</v>
      </c>
      <c r="N5" s="106">
        <v>74</v>
      </c>
      <c r="O5" s="62">
        <v>2.8461538461538462E-2</v>
      </c>
      <c r="S5" s="1" t="s">
        <v>18</v>
      </c>
      <c r="T5" s="106">
        <v>74</v>
      </c>
      <c r="U5" s="106">
        <v>74</v>
      </c>
      <c r="Z5" s="1" t="s">
        <v>53</v>
      </c>
      <c r="AA5" s="106">
        <v>955</v>
      </c>
      <c r="AB5" s="41">
        <f>AA5/$C$5</f>
        <v>0.36730769230769234</v>
      </c>
      <c r="AC5" s="104">
        <f>SUM(AB5:AB8)</f>
        <v>0.77500000000000002</v>
      </c>
    </row>
    <row r="6" spans="2:29" x14ac:dyDescent="0.25">
      <c r="B6" s="1" t="s">
        <v>174</v>
      </c>
      <c r="C6" s="106">
        <v>2600</v>
      </c>
      <c r="G6" s="1" t="s">
        <v>97</v>
      </c>
      <c r="H6" s="106">
        <v>412</v>
      </c>
      <c r="I6" s="62">
        <v>0.15846153846153846</v>
      </c>
      <c r="M6" s="1" t="s">
        <v>14</v>
      </c>
      <c r="N6" s="106">
        <v>488</v>
      </c>
      <c r="O6" s="62">
        <v>0.18769230769230769</v>
      </c>
      <c r="S6" s="1" t="s">
        <v>83</v>
      </c>
      <c r="T6" s="106">
        <v>132</v>
      </c>
      <c r="U6" s="106">
        <v>132</v>
      </c>
      <c r="Z6" s="1" t="s">
        <v>54</v>
      </c>
      <c r="AA6" s="106">
        <v>312</v>
      </c>
      <c r="AB6" s="41">
        <f t="shared" ref="AB6:AB9" si="0">AA6/$C$5</f>
        <v>0.12</v>
      </c>
      <c r="AC6" s="104"/>
    </row>
    <row r="7" spans="2:29" x14ac:dyDescent="0.25">
      <c r="G7" s="1" t="s">
        <v>112</v>
      </c>
      <c r="H7" s="106">
        <v>370</v>
      </c>
      <c r="I7" s="62">
        <v>0.1423076923076923</v>
      </c>
      <c r="M7" s="1" t="s">
        <v>12</v>
      </c>
      <c r="N7" s="106">
        <v>260</v>
      </c>
      <c r="O7" s="62">
        <v>0.1</v>
      </c>
      <c r="S7" s="1" t="s">
        <v>80</v>
      </c>
      <c r="T7" s="106">
        <v>1333</v>
      </c>
      <c r="U7" s="106">
        <v>1333</v>
      </c>
      <c r="Z7" s="1" t="s">
        <v>55</v>
      </c>
      <c r="AA7" s="106">
        <v>488</v>
      </c>
      <c r="AB7" s="41">
        <f t="shared" si="0"/>
        <v>0.18769230769230769</v>
      </c>
      <c r="AC7" s="104"/>
    </row>
    <row r="8" spans="2:29" x14ac:dyDescent="0.25">
      <c r="G8" s="1" t="s">
        <v>125</v>
      </c>
      <c r="H8" s="106">
        <v>419</v>
      </c>
      <c r="I8" s="62">
        <v>0.16115384615384615</v>
      </c>
      <c r="M8" s="1" t="s">
        <v>10</v>
      </c>
      <c r="N8" s="106">
        <v>165</v>
      </c>
      <c r="O8" s="62">
        <v>6.3461538461538458E-2</v>
      </c>
      <c r="S8" s="1" t="s">
        <v>44</v>
      </c>
      <c r="T8" s="106">
        <v>488</v>
      </c>
      <c r="U8" s="106">
        <v>488</v>
      </c>
      <c r="Z8" s="1" t="s">
        <v>56</v>
      </c>
      <c r="AA8" s="106">
        <v>260</v>
      </c>
      <c r="AB8" s="41">
        <f t="shared" si="0"/>
        <v>0.1</v>
      </c>
      <c r="AC8" s="104"/>
    </row>
    <row r="9" spans="2:29" x14ac:dyDescent="0.25">
      <c r="G9" s="1" t="s">
        <v>140</v>
      </c>
      <c r="H9" s="106">
        <v>474</v>
      </c>
      <c r="I9" s="62">
        <v>0.18230769230769231</v>
      </c>
      <c r="M9" s="1" t="s">
        <v>4</v>
      </c>
      <c r="N9" s="106">
        <v>445</v>
      </c>
      <c r="O9" s="62">
        <v>0.17115384615384616</v>
      </c>
      <c r="S9" s="1" t="s">
        <v>90</v>
      </c>
      <c r="T9" s="106">
        <v>260</v>
      </c>
      <c r="U9" s="106">
        <v>260</v>
      </c>
      <c r="Z9" s="1" t="s">
        <v>57</v>
      </c>
      <c r="AA9" s="106">
        <v>585</v>
      </c>
      <c r="AB9" s="41">
        <f t="shared" si="0"/>
        <v>0.22500000000000001</v>
      </c>
      <c r="AC9" s="74">
        <f>AB9</f>
        <v>0.22500000000000001</v>
      </c>
    </row>
    <row r="10" spans="2:29" x14ac:dyDescent="0.25">
      <c r="G10" s="1" t="s">
        <v>150</v>
      </c>
      <c r="H10" s="106">
        <v>458</v>
      </c>
      <c r="I10" s="62">
        <v>0.17615384615384616</v>
      </c>
      <c r="M10" s="1" t="s">
        <v>8</v>
      </c>
      <c r="N10" s="106">
        <v>1168</v>
      </c>
      <c r="O10" s="62">
        <v>0.44923076923076921</v>
      </c>
      <c r="S10" s="1" t="s">
        <v>76</v>
      </c>
      <c r="T10" s="106">
        <v>313</v>
      </c>
      <c r="U10" s="106">
        <v>313</v>
      </c>
      <c r="Z10" s="73" t="s">
        <v>51</v>
      </c>
      <c r="AA10" s="107">
        <v>2600</v>
      </c>
      <c r="AB10" s="73"/>
    </row>
    <row r="11" spans="2:29" x14ac:dyDescent="0.25">
      <c r="G11" s="1" t="s">
        <v>18</v>
      </c>
      <c r="H11" s="106">
        <v>74</v>
      </c>
      <c r="I11" s="62">
        <v>2.8461538461538462E-2</v>
      </c>
      <c r="M11" s="1" t="s">
        <v>174</v>
      </c>
      <c r="N11" s="106">
        <v>2600</v>
      </c>
      <c r="O11" s="62">
        <v>1</v>
      </c>
      <c r="S11" s="1" t="s">
        <v>174</v>
      </c>
      <c r="T11" s="106">
        <v>2600</v>
      </c>
      <c r="U11" s="106">
        <v>2600</v>
      </c>
    </row>
    <row r="12" spans="2:29" x14ac:dyDescent="0.25">
      <c r="G12" s="1" t="s">
        <v>174</v>
      </c>
      <c r="H12" s="106">
        <v>2600</v>
      </c>
      <c r="I12" s="62">
        <v>1</v>
      </c>
    </row>
    <row r="26" spans="2:3" x14ac:dyDescent="0.25">
      <c r="B26"/>
      <c r="C26"/>
    </row>
    <row r="27" spans="2:3" x14ac:dyDescent="0.25">
      <c r="B27"/>
      <c r="C27"/>
    </row>
    <row r="28" spans="2:3" x14ac:dyDescent="0.25">
      <c r="B28"/>
      <c r="C28"/>
    </row>
    <row r="29" spans="2:3" x14ac:dyDescent="0.25">
      <c r="B29"/>
      <c r="C29"/>
    </row>
    <row r="30" spans="2:3" x14ac:dyDescent="0.25">
      <c r="B30"/>
      <c r="C30"/>
    </row>
    <row r="31" spans="2:3" x14ac:dyDescent="0.25">
      <c r="B31"/>
      <c r="C31"/>
    </row>
    <row r="32" spans="2:3" x14ac:dyDescent="0.25">
      <c r="B32"/>
      <c r="C32"/>
    </row>
    <row r="33" spans="2:3" x14ac:dyDescent="0.25">
      <c r="B33"/>
      <c r="C33"/>
    </row>
    <row r="34" spans="2:3" x14ac:dyDescent="0.25">
      <c r="B34"/>
      <c r="C34"/>
    </row>
    <row r="35" spans="2:3" x14ac:dyDescent="0.25">
      <c r="B35"/>
      <c r="C35"/>
    </row>
    <row r="36" spans="2:3" x14ac:dyDescent="0.25">
      <c r="B36"/>
      <c r="C36"/>
    </row>
    <row r="37" spans="2:3" x14ac:dyDescent="0.25">
      <c r="B37"/>
      <c r="C37"/>
    </row>
    <row r="38" spans="2:3" x14ac:dyDescent="0.25">
      <c r="B38"/>
      <c r="C38"/>
    </row>
  </sheetData>
  <mergeCells count="3">
    <mergeCell ref="B1:B3"/>
    <mergeCell ref="AC5:AC8"/>
    <mergeCell ref="AB3:AC3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a791d1c5-085d-4d66-bcc5-7edb4cec76eb" xsi:nil="true"/>
    <lcf76f155ced4ddcb4097134ff3c332f xmlns="5326a41b-5115-4cdb-a3db-40d19b0ad7d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44A10BCD533EE4D87E451EA2EE37BD6" ma:contentTypeVersion="16" ma:contentTypeDescription="Crie um novo documento." ma:contentTypeScope="" ma:versionID="cd67f3b5a93cb5cdb1915733d88bf41d">
  <xsd:schema xmlns:xsd="http://www.w3.org/2001/XMLSchema" xmlns:xs="http://www.w3.org/2001/XMLSchema" xmlns:p="http://schemas.microsoft.com/office/2006/metadata/properties" xmlns:ns1="http://schemas.microsoft.com/sharepoint/v3" xmlns:ns2="5326a41b-5115-4cdb-a3db-40d19b0ad7da" xmlns:ns3="a791d1c5-085d-4d66-bcc5-7edb4cec76eb" targetNamespace="http://schemas.microsoft.com/office/2006/metadata/properties" ma:root="true" ma:fieldsID="37e3af22c45fb7b4bf7904a364da5e9e" ns1:_="" ns2:_="" ns3:_="">
    <xsd:import namespace="http://schemas.microsoft.com/sharepoint/v3"/>
    <xsd:import namespace="5326a41b-5115-4cdb-a3db-40d19b0ad7da"/>
    <xsd:import namespace="a791d1c5-085d-4d66-bcc5-7edb4cec76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26a41b-5115-4cdb-a3db-40d19b0ad7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Marcações de imagem" ma:readOnly="false" ma:fieldId="{5cf76f15-5ced-4ddc-b409-7134ff3c332f}" ma:taxonomyMulti="true" ma:sspId="4b2e35d7-0bf6-4cd4-a167-eb472820a8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91d1c5-085d-4d66-bcc5-7edb4cec76e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931264a-67b7-4391-8f61-e988093f5240}" ma:internalName="TaxCatchAll" ma:showField="CatchAllData" ma:web="a791d1c5-085d-4d66-bcc5-7edb4cec76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��
</file>

<file path=customXml/itemProps1.xml><?xml version="1.0" encoding="utf-8"?>
<ds:datastoreItem xmlns:ds="http://schemas.openxmlformats.org/officeDocument/2006/customXml" ds:itemID="{12C315BF-B2F5-4208-90A6-FAE2FEB4C4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a791d1c5-085d-4d66-bcc5-7edb4cec76eb"/>
    <ds:schemaRef ds:uri="5326a41b-5115-4cdb-a3db-40d19b0ad7da"/>
  </ds:schemaRefs>
</ds:datastoreItem>
</file>

<file path=customXml/itemProps2.xml><?xml version="1.0" encoding="utf-8"?>
<ds:datastoreItem xmlns:ds="http://schemas.openxmlformats.org/officeDocument/2006/customXml" ds:itemID="{CF3FCF39-45FA-4482-8669-EABBEC1103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326a41b-5115-4cdb-a3db-40d19b0ad7da"/>
    <ds:schemaRef ds:uri="a791d1c5-085d-4d66-bcc5-7edb4cec76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EACAA11-2961-4117-8398-3B2DF64C89E3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D998707-4B26-45D2-BF60-9CE634C2827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Cursos</vt:lpstr>
      <vt:lpstr>Frame 1</vt:lpstr>
      <vt:lpstr>Frame 2</vt:lpstr>
      <vt:lpstr>Resumo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Giuliana Diettrich</dc:creator>
  <cp:keywords/>
  <dc:description/>
  <cp:lastModifiedBy>Sybele Marcia Starling</cp:lastModifiedBy>
  <cp:revision/>
  <dcterms:created xsi:type="dcterms:W3CDTF">2023-08-14T11:41:55Z</dcterms:created>
  <dcterms:modified xsi:type="dcterms:W3CDTF">2026-08-27T19:06:53Z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0x010100244A10BCD533EE4D87E451EA2EE37BD6</vt:lpwstr>
  </property>
  <property fmtid="{D5CDD505-2E9C-101B-9397-08002B2CF9AE}" pid="3" name="MediaServiceImageTags">
    <vt:lpwstr/>
  </property>
  <property fmtid="{D5CDD505-2E9C-101B-9397-08002B2CF9AE}" pid="4" name="Order">
    <vt:r8>79700</vt:r8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</Properties>
</file>