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hidePivotFieldList="1" autoCompressPictures="0"/>
  <mc:AlternateContent xmlns:mc="http://schemas.openxmlformats.org/markup-compatibility/2006">
    <mc:Choice Requires="x15">
      <x15ac:absPath xmlns:x15ac="http://schemas.microsoft.com/office/spreadsheetml/2010/11/ac" url="C:\Users\Josh\Desktop\"/>
    </mc:Choice>
  </mc:AlternateContent>
  <xr:revisionPtr revIDLastSave="0" documentId="8_{A27D9F72-E764-4C33-AD4A-D034C32E4D3C}" xr6:coauthVersionLast="47" xr6:coauthVersionMax="47" xr10:uidLastSave="{00000000-0000-0000-0000-000000000000}"/>
  <bookViews>
    <workbookView xWindow="-28920" yWindow="1695" windowWidth="28110" windowHeight="16440" xr2:uid="{00000000-000D-0000-FFFF-FFFF00000000}"/>
  </bookViews>
  <sheets>
    <sheet name="FLIP CALCULATOR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8" i="1" l="1"/>
  <c r="C12" i="1"/>
  <c r="C15" i="1"/>
  <c r="C20" i="1" s="1"/>
  <c r="C23" i="1" l="1"/>
  <c r="C13" i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C17" i="1" l="1"/>
  <c r="C16" i="1"/>
  <c r="C21" i="1" l="1"/>
  <c r="C26" i="1" s="1"/>
  <c r="G18" i="1" l="1"/>
  <c r="G22" i="1"/>
  <c r="G23" i="1"/>
  <c r="C27" i="1"/>
  <c r="G17" i="1"/>
  <c r="G25" i="1"/>
  <c r="G24" i="1"/>
  <c r="G21" i="1"/>
  <c r="F29" i="1" s="1"/>
  <c r="G20" i="1"/>
  <c r="G19" i="1"/>
  <c r="F30" i="1"/>
  <c r="I6" i="1" l="1"/>
  <c r="I7" i="1" s="1"/>
</calcChain>
</file>

<file path=xl/sharedStrings.xml><?xml version="1.0" encoding="utf-8"?>
<sst xmlns="http://schemas.openxmlformats.org/spreadsheetml/2006/main" count="52" uniqueCount="47">
  <si>
    <t>ARV</t>
  </si>
  <si>
    <t>Profit</t>
  </si>
  <si>
    <t>HML Points</t>
  </si>
  <si>
    <t>TPC plus $ cost</t>
  </si>
  <si>
    <t>GAP ROI</t>
  </si>
  <si>
    <t>HML LTV (ARV)</t>
  </si>
  <si>
    <t>Deal?</t>
  </si>
  <si>
    <t>Interest Type</t>
  </si>
  <si>
    <t>Straight</t>
  </si>
  <si>
    <t>Profit Min $</t>
  </si>
  <si>
    <t>Projection</t>
  </si>
  <si>
    <t>as % of ARV</t>
  </si>
  <si>
    <t>Annual</t>
  </si>
  <si>
    <t>GAP Equity Share?</t>
  </si>
  <si>
    <t>Yes</t>
  </si>
  <si>
    <t>No</t>
  </si>
  <si>
    <t>GAP Equity %</t>
  </si>
  <si>
    <t>GAP Return</t>
  </si>
  <si>
    <t>&lt;&lt;-- drop down</t>
  </si>
  <si>
    <t xml:space="preserve">&lt;&lt;-- drop down </t>
  </si>
  <si>
    <t>FLIP SECRETS ULTIMATE FLIP CALCULATOR V1.7</t>
  </si>
  <si>
    <t>Please edit only the yellow highlighted boxes!</t>
  </si>
  <si>
    <t>Property Address</t>
  </si>
  <si>
    <t>Project Months</t>
  </si>
  <si>
    <t>Purchase Price</t>
  </si>
  <si>
    <t>Rehab Budget</t>
  </si>
  <si>
    <t xml:space="preserve">Closing Costs </t>
  </si>
  <si>
    <t>Holding Costs</t>
  </si>
  <si>
    <t>Total Project Costs</t>
  </si>
  <si>
    <t>HML LOAN AMOUNT</t>
  </si>
  <si>
    <t>HML Total Interest</t>
  </si>
  <si>
    <t>HML Admin Fees</t>
  </si>
  <si>
    <t>Down Payment</t>
  </si>
  <si>
    <t>HML Total Fees</t>
  </si>
  <si>
    <t>HML Interest Rate</t>
  </si>
  <si>
    <t>Resale Closing Costs</t>
  </si>
  <si>
    <t>Resale Price</t>
  </si>
  <si>
    <t>Minus CC</t>
  </si>
  <si>
    <t>RE Commissions</t>
  </si>
  <si>
    <t>Buy RE Commissions</t>
  </si>
  <si>
    <t xml:space="preserve">Link to get payment </t>
  </si>
  <si>
    <t>Mortgage Interest only</t>
  </si>
  <si>
    <t xml:space="preserve">AMOUNT NEEDED </t>
  </si>
  <si>
    <t>Comps</t>
  </si>
  <si>
    <t>Rehab Financed</t>
  </si>
  <si>
    <t>Notes</t>
  </si>
  <si>
    <t>Oceanside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</si>
</sst>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%"/>
  </numFmts>
  <fonts count="1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0"/>
      <name val="Calibri (Body)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CF53E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0" fillId="0" borderId="0" xfId="2" applyNumberFormat="1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64" fontId="0" fillId="0" borderId="0" xfId="2" applyNumberFormat="1" applyFont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3" fillId="2" borderId="11" xfId="0" applyFont="1" applyFill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164" fontId="3" fillId="2" borderId="1" xfId="2" applyNumberFormat="1" applyFont="1" applyFill="1" applyBorder="1" applyAlignment="1" applyProtection="1">
      <alignment horizontal="center" vertical="center"/>
      <protection hidden="1"/>
    </xf>
    <xf numFmtId="164" fontId="3" fillId="2" borderId="11" xfId="2" applyNumberFormat="1" applyFont="1" applyFill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44" fontId="3" fillId="2" borderId="13" xfId="1" applyFont="1" applyFill="1" applyBorder="1" applyAlignment="1" applyProtection="1">
      <alignment vertical="center"/>
      <protection hidden="1"/>
    </xf>
    <xf numFmtId="44" fontId="3" fillId="0" borderId="0" xfId="1" applyFont="1" applyFill="1" applyBorder="1" applyAlignment="1" applyProtection="1">
      <alignment vertical="center"/>
      <protection hidden="1"/>
    </xf>
    <xf numFmtId="0" fontId="3" fillId="0" borderId="12" xfId="0" applyFont="1" applyBorder="1" applyAlignment="1" applyProtection="1">
      <alignment horizontal="center" vertical="center"/>
      <protection hidden="1"/>
    </xf>
    <xf numFmtId="0" fontId="3" fillId="0" borderId="23" xfId="0" applyFont="1" applyBorder="1" applyAlignment="1" applyProtection="1">
      <alignment horizontal="center" vertical="center"/>
      <protection hidden="1"/>
    </xf>
    <xf numFmtId="44" fontId="0" fillId="0" borderId="0" xfId="1" applyFont="1" applyAlignment="1" applyProtection="1">
      <alignment vertical="center"/>
      <protection hidden="1"/>
    </xf>
    <xf numFmtId="44" fontId="0" fillId="0" borderId="0" xfId="1" applyFont="1" applyFill="1" applyAlignment="1" applyProtection="1">
      <alignment vertical="center"/>
      <protection hidden="1"/>
    </xf>
    <xf numFmtId="164" fontId="0" fillId="0" borderId="0" xfId="2" applyNumberFormat="1" applyFont="1" applyFill="1" applyAlignment="1" applyProtection="1">
      <alignment horizontal="center" vertical="center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44" fontId="3" fillId="2" borderId="11" xfId="1" applyFont="1" applyFill="1" applyBorder="1" applyAlignment="1" applyProtection="1">
      <alignment vertical="center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44" fontId="3" fillId="2" borderId="1" xfId="1" applyFont="1" applyFill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44" fontId="0" fillId="0" borderId="0" xfId="0" applyNumberFormat="1" applyAlignment="1" applyProtection="1">
      <alignment vertical="center"/>
      <protection hidden="1"/>
    </xf>
    <xf numFmtId="44" fontId="2" fillId="0" borderId="0" xfId="1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44" fontId="3" fillId="0" borderId="0" xfId="0" applyNumberFormat="1" applyFont="1" applyAlignment="1" applyProtection="1">
      <alignment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164" fontId="3" fillId="0" borderId="0" xfId="2" applyNumberFormat="1" applyFont="1" applyFill="1" applyBorder="1" applyAlignment="1" applyProtection="1">
      <alignment horizontal="center" vertical="center"/>
      <protection hidden="1"/>
    </xf>
    <xf numFmtId="44" fontId="3" fillId="4" borderId="1" xfId="1" applyFont="1" applyFill="1" applyBorder="1" applyAlignment="1" applyProtection="1">
      <alignment vertical="center"/>
      <protection hidden="1"/>
    </xf>
    <xf numFmtId="44" fontId="3" fillId="4" borderId="1" xfId="0" applyNumberFormat="1" applyFont="1" applyFill="1" applyBorder="1" applyAlignment="1" applyProtection="1">
      <alignment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44" fontId="0" fillId="0" borderId="20" xfId="0" applyNumberFormat="1" applyBorder="1" applyAlignment="1" applyProtection="1">
      <alignment vertical="center"/>
      <protection hidden="1"/>
    </xf>
    <xf numFmtId="44" fontId="3" fillId="0" borderId="1" xfId="1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44" fontId="0" fillId="0" borderId="21" xfId="1" applyFont="1" applyBorder="1" applyAlignment="1" applyProtection="1">
      <alignment vertical="center"/>
      <protection hidden="1"/>
    </xf>
    <xf numFmtId="44" fontId="0" fillId="0" borderId="0" xfId="1" applyFont="1" applyFill="1" applyBorder="1" applyAlignment="1" applyProtection="1">
      <alignment vertical="center"/>
      <protection hidden="1"/>
    </xf>
    <xf numFmtId="44" fontId="3" fillId="0" borderId="15" xfId="0" applyNumberFormat="1" applyFont="1" applyBorder="1" applyAlignment="1" applyProtection="1">
      <alignment horizontal="center" vertical="center"/>
      <protection hidden="1"/>
    </xf>
    <xf numFmtId="44" fontId="0" fillId="0" borderId="17" xfId="0" applyNumberFormat="1" applyBorder="1" applyAlignment="1" applyProtection="1">
      <alignment horizontal="center" vertical="center"/>
      <protection hidden="1"/>
    </xf>
    <xf numFmtId="44" fontId="3" fillId="0" borderId="5" xfId="0" applyNumberFormat="1" applyFont="1" applyBorder="1" applyAlignment="1" applyProtection="1">
      <alignment horizontal="center" vertical="center"/>
      <protection hidden="1"/>
    </xf>
    <xf numFmtId="44" fontId="0" fillId="0" borderId="18" xfId="0" applyNumberFormat="1" applyBorder="1" applyAlignment="1" applyProtection="1">
      <alignment horizontal="center" vertical="center"/>
      <protection hidden="1"/>
    </xf>
    <xf numFmtId="44" fontId="0" fillId="0" borderId="7" xfId="0" applyNumberFormat="1" applyBorder="1" applyAlignment="1" applyProtection="1">
      <alignment vertical="center"/>
      <protection hidden="1"/>
    </xf>
    <xf numFmtId="44" fontId="3" fillId="0" borderId="16" xfId="0" applyNumberFormat="1" applyFont="1" applyBorder="1" applyAlignment="1" applyProtection="1">
      <alignment horizontal="center" vertical="center"/>
      <protection hidden="1"/>
    </xf>
    <xf numFmtId="44" fontId="0" fillId="0" borderId="19" xfId="0" applyNumberFormat="1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44" fontId="0" fillId="0" borderId="21" xfId="0" applyNumberFormat="1" applyBorder="1" applyAlignment="1" applyProtection="1">
      <alignment vertical="center"/>
      <protection hidden="1"/>
    </xf>
    <xf numFmtId="44" fontId="3" fillId="4" borderId="2" xfId="0" applyNumberFormat="1" applyFont="1" applyFill="1" applyBorder="1" applyAlignment="1" applyProtection="1">
      <alignment horizontal="center" vertical="center"/>
      <protection hidden="1"/>
    </xf>
    <xf numFmtId="44" fontId="3" fillId="4" borderId="3" xfId="0" applyNumberFormat="1" applyFont="1" applyFill="1" applyBorder="1" applyAlignment="1" applyProtection="1">
      <alignment horizontal="center" vertical="center"/>
      <protection hidden="1"/>
    </xf>
    <xf numFmtId="44" fontId="0" fillId="0" borderId="8" xfId="1" applyFont="1" applyBorder="1" applyAlignment="1" applyProtection="1">
      <alignment vertical="center"/>
      <protection hidden="1"/>
    </xf>
    <xf numFmtId="44" fontId="3" fillId="0" borderId="6" xfId="0" applyNumberFormat="1" applyFont="1" applyBorder="1" applyAlignment="1" applyProtection="1">
      <alignment horizontal="center" vertical="center"/>
      <protection hidden="1"/>
    </xf>
    <xf numFmtId="44" fontId="0" fillId="0" borderId="9" xfId="0" applyNumberFormat="1" applyBorder="1" applyAlignment="1" applyProtection="1">
      <alignment horizontal="center" vertical="center"/>
      <protection hidden="1"/>
    </xf>
    <xf numFmtId="44" fontId="3" fillId="4" borderId="11" xfId="1" applyFont="1" applyFill="1" applyBorder="1" applyAlignment="1" applyProtection="1">
      <alignment vertical="center"/>
      <protection hidden="1"/>
    </xf>
    <xf numFmtId="9" fontId="3" fillId="4" borderId="1" xfId="2" applyFon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44" fontId="3" fillId="4" borderId="1" xfId="1" applyFont="1" applyFill="1" applyBorder="1" applyAlignment="1" applyProtection="1">
      <alignment horizontal="center" vertical="center"/>
      <protection hidden="1"/>
    </xf>
    <xf numFmtId="10" fontId="3" fillId="4" borderId="1" xfId="2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>
      <alignment horizontal="center" vertical="center"/>
    </xf>
    <xf numFmtId="44" fontId="0" fillId="0" borderId="7" xfId="1" applyFont="1" applyBorder="1" applyAlignment="1" applyProtection="1">
      <alignment horizontal="center" vertical="center"/>
      <protection hidden="1"/>
    </xf>
    <xf numFmtId="44" fontId="0" fillId="0" borderId="20" xfId="1" applyFont="1" applyBorder="1" applyAlignment="1" applyProtection="1">
      <alignment horizontal="center" vertical="center"/>
      <protection hidden="1"/>
    </xf>
    <xf numFmtId="44" fontId="0" fillId="0" borderId="22" xfId="1" applyFont="1" applyBorder="1" applyAlignment="1" applyProtection="1">
      <alignment horizontal="center" vertical="center"/>
      <protection hidden="1"/>
    </xf>
    <xf numFmtId="44" fontId="0" fillId="4" borderId="1" xfId="1" applyFont="1" applyFill="1" applyBorder="1" applyAlignment="1" applyProtection="1">
      <alignment horizontal="center" vertical="center"/>
      <protection hidden="1"/>
    </xf>
    <xf numFmtId="44" fontId="0" fillId="0" borderId="13" xfId="1" applyFont="1" applyBorder="1" applyAlignment="1" applyProtection="1">
      <alignment horizontal="center" vertical="center"/>
      <protection hidden="1"/>
    </xf>
    <xf numFmtId="0" fontId="9" fillId="0" borderId="0" xfId="3" applyAlignment="1">
      <alignment vertical="center"/>
    </xf>
    <xf numFmtId="44" fontId="3" fillId="2" borderId="1" xfId="2" applyNumberFormat="1" applyFont="1" applyFill="1" applyBorder="1" applyAlignment="1" applyProtection="1">
      <alignment horizontal="center" vertical="center"/>
      <protection hidden="1"/>
    </xf>
    <xf numFmtId="44" fontId="3" fillId="6" borderId="1" xfId="0" applyNumberFormat="1" applyFont="1" applyFill="1" applyBorder="1" applyAlignment="1" applyProtection="1">
      <alignment vertical="center"/>
      <protection hidden="1"/>
    </xf>
    <xf numFmtId="44" fontId="3" fillId="8" borderId="22" xfId="1" applyFont="1" applyFill="1" applyBorder="1" applyAlignment="1" applyProtection="1">
      <alignment vertical="center"/>
      <protection hidden="1"/>
    </xf>
    <xf numFmtId="44" fontId="3" fillId="8" borderId="1" xfId="1" applyFont="1" applyFill="1" applyBorder="1" applyAlignment="1" applyProtection="1">
      <alignment vertical="center"/>
      <protection hidden="1"/>
    </xf>
    <xf numFmtId="164" fontId="3" fillId="6" borderId="1" xfId="2" applyNumberFormat="1" applyFont="1" applyFill="1" applyBorder="1" applyAlignment="1" applyProtection="1">
      <alignment horizontal="center" vertical="center"/>
      <protection hidden="1"/>
    </xf>
    <xf numFmtId="0" fontId="9" fillId="7" borderId="1" xfId="3" applyFill="1" applyBorder="1" applyAlignment="1" applyProtection="1">
      <alignment horizontal="left" vertical="center"/>
      <protection hidden="1"/>
    </xf>
    <xf numFmtId="44" fontId="3" fillId="6" borderId="1" xfId="0" applyNumberFormat="1" applyFont="1" applyFill="1" applyBorder="1" applyAlignment="1" applyProtection="1">
      <alignment horizontal="center" vertical="center"/>
      <protection hidden="1"/>
    </xf>
    <xf numFmtId="44" fontId="3" fillId="0" borderId="22" xfId="0" applyNumberFormat="1" applyFont="1" applyBorder="1" applyAlignment="1" applyProtection="1">
      <alignment horizontal="center" vertical="center"/>
      <protection hidden="1"/>
    </xf>
    <xf numFmtId="10" fontId="3" fillId="6" borderId="13" xfId="2" applyNumberFormat="1" applyFont="1" applyFill="1" applyBorder="1" applyAlignment="1" applyProtection="1">
      <alignment horizontal="center" vertical="center"/>
      <protection hidden="1"/>
    </xf>
    <xf numFmtId="0" fontId="7" fillId="5" borderId="10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7CF53E"/>
      <color rgb="FF00F500"/>
      <color rgb="FFE3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ankrate.com/mortgages/interest-only-mortgage-payment-calculato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1:Z30"/>
  <sheetViews>
    <sheetView tabSelected="1" topLeftCell="B1" zoomScale="160" zoomScaleNormal="160" workbookViewId="0">
      <selection activeCell="C12" sqref="C12"/>
    </sheetView>
  </sheetViews>
  <sheetFormatPr defaultColWidth="8.77734375" defaultRowHeight="14.4"/>
  <cols>
    <col min="1" max="1" width="1.109375" style="1" customWidth="1"/>
    <col min="2" max="2" width="18" style="2" customWidth="1"/>
    <col min="3" max="3" width="18.33203125" style="1" bestFit="1" customWidth="1"/>
    <col min="4" max="4" width="3" style="1" customWidth="1"/>
    <col min="5" max="5" width="27.44140625" style="3" bestFit="1" customWidth="1"/>
    <col min="6" max="6" width="13.6640625" style="4" bestFit="1" customWidth="1"/>
    <col min="7" max="7" width="16.44140625" style="2" bestFit="1" customWidth="1"/>
    <col min="8" max="8" width="12.109375" style="1" customWidth="1"/>
    <col min="9" max="9" width="36.33203125" style="1" bestFit="1" customWidth="1"/>
    <col min="10" max="10" width="10.109375" style="1" bestFit="1" customWidth="1"/>
    <col min="11" max="11" width="16.44140625" style="1" bestFit="1" customWidth="1"/>
    <col min="12" max="12" width="12" style="2" customWidth="1"/>
    <col min="13" max="13" width="12" style="1" customWidth="1"/>
    <col min="14" max="14" width="12" style="2" customWidth="1"/>
    <col min="15" max="25" width="12" style="1" customWidth="1"/>
    <col min="26" max="26" width="8.77734375" style="2"/>
    <col min="27" max="16384" width="8.77734375" style="1"/>
  </cols>
  <sheetData>
    <row r="1" spans="2:26" ht="19.95" customHeight="1">
      <c r="B1" s="80" t="s">
        <v>20</v>
      </c>
      <c r="C1" s="81"/>
      <c r="D1" s="81"/>
      <c r="E1" s="81"/>
      <c r="F1" s="81"/>
      <c r="G1" s="81"/>
      <c r="H1" s="81"/>
      <c r="I1" s="82"/>
    </row>
    <row r="2" spans="2:26" ht="19.95" customHeight="1" thickBot="1">
      <c r="B2" s="83" t="s">
        <v>21</v>
      </c>
      <c r="C2" s="84"/>
      <c r="D2" s="84"/>
      <c r="E2" s="84"/>
      <c r="F2" s="84"/>
      <c r="G2" s="84"/>
      <c r="H2" s="84"/>
      <c r="I2" s="85"/>
      <c r="Z2" s="2" t="s">
        <v>12</v>
      </c>
    </row>
    <row r="3" spans="2:26" ht="15" customHeight="1">
      <c r="B3" s="64"/>
      <c r="C3" s="64"/>
      <c r="D3" s="64"/>
      <c r="E3" s="64"/>
      <c r="F3" s="64"/>
      <c r="G3" s="64"/>
      <c r="H3" s="64"/>
      <c r="I3" s="64"/>
    </row>
    <row r="4" spans="2:26" ht="15" customHeight="1" thickBot="1">
      <c r="B4" s="5"/>
      <c r="C4" s="6"/>
      <c r="D4" s="6"/>
      <c r="E4" s="7"/>
      <c r="F4" s="8"/>
      <c r="G4" s="5"/>
      <c r="H4" s="6"/>
      <c r="I4" s="6"/>
      <c r="J4" s="6"/>
      <c r="Z4" s="2" t="s">
        <v>12</v>
      </c>
    </row>
    <row r="5" spans="2:26" ht="15" thickBot="1">
      <c r="B5" s="9" t="s">
        <v>22</v>
      </c>
      <c r="C5" s="10" t="s">
        <v>46</v>
      </c>
      <c r="D5" s="7"/>
      <c r="E5" s="11" t="s">
        <v>5</v>
      </c>
      <c r="F5" s="75">
        <v>0.9</v>
      </c>
      <c r="G5" s="5"/>
      <c r="H5" s="11" t="s">
        <v>9</v>
      </c>
      <c r="I5" s="41">
        <v>50000</v>
      </c>
      <c r="J5" s="6"/>
      <c r="L5" s="1"/>
      <c r="N5" s="1"/>
      <c r="Z5" s="2" t="s">
        <v>8</v>
      </c>
    </row>
    <row r="6" spans="2:26" ht="15" thickBot="1">
      <c r="B6" s="14" t="s">
        <v>23</v>
      </c>
      <c r="C6" s="15">
        <v>4</v>
      </c>
      <c r="D6" s="7"/>
      <c r="E6" s="11" t="s">
        <v>2</v>
      </c>
      <c r="F6" s="75">
        <v>0.04</v>
      </c>
      <c r="G6" s="5"/>
      <c r="H6" s="20" t="s">
        <v>10</v>
      </c>
      <c r="I6" s="78">
        <f>G21</f>
        <v>50823</v>
      </c>
      <c r="J6" s="6"/>
      <c r="L6" s="1"/>
      <c r="N6" s="1"/>
      <c r="Z6" s="2" t="s">
        <v>15</v>
      </c>
    </row>
    <row r="7" spans="2:26" ht="18.600000000000001" thickBot="1">
      <c r="B7" s="16" t="s">
        <v>0</v>
      </c>
      <c r="C7" s="17">
        <v>800000</v>
      </c>
      <c r="D7" s="18"/>
      <c r="E7" s="19" t="s">
        <v>34</v>
      </c>
      <c r="F7" s="79">
        <v>0.1099</v>
      </c>
      <c r="G7" s="5"/>
      <c r="H7" s="11" t="s">
        <v>6</v>
      </c>
      <c r="I7" s="24" t="str">
        <f>IF((OR(I6&gt;I5, IF(F27="Yes", (G21/(100%-F28)&gt;I5)))),"YES!","NOPE!")</f>
        <v>YES!</v>
      </c>
      <c r="J7" s="6"/>
      <c r="L7" s="1"/>
      <c r="N7" s="1"/>
      <c r="Z7" s="2" t="s">
        <v>14</v>
      </c>
    </row>
    <row r="8" spans="2:26" ht="14.7" customHeight="1" thickBot="1">
      <c r="B8" s="5"/>
      <c r="C8" s="21"/>
      <c r="D8" s="22"/>
      <c r="E8" s="7"/>
      <c r="F8" s="23"/>
      <c r="G8" s="5"/>
      <c r="H8" s="6"/>
      <c r="I8" s="6"/>
      <c r="J8" s="6"/>
      <c r="L8" s="1"/>
      <c r="N8" s="1"/>
    </row>
    <row r="9" spans="2:26" ht="15" thickBot="1">
      <c r="B9" s="25" t="s">
        <v>24</v>
      </c>
      <c r="C9" s="26">
        <v>600000</v>
      </c>
      <c r="D9" s="18"/>
      <c r="E9" s="11" t="s">
        <v>39</v>
      </c>
      <c r="F9" s="13">
        <v>0.01</v>
      </c>
      <c r="G9" s="5"/>
      <c r="H9" s="31"/>
      <c r="I9" s="31"/>
      <c r="J9" s="6"/>
      <c r="L9" s="1"/>
      <c r="N9" s="1"/>
    </row>
    <row r="10" spans="2:26" ht="15" thickBot="1">
      <c r="B10" s="28" t="s">
        <v>25</v>
      </c>
      <c r="C10" s="29">
        <v>50000</v>
      </c>
      <c r="D10" s="18"/>
      <c r="E10" s="11" t="s">
        <v>41</v>
      </c>
      <c r="F10" s="71">
        <v>4050</v>
      </c>
      <c r="G10" s="70" t="s">
        <v>40</v>
      </c>
      <c r="H10" s="34"/>
      <c r="I10" s="34"/>
      <c r="J10" s="31"/>
      <c r="L10" s="1"/>
      <c r="N10" s="1"/>
    </row>
    <row r="11" spans="2:26" ht="15" thickBot="1">
      <c r="B11" s="28" t="s">
        <v>26</v>
      </c>
      <c r="C11" s="73">
        <v>22000</v>
      </c>
      <c r="D11" s="32"/>
      <c r="E11" s="11" t="s">
        <v>7</v>
      </c>
      <c r="F11" s="12" t="s">
        <v>12</v>
      </c>
      <c r="G11" s="33" t="s">
        <v>18</v>
      </c>
      <c r="H11" s="31"/>
      <c r="I11" s="31"/>
      <c r="J11" s="34"/>
      <c r="L11" s="1"/>
      <c r="N11" s="1"/>
    </row>
    <row r="12" spans="2:26" ht="15" thickBot="1">
      <c r="B12" s="35" t="s">
        <v>27</v>
      </c>
      <c r="C12" s="74">
        <f>F10*C6-C9*F9</f>
        <v>10200</v>
      </c>
      <c r="D12" s="18"/>
      <c r="E12" s="7"/>
      <c r="F12" s="36"/>
      <c r="G12" s="5"/>
      <c r="H12" s="31"/>
      <c r="J12" s="31"/>
      <c r="N12" s="1"/>
    </row>
    <row r="13" spans="2:26" ht="15" thickBot="1">
      <c r="B13" s="14" t="s">
        <v>28</v>
      </c>
      <c r="C13" s="37">
        <f>SUM(C9:C12)</f>
        <v>682200</v>
      </c>
      <c r="D13" s="18"/>
      <c r="E13" s="11" t="s">
        <v>38</v>
      </c>
      <c r="F13" s="12">
        <v>0.02</v>
      </c>
      <c r="G13" s="5"/>
      <c r="H13" s="31"/>
      <c r="J13" s="2"/>
      <c r="L13" s="1"/>
      <c r="N13" s="1"/>
      <c r="X13" s="2"/>
      <c r="Z13" s="1"/>
    </row>
    <row r="14" spans="2:26" ht="15" thickBot="1">
      <c r="B14" s="5"/>
      <c r="C14" s="6"/>
      <c r="D14" s="6"/>
      <c r="E14" s="11" t="s">
        <v>35</v>
      </c>
      <c r="F14" s="12">
        <v>0.01</v>
      </c>
      <c r="G14" s="5"/>
      <c r="H14" s="31"/>
      <c r="I14" s="30" t="s">
        <v>43</v>
      </c>
      <c r="L14" s="1"/>
      <c r="N14" s="1"/>
      <c r="X14" s="2"/>
      <c r="Z14" s="1"/>
    </row>
    <row r="15" spans="2:26" ht="15" thickBot="1">
      <c r="B15" s="11" t="s">
        <v>29</v>
      </c>
      <c r="C15" s="38">
        <f>C9*F5</f>
        <v>540000</v>
      </c>
      <c r="D15" s="34"/>
      <c r="E15" s="7"/>
      <c r="F15" s="8"/>
      <c r="G15" s="5"/>
      <c r="H15" s="6"/>
      <c r="I15" s="76"/>
      <c r="J15" s="31"/>
      <c r="L15" s="1"/>
      <c r="N15" s="1"/>
    </row>
    <row r="16" spans="2:26" ht="15" thickBot="1">
      <c r="B16" s="39" t="s">
        <v>2</v>
      </c>
      <c r="C16" s="40">
        <f>SUM(C15*F6)</f>
        <v>21600</v>
      </c>
      <c r="D16" s="31"/>
      <c r="E16" s="11" t="s">
        <v>36</v>
      </c>
      <c r="F16" s="41" t="s">
        <v>37</v>
      </c>
      <c r="G16" s="42" t="s">
        <v>1</v>
      </c>
      <c r="H16" s="6"/>
      <c r="I16" s="6"/>
      <c r="J16" s="6"/>
      <c r="L16" s="1"/>
      <c r="N16" s="1"/>
    </row>
    <row r="17" spans="2:14" ht="15" thickBot="1">
      <c r="B17" s="28" t="s">
        <v>30</v>
      </c>
      <c r="C17" s="43">
        <f>SUM(((C15*F7)/12)*C6)</f>
        <v>19782</v>
      </c>
      <c r="D17" s="44"/>
      <c r="E17" s="45">
        <f>SUM(C7-20000)</f>
        <v>780000</v>
      </c>
      <c r="F17" s="65">
        <f>SUM(E17)-(E17*(SUM(F13:F14)))</f>
        <v>756600</v>
      </c>
      <c r="G17" s="46">
        <f>IF(F27="No",SUM(F17-C26), SUM((F17-C26)*(100%-F28)))</f>
        <v>31423</v>
      </c>
      <c r="H17" s="6"/>
      <c r="J17" s="6"/>
      <c r="L17" s="1"/>
      <c r="N17" s="1"/>
    </row>
    <row r="18" spans="2:14" ht="15" thickBot="1">
      <c r="B18" s="35" t="s">
        <v>31</v>
      </c>
      <c r="C18" s="29">
        <f>600+995</f>
        <v>1595</v>
      </c>
      <c r="D18" s="18"/>
      <c r="E18" s="47">
        <f>SUM(C7-15000)</f>
        <v>785000</v>
      </c>
      <c r="F18" s="66">
        <f>SUM(E18)-(E18*(SUM(F13:F14)))</f>
        <v>761450</v>
      </c>
      <c r="G18" s="48">
        <f>IF(F27="No",SUM(F18-C26), SUM((F18-C26)*(100%-F28)))</f>
        <v>36273</v>
      </c>
      <c r="H18" s="6"/>
      <c r="I18" s="30" t="s">
        <v>45</v>
      </c>
      <c r="J18" s="6"/>
      <c r="L18" s="1"/>
      <c r="N18" s="1"/>
    </row>
    <row r="19" spans="2:14" ht="15" thickBot="1">
      <c r="B19" s="5"/>
      <c r="C19" s="6"/>
      <c r="D19" s="6"/>
      <c r="E19" s="47">
        <f>SUM(C7-10000)</f>
        <v>790000</v>
      </c>
      <c r="F19" s="66">
        <f>SUM(E19)-(E19*(SUM(F13:F14)))</f>
        <v>766300</v>
      </c>
      <c r="G19" s="48">
        <f>IF(F27="No",SUM(F19-C26), SUM((F19-C26)*(100%-F28)))</f>
        <v>41123</v>
      </c>
      <c r="H19" s="6"/>
      <c r="I19"/>
      <c r="J19" s="6"/>
      <c r="L19" s="1"/>
      <c r="N19" s="1"/>
    </row>
    <row r="20" spans="2:14" ht="15" thickBot="1">
      <c r="B20" s="25" t="s">
        <v>32</v>
      </c>
      <c r="C20" s="49">
        <f>C9-C15</f>
        <v>60000</v>
      </c>
      <c r="D20" s="31"/>
      <c r="E20" s="50">
        <f>SUM(C7-5000)</f>
        <v>795000</v>
      </c>
      <c r="F20" s="67">
        <f>SUM(E20)-(E20*(SUM(F13:F14)))</f>
        <v>771150</v>
      </c>
      <c r="G20" s="51">
        <f>IF(F27="No",SUM(F20-C26), SUM((F20-C26)*(100%-F28)))</f>
        <v>45973</v>
      </c>
      <c r="H20" s="6"/>
      <c r="I20" s="6"/>
      <c r="J20" s="6"/>
      <c r="L20" s="1"/>
      <c r="N20" s="1"/>
    </row>
    <row r="21" spans="2:14" ht="15" thickBot="1">
      <c r="B21" s="52" t="s">
        <v>33</v>
      </c>
      <c r="C21" s="53">
        <f>SUM(C16,C17,C18)</f>
        <v>42977</v>
      </c>
      <c r="D21" s="31"/>
      <c r="E21" s="54">
        <f>SUM(C7)</f>
        <v>800000</v>
      </c>
      <c r="F21" s="68">
        <f>SUM(E21)-(E21*(SUM(F13:F14)))</f>
        <v>776000</v>
      </c>
      <c r="G21" s="55">
        <f>IF(F27="No",SUM(F21-C26), SUM((F21-C26)*(100%-F28)))</f>
        <v>50823</v>
      </c>
      <c r="H21" s="6"/>
      <c r="I21" s="6"/>
      <c r="J21" s="6"/>
    </row>
    <row r="22" spans="2:14" ht="15" thickBot="1">
      <c r="B22" s="14" t="s">
        <v>44</v>
      </c>
      <c r="C22" s="77" t="s">
        <v>14</v>
      </c>
      <c r="D22" s="34"/>
      <c r="E22" s="45">
        <f>SUM(C7+5000)</f>
        <v>805000</v>
      </c>
      <c r="F22" s="66">
        <f>SUM(E22)-(E22*(SUM(F13:F14)))</f>
        <v>780850</v>
      </c>
      <c r="G22" s="46">
        <f>IF(F27="No",SUM(F22-C26), SUM((F22-C26)*(100%-F28)))</f>
        <v>55673</v>
      </c>
      <c r="H22" s="6"/>
      <c r="I22" s="6"/>
      <c r="J22" s="6"/>
    </row>
    <row r="23" spans="2:14" ht="15" thickBot="1">
      <c r="B23" s="11" t="s">
        <v>42</v>
      </c>
      <c r="C23" s="72">
        <f>IF(C22 = "Yes", C11 + C12 + C20, IF(C22 = "No", C10 + C11 + C12 + C20))</f>
        <v>92200</v>
      </c>
      <c r="D23" s="44"/>
      <c r="E23" s="47">
        <f>SUM(C7+10000)</f>
        <v>810000</v>
      </c>
      <c r="F23" s="66">
        <f>SUM(E23)-(E23*(SUM(F13:F14)))</f>
        <v>785700</v>
      </c>
      <c r="G23" s="48">
        <f>IF(F27="No",SUM(F23-C26), SUM((F23-C26)*(100%-F28)))</f>
        <v>60523</v>
      </c>
      <c r="H23" s="6"/>
      <c r="I23" s="6"/>
      <c r="J23" s="6"/>
    </row>
    <row r="24" spans="2:14" ht="15" thickBot="1">
      <c r="B24" s="35"/>
      <c r="C24" s="56"/>
      <c r="D24" s="44"/>
      <c r="E24" s="47">
        <f>SUM(C7+15000)</f>
        <v>815000</v>
      </c>
      <c r="F24" s="66">
        <f>SUM(E24)-(E24*(SUM(F13:F14)))</f>
        <v>790550</v>
      </c>
      <c r="G24" s="48">
        <f>IF(F27="No",SUM(F24-C26), SUM((F24-C26)*(100%-F28)))</f>
        <v>65373</v>
      </c>
      <c r="H24" s="6"/>
      <c r="I24" s="6"/>
      <c r="J24" s="6"/>
    </row>
    <row r="25" spans="2:14" ht="15" thickBot="1">
      <c r="B25" s="5"/>
      <c r="C25" s="6"/>
      <c r="D25" s="6"/>
      <c r="E25" s="57">
        <f>SUM(C7+20000)</f>
        <v>820000</v>
      </c>
      <c r="F25" s="69">
        <f>SUM(E25)-(E25*(SUM(F13:F14)))</f>
        <v>795400</v>
      </c>
      <c r="G25" s="58">
        <f>IF(F27="No",SUM(F25-C26), SUM((F25-C26)*(100%-F28)))</f>
        <v>70223</v>
      </c>
      <c r="H25" s="6"/>
      <c r="I25" s="6"/>
      <c r="J25" s="6"/>
    </row>
    <row r="26" spans="2:14" ht="15" thickBot="1">
      <c r="B26" s="27" t="s">
        <v>3</v>
      </c>
      <c r="C26" s="59">
        <f>SUM(C13+C21)</f>
        <v>725177</v>
      </c>
      <c r="D26" s="18"/>
      <c r="E26" s="7"/>
      <c r="F26" s="8"/>
      <c r="G26" s="5"/>
      <c r="H26" s="6"/>
      <c r="I26" s="6"/>
      <c r="J26" s="6"/>
    </row>
    <row r="27" spans="2:14" ht="15" thickBot="1">
      <c r="B27" s="11" t="s">
        <v>11</v>
      </c>
      <c r="C27" s="60">
        <f>SUM(C26/C7)</f>
        <v>0.90647124999999995</v>
      </c>
      <c r="D27" s="6"/>
      <c r="E27" s="11" t="s">
        <v>13</v>
      </c>
      <c r="F27" s="12" t="s">
        <v>15</v>
      </c>
      <c r="G27" s="33" t="s">
        <v>19</v>
      </c>
      <c r="H27" s="6"/>
      <c r="I27" s="6"/>
      <c r="J27" s="6"/>
    </row>
    <row r="28" spans="2:14" ht="15" thickBot="1">
      <c r="B28" s="5"/>
      <c r="C28" s="6"/>
      <c r="D28" s="6"/>
      <c r="E28" s="11" t="s">
        <v>16</v>
      </c>
      <c r="F28" s="12"/>
      <c r="G28" s="61"/>
      <c r="H28" s="6"/>
      <c r="I28" s="6"/>
      <c r="J28" s="6"/>
    </row>
    <row r="29" spans="2:14" ht="15" thickBot="1">
      <c r="B29" s="5"/>
      <c r="C29" s="6"/>
      <c r="D29" s="6"/>
      <c r="E29" s="30" t="s">
        <v>17</v>
      </c>
      <c r="F29" s="62" t="str">
        <f>IF(F27="Yes", ((G21/(100%-F28))*F28), "-")</f>
        <v>-</v>
      </c>
      <c r="G29" s="5"/>
      <c r="H29" s="6"/>
      <c r="I29" s="6"/>
      <c r="J29" s="6"/>
    </row>
    <row r="30" spans="2:14" ht="15" thickBot="1">
      <c r="B30" s="5"/>
      <c r="C30" s="6"/>
      <c r="D30" s="6"/>
      <c r="E30" s="30" t="s">
        <v>4</v>
      </c>
      <c r="F30" s="63" t="str">
        <f>IF(F27="Yes",(F29/C22), "-")</f>
        <v>-</v>
      </c>
      <c r="G30" s="5"/>
      <c r="J30" s="6"/>
    </row>
  </sheetData>
  <mergeCells count="2">
    <mergeCell ref="B1:I1"/>
    <mergeCell ref="B2:I2"/>
  </mergeCells>
  <dataValidations count="3">
    <dataValidation type="list" allowBlank="1" showInputMessage="1" showErrorMessage="1" sqref="F11" xr:uid="{0D8CB168-B023-BA44-ABBD-8EAAC4D892DF}">
      <formula1>$Z$4:$Z$5</formula1>
    </dataValidation>
    <dataValidation type="list" allowBlank="1" showInputMessage="1" showErrorMessage="1" sqref="F27" xr:uid="{FE0984FA-B4C0-204B-AD97-F385C07C2D8F}">
      <formula1>$Z$6:$Z$7</formula1>
    </dataValidation>
    <dataValidation type="list" showInputMessage="1" showErrorMessage="1" sqref="C22" xr:uid="{8CF25591-76FA-6E48-AB53-447F3C850BC6}">
      <formula1>"Yes,No"</formula1>
    </dataValidation>
  </dataValidations>
  <hyperlinks>
    <hyperlink ref="G10" r:id="rId1" xr:uid="{8CE57704-448F-FB44-8EBC-67A2D0528FEB}"/>
  </hyperlinks>
  <pageMargins left="0.7" right="0.7" top="0.75" bottom="0.75" header="0.3" footer="0.3"/>
  <pageSetup orientation="portrait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FLIP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Jake</dc:creator>
  <cp:lastModifiedBy>Joshua Massieh</cp:lastModifiedBy>
  <dcterms:created xsi:type="dcterms:W3CDTF">2015-05-21T04:58:42Z</dcterms:created>
  <dcterms:modified xsi:type="dcterms:W3CDTF">2024-10-15T04:03:19Z</dcterms:modified>
</cp:coreProperties>
</file>