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851/2. Tabla/"/>
    </mc:Choice>
  </mc:AlternateContent>
  <xr:revisionPtr revIDLastSave="660" documentId="8_{D41F9314-CC4B-4061-8F8F-F9D7522F086B}" xr6:coauthVersionLast="47" xr6:coauthVersionMax="47" xr10:uidLastSave="{DDBA93DA-99EB-48DF-AAEA-A149009372EC}"/>
  <bookViews>
    <workbookView xWindow="21630" yWindow="-21600" windowWidth="26025" windowHeight="20985" xr2:uid="{B199096E-5FAC-4E81-B92B-53C6F4C64626}"/>
  </bookViews>
  <sheets>
    <sheet name="Promedio de los umbrales " sheetId="1" r:id="rId1"/>
    <sheet name="Formu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I3" i="1"/>
  <c r="E3" i="1"/>
  <c r="D26" i="1"/>
  <c r="D28" i="1" s="1"/>
  <c r="D24" i="1"/>
  <c r="C24" i="1"/>
  <c r="D9" i="2" l="1"/>
  <c r="E9" i="2"/>
  <c r="E10" i="2"/>
  <c r="D8" i="2"/>
  <c r="C28" i="1"/>
  <c r="C27" i="1"/>
  <c r="D35" i="1"/>
  <c r="D34" i="1"/>
  <c r="D36" i="1" s="1"/>
  <c r="B35" i="1"/>
  <c r="B36" i="1" l="1"/>
  <c r="B37" i="1" s="1"/>
  <c r="B38" i="1" s="1"/>
  <c r="B42" i="1"/>
  <c r="C36" i="1"/>
  <c r="B16" i="1"/>
  <c r="B15" i="1"/>
  <c r="B14" i="1"/>
  <c r="B13" i="1"/>
  <c r="B12" i="1"/>
  <c r="J5" i="2"/>
  <c r="F5" i="2"/>
  <c r="E5" i="2"/>
  <c r="D10" i="2" l="1"/>
  <c r="D11" i="2" s="1"/>
  <c r="B39" i="1" l="1"/>
  <c r="C11" i="1"/>
  <c r="D3" i="1"/>
  <c r="I2" i="1" l="1"/>
  <c r="D4" i="1"/>
  <c r="D5" i="1"/>
  <c r="D6" i="1"/>
  <c r="D7" i="1"/>
  <c r="D2" i="1"/>
  <c r="C12" i="1" l="1"/>
  <c r="C16" i="1"/>
  <c r="C15" i="1"/>
  <c r="C13" i="1"/>
  <c r="C14" i="1"/>
  <c r="E7" i="1"/>
  <c r="E6" i="1"/>
  <c r="E5" i="1"/>
  <c r="E4" i="1"/>
  <c r="C17" i="1" l="1"/>
  <c r="C18" i="1" s="1"/>
</calcChain>
</file>

<file path=xl/sharedStrings.xml><?xml version="1.0" encoding="utf-8"?>
<sst xmlns="http://schemas.openxmlformats.org/spreadsheetml/2006/main" count="64" uniqueCount="41">
  <si>
    <t>Escala por Precio contributivo</t>
  </si>
  <si>
    <t>Arbitrio</t>
  </si>
  <si>
    <t>Impuesto sobre el exceso del precio contributivo</t>
  </si>
  <si>
    <t>Hasta $6,170</t>
  </si>
  <si>
    <t>.</t>
  </si>
  <si>
    <t>Precio contributivo promedio</t>
  </si>
  <si>
    <t>Precio contributivo promedio (por umbral)</t>
  </si>
  <si>
    <t>Año</t>
  </si>
  <si>
    <t xml:space="preserve">Arbitrios promedio </t>
  </si>
  <si>
    <t>75% off</t>
  </si>
  <si>
    <t>autos nuevos vendidos</t>
  </si>
  <si>
    <t>FY 2025</t>
  </si>
  <si>
    <t>Poblacion abordada</t>
  </si>
  <si>
    <t>Recaudos (CRI actual)</t>
  </si>
  <si>
    <t>Recaudos (CRI enmendado)</t>
  </si>
  <si>
    <t>Total</t>
  </si>
  <si>
    <t>Excencion: 75% off de los arbitrios</t>
  </si>
  <si>
    <t>Aportacion por umbral tributario</t>
  </si>
  <si>
    <t>Recaudos (supuesto de que el 17% compra un auto cada 6 years)</t>
  </si>
  <si>
    <t xml:space="preserve">Año </t>
  </si>
  <si>
    <t>Proyección de JSAF</t>
  </si>
  <si>
    <t>Proyección Moody's 
(June Baseline)</t>
  </si>
  <si>
    <t>Desde $21,381 hasta $31,780</t>
  </si>
  <si>
    <t>Desde $6,171 hasta $10,690</t>
  </si>
  <si>
    <t>Desde $10,691 hasta $21,380</t>
  </si>
  <si>
    <t>Desde $31,781 hasta $44,890</t>
  </si>
  <si>
    <t>Desde $44,891 hasta $100,000</t>
  </si>
  <si>
    <t xml:space="preserve">Comprobación </t>
  </si>
  <si>
    <t>Total arbitrios a cobrar (CRI no enmendado)</t>
  </si>
  <si>
    <t>Total arbitrios a cobrar (CRI enmendado)</t>
  </si>
  <si>
    <t>Mayor de $6,170 hasta $10,690</t>
  </si>
  <si>
    <t>Mayor de $10,690 hasta $21,380</t>
  </si>
  <si>
    <t>Mayor de $21,380 hasta $31,780</t>
  </si>
  <si>
    <t>Mayor de $31,780 hasta $44,890</t>
  </si>
  <si>
    <t>Mayor de $44,890 en adelante</t>
  </si>
  <si>
    <t xml:space="preserve">Impuesto a pagar (aplicada la exención)  </t>
  </si>
  <si>
    <t>Escala por precio contributivo</t>
  </si>
  <si>
    <t>Arbitrios renunciados</t>
  </si>
  <si>
    <t>nuevo promedio de arbitrios para la poblacion abordada</t>
  </si>
  <si>
    <t xml:space="preserve">el costo de otorgar la exencion </t>
  </si>
  <si>
    <t>Arbitrio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</si>
</sst>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"/>
    <numFmt numFmtId="165" formatCode="0.0%"/>
    <numFmt numFmtId="166" formatCode="&quot;$&quot;#,##0.00"/>
    <numFmt numFmtId="167" formatCode="0.0"/>
    <numFmt numFmtId="169" formatCode="0.0000%"/>
    <numFmt numFmtId="172" formatCode="&quot;$&quot;#,##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b/>
      <sz val="12"/>
      <color rgb="FFFFFFFF"/>
      <name val="Myriad Pro Condensed"/>
    </font>
    <font>
      <sz val="12"/>
      <color rgb="FF000000"/>
      <name val="Myriad Pro Condensed"/>
    </font>
    <font>
      <sz val="11"/>
      <color theme="1"/>
      <name val="Myriad Pro Condensed"/>
    </font>
    <font>
      <sz val="11"/>
      <color rgb="FF000000"/>
      <name val="Myriad Pro Condensed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5608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166" fontId="0" fillId="0" borderId="0" xfId="0" applyNumberFormat="1"/>
    <xf numFmtId="0" fontId="5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12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 indent="12"/>
    </xf>
    <xf numFmtId="164" fontId="6" fillId="0" borderId="10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167" fontId="6" fillId="0" borderId="4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3" fontId="0" fillId="5" borderId="0" xfId="0" applyNumberFormat="1" applyFill="1"/>
    <xf numFmtId="3" fontId="0" fillId="6" borderId="0" xfId="0" applyNumberFormat="1" applyFill="1"/>
    <xf numFmtId="165" fontId="0" fillId="0" borderId="0" xfId="1" applyNumberFormat="1" applyFont="1"/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wrapText="1"/>
    </xf>
    <xf numFmtId="0" fontId="0" fillId="0" borderId="0" xfId="0" applyAlignment="1">
      <alignment horizontal="left" indent="12"/>
    </xf>
    <xf numFmtId="0" fontId="0" fillId="0" borderId="0" xfId="0" applyAlignment="1">
      <alignment horizontal="center"/>
    </xf>
    <xf numFmtId="169" fontId="6" fillId="0" borderId="0" xfId="1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FF7F-C301-4AFD-ABF2-125A919DC3FF}">
  <dimension ref="A1:S58"/>
  <sheetViews>
    <sheetView tabSelected="1" zoomScale="90" zoomScaleNormal="90" workbookViewId="0">
      <selection activeCell="C57" sqref="C57"/>
    </sheetView>
  </sheetViews>
  <sheetFormatPr defaultColWidth="10.6640625" defaultRowHeight="14.25"/>
  <cols>
    <col min="1" max="1" width="33" style="12" bestFit="1" customWidth="1"/>
    <col min="2" max="2" width="36.86328125" style="12" bestFit="1" customWidth="1"/>
    <col min="3" max="3" width="53.3984375" style="12" bestFit="1" customWidth="1"/>
    <col min="4" max="4" width="45.46484375" style="12" bestFit="1" customWidth="1"/>
    <col min="5" max="5" width="45.3984375" style="12" bestFit="1" customWidth="1"/>
    <col min="6" max="6" width="9.3984375" style="12" bestFit="1" customWidth="1"/>
    <col min="7" max="7" width="5.1328125" style="12" bestFit="1" customWidth="1"/>
    <col min="8" max="8" width="21.1328125" style="12" bestFit="1" customWidth="1"/>
    <col min="9" max="9" width="11.19921875" style="12" bestFit="1" customWidth="1"/>
    <col min="10" max="18" width="10.6640625" style="12"/>
    <col min="19" max="19" width="10.6640625" style="18"/>
  </cols>
  <sheetData>
    <row r="1" spans="1:14" ht="15">
      <c r="A1" s="2" t="s">
        <v>0</v>
      </c>
      <c r="B1" s="2" t="s">
        <v>40</v>
      </c>
      <c r="C1" s="2" t="s">
        <v>2</v>
      </c>
      <c r="D1" s="2" t="s">
        <v>16</v>
      </c>
      <c r="E1" s="2" t="s">
        <v>35</v>
      </c>
      <c r="G1" s="2" t="s">
        <v>7</v>
      </c>
      <c r="H1" s="2" t="s">
        <v>8</v>
      </c>
      <c r="I1" s="2" t="s">
        <v>9</v>
      </c>
    </row>
    <row r="2" spans="1:14" ht="15">
      <c r="A2" s="3" t="s">
        <v>3</v>
      </c>
      <c r="B2" s="4">
        <v>637.5</v>
      </c>
      <c r="C2" s="5" t="s">
        <v>4</v>
      </c>
      <c r="D2" s="4">
        <f t="shared" ref="D2:D7" si="0">B2-(B2*0.75)</f>
        <v>159.375</v>
      </c>
      <c r="E2" s="5" t="s">
        <v>4</v>
      </c>
      <c r="G2" s="14">
        <v>2022</v>
      </c>
      <c r="H2" s="42">
        <v>5055</v>
      </c>
      <c r="I2" s="42">
        <f>H2-(H2*0.75)</f>
        <v>1263.75</v>
      </c>
    </row>
    <row r="3" spans="1:14" ht="15">
      <c r="A3" s="3" t="s">
        <v>30</v>
      </c>
      <c r="B3" s="4">
        <v>637.5</v>
      </c>
      <c r="C3" s="5">
        <v>0.10199999999999999</v>
      </c>
      <c r="D3" s="4">
        <f t="shared" si="0"/>
        <v>159.375</v>
      </c>
      <c r="E3" s="5">
        <f>0.75*C3</f>
        <v>7.6499999999999999E-2</v>
      </c>
      <c r="G3" s="14">
        <v>2025</v>
      </c>
      <c r="H3" s="42">
        <v>4053</v>
      </c>
      <c r="I3" s="42">
        <f>H3-(H3*0.75)</f>
        <v>1013.25</v>
      </c>
    </row>
    <row r="4" spans="1:14" ht="15">
      <c r="A4" s="3" t="s">
        <v>31</v>
      </c>
      <c r="B4" s="4">
        <v>1098</v>
      </c>
      <c r="C4" s="5">
        <v>0.19600000000000001</v>
      </c>
      <c r="D4" s="4">
        <f t="shared" si="0"/>
        <v>274.5</v>
      </c>
      <c r="E4" s="5">
        <f>0.75*C4</f>
        <v>0.14700000000000002</v>
      </c>
    </row>
    <row r="5" spans="1:14" ht="15">
      <c r="A5" s="3" t="s">
        <v>32</v>
      </c>
      <c r="B5" s="4">
        <v>3188.35</v>
      </c>
      <c r="C5" s="5">
        <v>0.23</v>
      </c>
      <c r="D5" s="4">
        <f t="shared" si="0"/>
        <v>797.08750000000009</v>
      </c>
      <c r="E5" s="5">
        <f>0.75*C5</f>
        <v>0.17250000000000001</v>
      </c>
    </row>
    <row r="6" spans="1:14" ht="15">
      <c r="A6" s="3" t="s">
        <v>33</v>
      </c>
      <c r="B6" s="4">
        <v>5575.15</v>
      </c>
      <c r="C6" s="5">
        <v>0.27200000000000002</v>
      </c>
      <c r="D6" s="4">
        <f t="shared" si="0"/>
        <v>1393.7875000000004</v>
      </c>
      <c r="E6" s="5">
        <f>0.75*C6</f>
        <v>0.20400000000000001</v>
      </c>
    </row>
    <row r="7" spans="1:14" ht="15">
      <c r="A7" s="3" t="s">
        <v>34</v>
      </c>
      <c r="B7" s="4">
        <v>9253.1</v>
      </c>
      <c r="C7" s="5">
        <v>0.34</v>
      </c>
      <c r="D7" s="4">
        <f t="shared" si="0"/>
        <v>2313.2749999999996</v>
      </c>
      <c r="E7" s="5">
        <f>0.75*C7</f>
        <v>0.255</v>
      </c>
      <c r="H7" s="21"/>
      <c r="I7" s="46" t="s">
        <v>20</v>
      </c>
      <c r="J7" s="46"/>
      <c r="K7" s="46"/>
      <c r="L7" s="46"/>
      <c r="M7" s="47" t="s">
        <v>21</v>
      </c>
      <c r="N7" s="47"/>
    </row>
    <row r="8" spans="1:14">
      <c r="I8" s="34">
        <v>2025</v>
      </c>
      <c r="J8" s="34">
        <v>2026</v>
      </c>
      <c r="K8" s="34">
        <v>2027</v>
      </c>
      <c r="L8" s="34">
        <v>2028</v>
      </c>
      <c r="M8" s="35">
        <v>2029</v>
      </c>
      <c r="N8" s="35">
        <v>2030</v>
      </c>
    </row>
    <row r="9" spans="1:14">
      <c r="I9" s="36">
        <v>87216</v>
      </c>
      <c r="J9" s="36">
        <v>88497</v>
      </c>
      <c r="K9" s="36">
        <v>90864</v>
      </c>
      <c r="L9" s="36">
        <v>92931</v>
      </c>
      <c r="M9" s="37">
        <v>97653.930952732291</v>
      </c>
      <c r="N9" s="37">
        <v>99942.645097565211</v>
      </c>
    </row>
    <row r="10" spans="1:14">
      <c r="B10" s="14" t="s">
        <v>6</v>
      </c>
      <c r="C10" s="14" t="s">
        <v>17</v>
      </c>
      <c r="I10" s="38">
        <v>9.2225089390065573E-3</v>
      </c>
      <c r="J10" s="38">
        <v>1.468767198679144E-2</v>
      </c>
      <c r="K10" s="38">
        <v>2.6746669378622911E-2</v>
      </c>
      <c r="L10" s="38">
        <v>2.2748283148441573E-2</v>
      </c>
      <c r="M10" s="38">
        <v>2.2522047251811061E-2</v>
      </c>
      <c r="N10" s="38">
        <v>2.3436989402308095E-2</v>
      </c>
    </row>
    <row r="11" spans="1:14" ht="15">
      <c r="A11" s="3" t="s">
        <v>3</v>
      </c>
      <c r="B11" s="10">
        <v>6170</v>
      </c>
      <c r="C11" s="15">
        <f>B11*768</f>
        <v>4738560</v>
      </c>
    </row>
    <row r="12" spans="1:14" ht="15">
      <c r="A12" s="3" t="s">
        <v>23</v>
      </c>
      <c r="B12" s="11">
        <f>(6170+10690)/2</f>
        <v>8430</v>
      </c>
      <c r="C12" s="16">
        <f>B12*1392</f>
        <v>11734560</v>
      </c>
      <c r="D12" s="8"/>
      <c r="E12" s="21"/>
    </row>
    <row r="13" spans="1:14" ht="15">
      <c r="A13" s="3" t="s">
        <v>24</v>
      </c>
      <c r="B13" s="11">
        <f>(10690+21380)/2</f>
        <v>16035</v>
      </c>
      <c r="C13" s="16">
        <f>B13*28107</f>
        <v>450695745</v>
      </c>
      <c r="D13" s="9"/>
      <c r="E13" s="21"/>
    </row>
    <row r="14" spans="1:14" ht="15">
      <c r="A14" s="3" t="s">
        <v>22</v>
      </c>
      <c r="B14" s="11">
        <f>(21380+31780)/2</f>
        <v>26580</v>
      </c>
      <c r="C14" s="16">
        <f>B14*43372</f>
        <v>1152827760</v>
      </c>
      <c r="D14" s="9"/>
      <c r="E14" s="21"/>
    </row>
    <row r="15" spans="1:14" ht="15">
      <c r="A15" s="3" t="s">
        <v>25</v>
      </c>
      <c r="B15" s="11">
        <f>(31780+44890)/2</f>
        <v>38335</v>
      </c>
      <c r="C15" s="16">
        <f>B15*15411</f>
        <v>590780685</v>
      </c>
      <c r="D15" s="9"/>
      <c r="E15" s="21"/>
    </row>
    <row r="16" spans="1:14" ht="15">
      <c r="A16" s="3" t="s">
        <v>26</v>
      </c>
      <c r="B16" s="11">
        <f>(44890+100000)/2</f>
        <v>72445</v>
      </c>
      <c r="C16" s="17">
        <f>B16*8212</f>
        <v>594918340</v>
      </c>
      <c r="D16" s="9"/>
      <c r="E16" s="21"/>
    </row>
    <row r="17" spans="1:5">
      <c r="B17" s="29" t="s">
        <v>15</v>
      </c>
      <c r="C17" s="28">
        <f>SUM(C11:C16)</f>
        <v>2805695650</v>
      </c>
      <c r="D17" s="9"/>
      <c r="E17" s="21"/>
    </row>
    <row r="18" spans="1:5">
      <c r="B18" s="44" t="s">
        <v>5</v>
      </c>
      <c r="C18" s="25">
        <f>C17/97262</f>
        <v>28846.781374020688</v>
      </c>
      <c r="D18" s="9"/>
    </row>
    <row r="21" spans="1:5">
      <c r="D21" s="11"/>
    </row>
    <row r="22" spans="1:5">
      <c r="C22" s="11"/>
    </row>
    <row r="23" spans="1:5">
      <c r="C23" s="11"/>
    </row>
    <row r="24" spans="1:5">
      <c r="B24" s="12" t="s">
        <v>12</v>
      </c>
      <c r="C24" s="23">
        <f>69667+8156</f>
        <v>77823</v>
      </c>
      <c r="D24" s="22">
        <f>C24*0.17</f>
        <v>13229.910000000002</v>
      </c>
    </row>
    <row r="25" spans="1:5">
      <c r="A25" s="20" t="s">
        <v>11</v>
      </c>
      <c r="B25" s="12" t="s">
        <v>10</v>
      </c>
      <c r="C25" s="23">
        <v>119333</v>
      </c>
    </row>
    <row r="26" spans="1:5">
      <c r="A26" s="24">
        <v>2025</v>
      </c>
      <c r="B26" s="13" t="s">
        <v>8</v>
      </c>
      <c r="C26" s="26">
        <v>4053</v>
      </c>
      <c r="D26" s="27">
        <f>C26-(C26*0.75)</f>
        <v>1013.25</v>
      </c>
      <c r="E26" s="13" t="s">
        <v>9</v>
      </c>
    </row>
    <row r="27" spans="1:5">
      <c r="B27" s="12" t="s">
        <v>13</v>
      </c>
      <c r="C27" s="11">
        <f>C24*C26</f>
        <v>315416619</v>
      </c>
      <c r="D27" s="6"/>
    </row>
    <row r="28" spans="1:5">
      <c r="B28" s="12" t="s">
        <v>14</v>
      </c>
      <c r="C28" s="43">
        <f>D26*C24</f>
        <v>78854154.75</v>
      </c>
      <c r="D28" s="11">
        <f>(C24*0.17)*D26</f>
        <v>13405206.307500001</v>
      </c>
      <c r="E28" s="19" t="s">
        <v>18</v>
      </c>
    </row>
    <row r="29" spans="1:5">
      <c r="C29" s="21"/>
      <c r="D29" s="21"/>
    </row>
    <row r="34" spans="1:4" ht="15">
      <c r="A34" s="1" t="s">
        <v>19</v>
      </c>
      <c r="B34" s="1" t="s">
        <v>37</v>
      </c>
      <c r="D34" s="12">
        <f>0.17*C24</f>
        <v>13229.910000000002</v>
      </c>
    </row>
    <row r="35" spans="1:4" ht="15">
      <c r="A35" s="33">
        <v>2026</v>
      </c>
      <c r="B35" s="39">
        <f>D28/1000000</f>
        <v>13.4052063075</v>
      </c>
      <c r="D35" s="45">
        <f>C26-(0.75*C26)</f>
        <v>1013.25</v>
      </c>
    </row>
    <row r="36" spans="1:4" ht="15">
      <c r="A36" s="33">
        <v>2027</v>
      </c>
      <c r="B36" s="39">
        <f>$B35+($B35*K10)</f>
        <v>13.763750928558933</v>
      </c>
      <c r="C36" s="21">
        <f>B35*(K10+1)</f>
        <v>13.763750928558933</v>
      </c>
      <c r="D36" s="12">
        <f>D35*D34</f>
        <v>13405206.307500001</v>
      </c>
    </row>
    <row r="37" spans="1:4" ht="15">
      <c r="A37" s="33">
        <v>2028</v>
      </c>
      <c r="B37" s="39">
        <f>B36+(B36*L10)</f>
        <v>14.076852631866418</v>
      </c>
    </row>
    <row r="38" spans="1:4" ht="15">
      <c r="A38" s="33">
        <v>2029</v>
      </c>
      <c r="B38" s="39">
        <f>B37+(B37*M10)</f>
        <v>14.393892171998093</v>
      </c>
    </row>
    <row r="39" spans="1:4" ht="15">
      <c r="A39" s="33">
        <v>2030</v>
      </c>
      <c r="B39" s="39">
        <f>B38+(B38*N10)</f>
        <v>14.731241670291178</v>
      </c>
    </row>
    <row r="42" spans="1:4">
      <c r="B42" s="21">
        <f>B35*(K1+1)</f>
        <v>13.4052063075</v>
      </c>
    </row>
    <row r="49" spans="3:3">
      <c r="C49" s="50"/>
    </row>
    <row r="54" spans="3:3">
      <c r="C54" s="12" t="s">
        <v>4</v>
      </c>
    </row>
    <row r="55" spans="3:3">
      <c r="C55" s="51">
        <f>79811*0.17</f>
        <v>13567.87</v>
      </c>
    </row>
    <row r="58" spans="3:3">
      <c r="C58" s="52"/>
    </row>
  </sheetData>
  <mergeCells count="2">
    <mergeCell ref="I7:L7"/>
    <mergeCell ref="M7:N7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93FE-9356-4FDF-9266-439DDDB35F51}">
  <dimension ref="B4:N11"/>
  <sheetViews>
    <sheetView workbookViewId="0">
      <selection activeCell="D11" sqref="D11"/>
    </sheetView>
  </sheetViews>
  <sheetFormatPr defaultColWidth="10.6640625" defaultRowHeight="14.25"/>
  <cols>
    <col min="2" max="2" width="32.33203125" bestFit="1" customWidth="1"/>
    <col min="3" max="3" width="28.46484375" customWidth="1"/>
    <col min="4" max="4" width="51.53125" bestFit="1" customWidth="1"/>
    <col min="5" max="5" width="37.265625" bestFit="1" customWidth="1"/>
    <col min="6" max="6" width="44.46484375" bestFit="1" customWidth="1"/>
    <col min="8" max="8" width="25.1328125" bestFit="1" customWidth="1"/>
    <col min="9" max="9" width="20.86328125" bestFit="1" customWidth="1"/>
    <col min="10" max="10" width="10.59765625" customWidth="1"/>
    <col min="12" max="12" width="32.33203125" bestFit="1" customWidth="1"/>
    <col min="14" max="14" width="51.53125" bestFit="1" customWidth="1"/>
  </cols>
  <sheetData>
    <row r="4" spans="2:14" ht="15">
      <c r="B4" s="2" t="s">
        <v>0</v>
      </c>
      <c r="C4" s="2" t="s">
        <v>1</v>
      </c>
      <c r="D4" s="2" t="s">
        <v>2</v>
      </c>
      <c r="E4" s="2" t="s">
        <v>16</v>
      </c>
      <c r="F4" s="2" t="s">
        <v>35</v>
      </c>
      <c r="H4" s="2" t="s">
        <v>7</v>
      </c>
      <c r="I4" s="2" t="s">
        <v>8</v>
      </c>
      <c r="J4" s="2" t="s">
        <v>9</v>
      </c>
      <c r="L4" s="2" t="s">
        <v>36</v>
      </c>
      <c r="M4" s="2" t="s">
        <v>1</v>
      </c>
      <c r="N4" s="2" t="s">
        <v>2</v>
      </c>
    </row>
    <row r="5" spans="2:14" ht="15">
      <c r="B5" s="30" t="s">
        <v>22</v>
      </c>
      <c r="C5" s="31">
        <v>3188.35</v>
      </c>
      <c r="D5" s="32">
        <v>0.23</v>
      </c>
      <c r="E5" s="31">
        <f>C5-(C5*0.75)</f>
        <v>797.08750000000009</v>
      </c>
      <c r="F5" s="32">
        <f>0.75*D5</f>
        <v>0.17250000000000001</v>
      </c>
      <c r="H5" s="14">
        <v>2025</v>
      </c>
      <c r="I5" s="42">
        <v>4053</v>
      </c>
      <c r="J5" s="42">
        <f>I5-(I5*0.75)</f>
        <v>1013.25</v>
      </c>
      <c r="L5" s="3" t="s">
        <v>3</v>
      </c>
      <c r="M5" s="4">
        <v>637.5</v>
      </c>
      <c r="N5" s="5" t="s">
        <v>4</v>
      </c>
    </row>
    <row r="6" spans="2:14" ht="15">
      <c r="C6" s="6"/>
      <c r="D6" s="7"/>
      <c r="E6" s="7"/>
      <c r="L6" s="3" t="s">
        <v>30</v>
      </c>
      <c r="M6" s="4">
        <v>637.5</v>
      </c>
      <c r="N6" s="5">
        <v>0.10199999999999999</v>
      </c>
    </row>
    <row r="7" spans="2:14" ht="30">
      <c r="L7" s="3" t="s">
        <v>31</v>
      </c>
      <c r="M7" s="4">
        <v>1098</v>
      </c>
      <c r="N7" s="5">
        <v>0.19600000000000001</v>
      </c>
    </row>
    <row r="8" spans="2:14" ht="30">
      <c r="B8" s="40"/>
      <c r="C8" s="40" t="s">
        <v>5</v>
      </c>
      <c r="D8" s="41">
        <f>(I5+D5*21381-C5)/D5</f>
        <v>25140.34782608696</v>
      </c>
      <c r="L8" s="3" t="s">
        <v>32</v>
      </c>
      <c r="M8" s="4">
        <v>3188.35</v>
      </c>
      <c r="N8" s="5">
        <v>0.23</v>
      </c>
    </row>
    <row r="9" spans="2:14" ht="30">
      <c r="B9" s="40"/>
      <c r="C9" s="40" t="s">
        <v>27</v>
      </c>
      <c r="D9" s="41">
        <f>C5+D5*(D8-21381)</f>
        <v>4053.0000000000009</v>
      </c>
      <c r="E9" s="7">
        <f>D9-(D9*0.75)</f>
        <v>1013.25</v>
      </c>
      <c r="F9" s="49" t="s">
        <v>38</v>
      </c>
      <c r="G9" s="49"/>
      <c r="L9" s="3" t="s">
        <v>33</v>
      </c>
      <c r="M9" s="4">
        <v>5575.15</v>
      </c>
      <c r="N9" s="5">
        <v>0.27200000000000002</v>
      </c>
    </row>
    <row r="10" spans="2:14" ht="15">
      <c r="B10" s="48" t="s">
        <v>28</v>
      </c>
      <c r="C10" s="48"/>
      <c r="D10" s="41">
        <f>D9*'Promedio de los umbrales '!D24</f>
        <v>53620825.230000019</v>
      </c>
      <c r="E10" s="7">
        <f>(77822*0.17)*E9</f>
        <v>13405034.055000002</v>
      </c>
      <c r="F10" s="49" t="s">
        <v>39</v>
      </c>
      <c r="G10" s="49"/>
      <c r="L10" s="3" t="s">
        <v>34</v>
      </c>
      <c r="M10" s="4">
        <v>9253.1</v>
      </c>
      <c r="N10" s="5">
        <v>0.34</v>
      </c>
    </row>
    <row r="11" spans="2:14">
      <c r="B11" s="48" t="s">
        <v>29</v>
      </c>
      <c r="C11" s="48"/>
      <c r="D11" s="41">
        <f>D10-(0.75*D10)</f>
        <v>13405206.307500005</v>
      </c>
    </row>
  </sheetData>
  <mergeCells count="4">
    <mergeCell ref="B10:C10"/>
    <mergeCell ref="B11:C11"/>
    <mergeCell ref="F9:G9"/>
    <mergeCell ref="F10:G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F9C4EAAC-F8BA-4663-9218-8A7627ECB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6B74-388A-42A1-BD5C-C79F3118F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57DD1-DD8F-4C32-97EB-D71602B55A04}">
  <ds:schemaRefs>
    <ds:schemaRef ds:uri="http://schemas.microsoft.com/office/2006/documentManagement/types"/>
    <ds:schemaRef ds:uri="http://purl.org/dc/elements/1.1/"/>
    <ds:schemaRef ds:uri="http://purl.org/dc/terms/"/>
    <ds:schemaRef ds:uri="1f23fbc9-fed8-4fe5-aa4f-ed739643a384"/>
    <ds:schemaRef ds:uri="http://purl.org/dc/dcmitype/"/>
    <ds:schemaRef ds:uri="a09e65a3-c7c6-46c4-8cad-d2b1e4cef29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Promedio de los umbrales 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Jesús Tirado Garay</cp:lastModifiedBy>
  <dcterms:created xsi:type="dcterms:W3CDTF">2025-09-16T17:18:23Z</dcterms:created>
  <dcterms:modified xsi:type="dcterms:W3CDTF">2025-10-09T21:07:36Z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