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S 0087/2. Tabla/"/>
    </mc:Choice>
  </mc:AlternateContent>
  <xr:revisionPtr revIDLastSave="112" documentId="13_ncr:1_{03ADA507-76C5-4328-9A16-5016C2EAC05B}" xr6:coauthVersionLast="47" xr6:coauthVersionMax="47" xr10:uidLastSave="{CFE95CC0-34E6-4269-B62F-6BBD6B008101}"/>
  <bookViews>
    <workbookView xWindow="27885" yWindow="-16200" windowWidth="13005" windowHeight="15585" firstSheet="1" activeTab="1" xr2:uid="{A8A8E676-615E-4C62-9ED8-E289100010AD}"/>
  </bookViews>
  <sheets>
    <sheet name="Datos" sheetId="1" r:id="rId1"/>
    <sheet name="Estimados" sheetId="2" r:id="rId2"/>
    <sheet name="Resultado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5" i="2"/>
  <c r="D7" i="2" s="1"/>
  <c r="D14" i="2"/>
  <c r="D8" i="2"/>
  <c r="I8" i="1"/>
  <c r="E5" i="1"/>
  <c r="E4" i="1"/>
  <c r="F19" i="3"/>
  <c r="D4" i="2"/>
  <c r="H21" i="2"/>
  <c r="M20" i="2"/>
  <c r="L20" i="2"/>
  <c r="K20" i="2"/>
  <c r="J20" i="2"/>
  <c r="I20" i="2"/>
  <c r="H20" i="2"/>
  <c r="G20" i="2"/>
  <c r="H4" i="2"/>
  <c r="E15" i="1"/>
  <c r="E14" i="1"/>
  <c r="E13" i="1"/>
  <c r="M4" i="2"/>
  <c r="M8" i="2"/>
  <c r="M11" i="2"/>
  <c r="L14" i="2"/>
  <c r="M14" i="2"/>
  <c r="F8" i="1"/>
  <c r="E8" i="1"/>
  <c r="G8" i="1"/>
  <c r="E12" i="1"/>
  <c r="D4" i="3"/>
  <c r="E7" i="1"/>
  <c r="G4" i="2"/>
  <c r="G14" i="2"/>
  <c r="H8" i="2" s="1"/>
  <c r="H11" i="2" s="1"/>
  <c r="H14" i="2" s="1"/>
  <c r="I4" i="2" s="1"/>
  <c r="I8" i="2" s="1"/>
  <c r="I11" i="2" s="1"/>
  <c r="I14" i="2" s="1"/>
  <c r="J4" i="2" s="1"/>
  <c r="J8" i="2" s="1"/>
  <c r="J11" i="2" s="1"/>
  <c r="J14" i="2" s="1"/>
  <c r="K4" i="2" s="1"/>
  <c r="K8" i="2" s="1"/>
  <c r="K11" i="2" s="1"/>
  <c r="K14" i="2" s="1"/>
  <c r="L4" i="2" s="1"/>
  <c r="L8" i="2" s="1"/>
  <c r="L11" i="2" s="1"/>
  <c r="G11" i="2"/>
  <c r="G8" i="2"/>
  <c r="E6" i="1"/>
  <c r="J17" i="2" l="1"/>
  <c r="D7" i="3" s="1"/>
  <c r="H17" i="2"/>
  <c r="D5" i="3" s="1"/>
  <c r="G17" i="2"/>
  <c r="M17" i="2"/>
  <c r="L17" i="2"/>
  <c r="D9" i="3" s="1"/>
  <c r="K17" i="2"/>
  <c r="D8" i="3" s="1"/>
  <c r="I17" i="2"/>
  <c r="I7" i="3" l="1"/>
  <c r="I10" i="3"/>
  <c r="D10" i="3"/>
  <c r="I4" i="3"/>
  <c r="G21" i="2"/>
  <c r="J4" i="3" s="1"/>
  <c r="K21" i="2"/>
  <c r="D6" i="3"/>
  <c r="H22" i="2"/>
  <c r="K5" i="3" s="1"/>
  <c r="J21" i="2"/>
  <c r="G22" i="2"/>
  <c r="K4" i="3" s="1"/>
  <c r="J22" i="2" l="1"/>
  <c r="D9" i="2" s="1"/>
  <c r="G19" i="3" s="1"/>
  <c r="M21" i="2"/>
  <c r="F22" i="3" s="1"/>
  <c r="M22" i="2"/>
  <c r="D15" i="2" s="1"/>
  <c r="G22" i="3" s="1"/>
  <c r="D10" i="2"/>
  <c r="F20" i="3" s="1"/>
  <c r="J8" i="3"/>
  <c r="I21" i="2"/>
  <c r="I6" i="3"/>
  <c r="K7" i="3"/>
  <c r="K22" i="2"/>
  <c r="I8" i="3"/>
  <c r="J7" i="3"/>
  <c r="I22" i="2"/>
  <c r="L21" i="2"/>
  <c r="I9" i="3"/>
  <c r="L22" i="2"/>
  <c r="I5" i="3"/>
  <c r="J5" i="3"/>
  <c r="H19" i="3" l="1"/>
  <c r="H22" i="3"/>
  <c r="K10" i="3"/>
  <c r="J10" i="3"/>
  <c r="D13" i="2"/>
  <c r="G21" i="3" s="1"/>
  <c r="K9" i="3"/>
  <c r="D11" i="2"/>
  <c r="G20" i="3" s="1"/>
  <c r="H20" i="3" s="1"/>
  <c r="K8" i="3"/>
  <c r="D12" i="2"/>
  <c r="F21" i="3" s="1"/>
  <c r="J9" i="3"/>
  <c r="G18" i="3"/>
  <c r="H18" i="3" s="1"/>
  <c r="K6" i="3"/>
  <c r="F18" i="3"/>
  <c r="J6" i="3"/>
  <c r="H21" i="3" l="1"/>
</calcChain>
</file>

<file path=xl/sharedStrings.xml><?xml version="1.0" encoding="utf-8"?>
<sst xmlns="http://schemas.openxmlformats.org/spreadsheetml/2006/main" count="99" uniqueCount="80">
  <si>
    <t>Referencias</t>
  </si>
  <si>
    <t>Datos</t>
  </si>
  <si>
    <t>Info. adicional</t>
  </si>
  <si>
    <t>DTRH (2025)</t>
  </si>
  <si>
    <t>empleo total</t>
  </si>
  <si>
    <t>empleo gubernamental</t>
  </si>
  <si>
    <t>empleo gubernamental como % del empleo total</t>
  </si>
  <si>
    <t>% de empleados gubernamentales (hombres)</t>
  </si>
  <si>
    <t>% de empleadas gubernamentales (mujeres)</t>
  </si>
  <si>
    <t>US census (2023)</t>
  </si>
  <si>
    <t>% población con discapacidad</t>
  </si>
  <si>
    <t>(mensual)</t>
  </si>
  <si>
    <t>(quincenal)</t>
  </si>
  <si>
    <t>(semanal)</t>
  </si>
  <si>
    <t>(diario)</t>
  </si>
  <si>
    <t>BLS (1Q; 2025)</t>
  </si>
  <si>
    <t>mediana salarial (anual)</t>
  </si>
  <si>
    <t>Ley Num. 8-2017</t>
  </si>
  <si>
    <t>periodo de licencia en días (padres)</t>
  </si>
  <si>
    <t>15-25</t>
  </si>
  <si>
    <t>&lt;-la medida sugiere aumentar 10 dias adicionales</t>
  </si>
  <si>
    <t>periodo de licencia en días (madres)</t>
  </si>
  <si>
    <t>60-90</t>
  </si>
  <si>
    <t>&lt;-la medida sugiere aumentar 2 semanas adicionales</t>
  </si>
  <si>
    <t>Dept. de Salud (2024)</t>
  </si>
  <si>
    <t>nacimientos registrados</t>
  </si>
  <si>
    <t>% del empleo total con 65 años o más</t>
  </si>
  <si>
    <t>25000 hombres</t>
  </si>
  <si>
    <t>10000 mujeres</t>
  </si>
  <si>
    <t>empleo total (excluyendo población de 65 o más)</t>
  </si>
  <si>
    <t>empleo gubernamental (excluyendo población de 65 o más)</t>
  </si>
  <si>
    <t>empleo gubernamental como % del empelo total</t>
  </si>
  <si>
    <t>Calendario fiscal</t>
  </si>
  <si>
    <t>Proyecciones de Moody's</t>
  </si>
  <si>
    <t>nacimientos registrados (2024)</t>
  </si>
  <si>
    <t>2025Q1</t>
  </si>
  <si>
    <t>Estimado</t>
  </si>
  <si>
    <t>2025Q2</t>
  </si>
  <si>
    <t>$ por días adicionales sugeridos (padres)</t>
  </si>
  <si>
    <t>2025Q3</t>
  </si>
  <si>
    <t>$ por días adicionales sugeridos (madres)</t>
  </si>
  <si>
    <t>Q1</t>
  </si>
  <si>
    <t>2025Q4</t>
  </si>
  <si>
    <t>Total  correspondiente (padres)</t>
  </si>
  <si>
    <t>2026Q1</t>
  </si>
  <si>
    <t>Total  correspondiente(madres)</t>
  </si>
  <si>
    <t>2026Q2</t>
  </si>
  <si>
    <t>2026Q3</t>
  </si>
  <si>
    <t>Q2</t>
  </si>
  <si>
    <t>2026Q4</t>
  </si>
  <si>
    <t>2027Q1</t>
  </si>
  <si>
    <t>2027Q2</t>
  </si>
  <si>
    <t>Q3</t>
  </si>
  <si>
    <t>2027Q3</t>
  </si>
  <si>
    <t>2027Q4</t>
  </si>
  <si>
    <t>2028Q1</t>
  </si>
  <si>
    <t>Q4</t>
  </si>
  <si>
    <t>2028Q2</t>
  </si>
  <si>
    <t>2028Q3</t>
  </si>
  <si>
    <t>Total</t>
  </si>
  <si>
    <t>2028Q4</t>
  </si>
  <si>
    <t>2029Q1</t>
  </si>
  <si>
    <t>2029Q2</t>
  </si>
  <si>
    <t>nacimientos</t>
  </si>
  <si>
    <t>2029Q3</t>
  </si>
  <si>
    <t>padres</t>
  </si>
  <si>
    <t>2029Q4</t>
  </si>
  <si>
    <t>madres</t>
  </si>
  <si>
    <t>2030Q1</t>
  </si>
  <si>
    <t>2030Q2</t>
  </si>
  <si>
    <t>2030Q3</t>
  </si>
  <si>
    <t>2030Q4</t>
  </si>
  <si>
    <t>Proyecciones de nacimientos</t>
  </si>
  <si>
    <t>Proyecciones de nacimientos con diversidad funcional (DF) y cantidad de padres-madres en el sector gubernamental.</t>
  </si>
  <si>
    <t>Año</t>
  </si>
  <si>
    <t xml:space="preserve">Nacimientos </t>
  </si>
  <si>
    <t>Nacimientos con DF</t>
  </si>
  <si>
    <t xml:space="preserve">Padres </t>
  </si>
  <si>
    <t>Madres</t>
  </si>
  <si>
    <t>Efecto fiscal (implicito) del PS87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</si>
</sst>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&quot;$&quot;#,##0.0_);[Red]\(&quot;$&quot;#,##0.0\)"/>
    <numFmt numFmtId="165" formatCode="&quot;$&quot;#,##0.0"/>
    <numFmt numFmtId="166" formatCode="0.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2"/>
      <color theme="0"/>
      <name val="Myriad Pro Condensed"/>
    </font>
    <font>
      <sz val="12"/>
      <color theme="1"/>
      <name val="Myriad Pro Condensed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3" fillId="0" borderId="0"/>
    <xf numFmtId="2" fontId="4" fillId="0" borderId="0"/>
  </cellStyleXfs>
  <cellXfs count="86">
    <xf numFmtId="0" fontId="0" fillId="0" borderId="0" xfId="0"/>
    <xf numFmtId="3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9" fontId="0" fillId="0" borderId="0" xfId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/>
    <xf numFmtId="9" fontId="0" fillId="0" borderId="0" xfId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7" xfId="0" applyBorder="1"/>
    <xf numFmtId="0" fontId="0" fillId="0" borderId="6" xfId="0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" xfId="0" applyFill="1" applyBorder="1" applyAlignment="1">
      <alignment horizontal="left" indent="12"/>
    </xf>
    <xf numFmtId="0" fontId="0" fillId="2" borderId="0" xfId="0" applyFill="1" applyAlignment="1">
      <alignment horizontal="left" indent="12"/>
    </xf>
    <xf numFmtId="0" fontId="0" fillId="2" borderId="0" xfId="0" applyFill="1" applyAlignment="1">
      <alignment horizontal="left" indent="11"/>
    </xf>
    <xf numFmtId="0" fontId="0" fillId="2" borderId="1" xfId="0" applyFill="1" applyBorder="1" applyAlignment="1">
      <alignment horizontal="left" indent="9"/>
    </xf>
    <xf numFmtId="0" fontId="0" fillId="0" borderId="1" xfId="0" applyBorder="1" applyAlignment="1">
      <alignment horizontal="left" indent="12"/>
    </xf>
    <xf numFmtId="0" fontId="0" fillId="0" borderId="0" xfId="0" applyAlignment="1">
      <alignment horizontal="left" indent="12"/>
    </xf>
    <xf numFmtId="49" fontId="3" fillId="0" borderId="7" xfId="3" applyBorder="1"/>
    <xf numFmtId="49" fontId="3" fillId="0" borderId="5" xfId="3" applyBorder="1"/>
    <xf numFmtId="49" fontId="3" fillId="0" borderId="3" xfId="3" applyBorder="1"/>
    <xf numFmtId="0" fontId="0" fillId="2" borderId="1" xfId="0" applyFill="1" applyBorder="1" applyAlignment="1">
      <alignment horizontal="left" indent="8"/>
    </xf>
    <xf numFmtId="9" fontId="0" fillId="0" borderId="0" xfId="1" applyFont="1"/>
    <xf numFmtId="0" fontId="5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0" xfId="0" applyFont="1"/>
    <xf numFmtId="9" fontId="0" fillId="0" borderId="23" xfId="1" applyFon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0" fontId="0" fillId="0" borderId="1" xfId="2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0" xfId="0" applyFill="1" applyAlignment="1">
      <alignment horizontal="center"/>
    </xf>
    <xf numFmtId="8" fontId="0" fillId="0" borderId="0" xfId="0" applyNumberFormat="1"/>
    <xf numFmtId="166" fontId="4" fillId="0" borderId="14" xfId="4" applyNumberFormat="1" applyBorder="1"/>
    <xf numFmtId="166" fontId="4" fillId="0" borderId="1" xfId="4" applyNumberFormat="1" applyBorder="1"/>
    <xf numFmtId="166" fontId="4" fillId="0" borderId="23" xfId="4" applyNumberFormat="1" applyBorder="1"/>
    <xf numFmtId="0" fontId="0" fillId="0" borderId="2" xfId="0" applyBorder="1" applyAlignment="1">
      <alignment horizontal="center"/>
    </xf>
    <xf numFmtId="0" fontId="0" fillId="0" borderId="14" xfId="0" applyBorder="1"/>
    <xf numFmtId="0" fontId="0" fillId="0" borderId="23" xfId="0" applyBorder="1"/>
    <xf numFmtId="164" fontId="0" fillId="0" borderId="11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23" xfId="0" applyBorder="1" applyAlignment="1"/>
  </cellXfs>
  <cellStyles count="5">
    <cellStyle name="BuffetDate162" xfId="3" xr:uid="{3EFA8444-5B3F-4454-A047-A22CF167C20C}"/>
    <cellStyle name="BuffetValue2" xfId="4" xr:uid="{F9AEFAFA-58FA-4C16-AE48-6188D3E69CB2}"/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4E87A-0D0B-4F24-A4F5-59284FE44D6E}">
  <dimension ref="A1:AX181"/>
  <sheetViews>
    <sheetView topLeftCell="D5" zoomScaleNormal="100" workbookViewId="0">
      <selection activeCell="F26" sqref="F26"/>
    </sheetView>
  </sheetViews>
  <sheetFormatPr defaultColWidth="11.42578125" defaultRowHeight="14.25"/>
  <cols>
    <col min="4" max="4" width="50.85546875" bestFit="1" customWidth="1"/>
    <col min="5" max="5" width="12.5703125" bestFit="1" customWidth="1"/>
    <col min="6" max="6" width="13" bestFit="1" customWidth="1"/>
    <col min="7" max="7" width="12.85546875" bestFit="1" customWidth="1"/>
    <col min="9" max="9" width="26" bestFit="1" customWidth="1"/>
  </cols>
  <sheetData>
    <row r="1" spans="1:50">
      <c r="A1" s="66" t="s">
        <v>0</v>
      </c>
      <c r="B1" s="66"/>
      <c r="C1" s="66"/>
      <c r="D1" s="66" t="s">
        <v>1</v>
      </c>
      <c r="E1" s="66"/>
      <c r="F1" s="66" t="s">
        <v>2</v>
      </c>
      <c r="G1" s="66"/>
      <c r="H1" s="66"/>
      <c r="I1" s="66"/>
      <c r="J1" s="66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</row>
    <row r="2" spans="1:50">
      <c r="A2" s="64" t="s">
        <v>3</v>
      </c>
      <c r="B2" s="64"/>
      <c r="C2" s="65"/>
      <c r="D2" s="7" t="s">
        <v>4</v>
      </c>
      <c r="E2" s="1">
        <v>1165000</v>
      </c>
      <c r="F2" s="5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</row>
    <row r="3" spans="1:50">
      <c r="A3" s="64" t="s">
        <v>3</v>
      </c>
      <c r="B3" s="64"/>
      <c r="C3" s="65"/>
      <c r="D3" s="47" t="s">
        <v>5</v>
      </c>
      <c r="E3" s="11">
        <v>188000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</row>
    <row r="4" spans="1:50">
      <c r="A4" s="64" t="s">
        <v>3</v>
      </c>
      <c r="B4" s="64"/>
      <c r="C4" s="65"/>
      <c r="D4" s="47" t="s">
        <v>6</v>
      </c>
      <c r="E4" s="22">
        <f>E3/E2</f>
        <v>0.16137339055793992</v>
      </c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</row>
    <row r="5" spans="1:50">
      <c r="A5" s="64" t="s">
        <v>3</v>
      </c>
      <c r="B5" s="64"/>
      <c r="C5" s="65"/>
      <c r="D5" s="47" t="s">
        <v>7</v>
      </c>
      <c r="E5" s="22">
        <f>89000/E3</f>
        <v>0.47340425531914893</v>
      </c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</row>
    <row r="6" spans="1:50">
      <c r="A6" s="64" t="s">
        <v>3</v>
      </c>
      <c r="B6" s="64"/>
      <c r="C6" s="65"/>
      <c r="D6" s="47" t="s">
        <v>8</v>
      </c>
      <c r="E6" s="22">
        <f>99000/E3</f>
        <v>0.52659574468085102</v>
      </c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</row>
    <row r="7" spans="1:50">
      <c r="A7" s="64" t="s">
        <v>9</v>
      </c>
      <c r="B7" s="64"/>
      <c r="C7" s="65"/>
      <c r="D7" s="47" t="s">
        <v>10</v>
      </c>
      <c r="E7" s="4">
        <f>734989/3227627</f>
        <v>0.22771807275128136</v>
      </c>
      <c r="F7" s="46" t="s">
        <v>11</v>
      </c>
      <c r="G7" s="46" t="s">
        <v>12</v>
      </c>
      <c r="H7" s="46" t="s">
        <v>13</v>
      </c>
      <c r="I7" s="46" t="s">
        <v>14</v>
      </c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</row>
    <row r="8" spans="1:50">
      <c r="A8" s="64" t="s">
        <v>15</v>
      </c>
      <c r="B8" s="64"/>
      <c r="C8" s="64"/>
      <c r="D8" s="5" t="s">
        <v>16</v>
      </c>
      <c r="E8" s="8">
        <f>F8*12</f>
        <v>33552</v>
      </c>
      <c r="F8" s="14">
        <f>G8*2</f>
        <v>2796</v>
      </c>
      <c r="G8" s="15">
        <f>H8*2</f>
        <v>1398</v>
      </c>
      <c r="H8" s="15">
        <v>699</v>
      </c>
      <c r="I8" s="59">
        <f>H8/5</f>
        <v>139.80000000000001</v>
      </c>
      <c r="J8" s="52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</row>
    <row r="9" spans="1:50">
      <c r="A9" s="64" t="s">
        <v>17</v>
      </c>
      <c r="B9" s="64"/>
      <c r="C9" s="65"/>
      <c r="D9" s="5" t="s">
        <v>18</v>
      </c>
      <c r="E9" s="47" t="s">
        <v>19</v>
      </c>
      <c r="F9" s="12" t="s">
        <v>20</v>
      </c>
      <c r="G9" s="13"/>
      <c r="H9" s="13"/>
      <c r="I9" s="5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</row>
    <row r="10" spans="1:50">
      <c r="A10" s="64" t="s">
        <v>17</v>
      </c>
      <c r="B10" s="64"/>
      <c r="C10" s="64"/>
      <c r="D10" s="5" t="s">
        <v>21</v>
      </c>
      <c r="E10" s="48" t="s">
        <v>22</v>
      </c>
      <c r="F10" s="83" t="s">
        <v>23</v>
      </c>
      <c r="G10" s="84"/>
      <c r="H10" s="84"/>
      <c r="I10" s="85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</row>
    <row r="11" spans="1:50">
      <c r="A11" s="64" t="s">
        <v>24</v>
      </c>
      <c r="B11" s="64"/>
      <c r="C11" s="64"/>
      <c r="D11" s="5" t="s">
        <v>25</v>
      </c>
      <c r="E11" s="11">
        <v>18085</v>
      </c>
      <c r="F11" s="3"/>
      <c r="G11" s="3"/>
      <c r="H11" s="3"/>
      <c r="J11" s="2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</row>
    <row r="12" spans="1:50">
      <c r="A12" s="64" t="s">
        <v>3</v>
      </c>
      <c r="B12" s="64"/>
      <c r="C12" s="65"/>
      <c r="D12" s="6" t="s">
        <v>26</v>
      </c>
      <c r="E12" s="41">
        <f>(25000+10000)/1165000</f>
        <v>3.0042918454935622E-2</v>
      </c>
      <c r="F12" s="56" t="s">
        <v>27</v>
      </c>
      <c r="G12" s="18" t="s">
        <v>28</v>
      </c>
      <c r="H12" s="3"/>
      <c r="I12" s="47"/>
      <c r="J12" s="2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</row>
    <row r="13" spans="1:50">
      <c r="A13" s="47"/>
      <c r="B13" s="47"/>
      <c r="C13" s="47"/>
      <c r="D13" s="5" t="s">
        <v>29</v>
      </c>
      <c r="E13" s="43">
        <f>E2-(E2*E12)</f>
        <v>1130000</v>
      </c>
      <c r="F13" s="47"/>
      <c r="G13" s="47"/>
      <c r="H13" s="47"/>
      <c r="I13" s="47"/>
      <c r="J13" s="2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</row>
    <row r="14" spans="1:50">
      <c r="A14" s="47"/>
      <c r="B14" s="47"/>
      <c r="C14" s="47"/>
      <c r="D14" s="5" t="s">
        <v>30</v>
      </c>
      <c r="E14" s="42">
        <f>E3-(E3*E12)</f>
        <v>182351.93133047211</v>
      </c>
      <c r="F14" s="47"/>
      <c r="G14" s="47"/>
      <c r="H14" s="47"/>
      <c r="I14" s="2"/>
      <c r="J14" s="2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</row>
    <row r="15" spans="1:50">
      <c r="A15" s="47"/>
      <c r="B15" s="47"/>
      <c r="C15" s="47"/>
      <c r="D15" s="5" t="s">
        <v>31</v>
      </c>
      <c r="E15" s="22">
        <f>E14/E13</f>
        <v>0.16137339055793992</v>
      </c>
      <c r="F15" s="47"/>
      <c r="G15" s="8"/>
      <c r="H15" s="47"/>
      <c r="I15" s="47"/>
      <c r="J15" s="2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</row>
    <row r="16" spans="1:50">
      <c r="C16" s="2"/>
      <c r="D16" s="5"/>
      <c r="E16" s="48"/>
      <c r="F16" s="47"/>
      <c r="G16" s="47"/>
      <c r="H16" s="47"/>
      <c r="I16" s="47"/>
      <c r="J16" s="2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</row>
    <row r="17" spans="1:42">
      <c r="C17" s="2"/>
      <c r="D17" s="5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</row>
    <row r="18" spans="1:42">
      <c r="A18" s="3"/>
      <c r="B18" s="47"/>
      <c r="D18" s="5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</row>
    <row r="19" spans="1:42">
      <c r="A19" s="2"/>
      <c r="B19" s="47"/>
      <c r="C19" s="2"/>
      <c r="D19" s="5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</row>
    <row r="20" spans="1:42">
      <c r="A20" s="47"/>
      <c r="B20" s="47"/>
      <c r="C20" s="47"/>
      <c r="D20" s="5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</row>
    <row r="21" spans="1:42">
      <c r="A21" s="47"/>
      <c r="B21" s="47"/>
      <c r="C21" s="47"/>
      <c r="D21" s="5"/>
      <c r="E21" s="48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</row>
    <row r="22" spans="1:42">
      <c r="A22" s="47"/>
      <c r="B22" s="47"/>
      <c r="C22" s="47"/>
      <c r="D22" s="5"/>
      <c r="E22" s="48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</row>
    <row r="23" spans="1:4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</row>
    <row r="24" spans="1:4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</row>
    <row r="25" spans="1:4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</row>
    <row r="26" spans="1:4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</row>
    <row r="27" spans="1:4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</row>
    <row r="28" spans="1:4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</row>
    <row r="29" spans="1:4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</row>
    <row r="30" spans="1:4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</row>
    <row r="31" spans="1:4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</row>
    <row r="32" spans="1:4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</row>
    <row r="33" spans="1:49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</row>
    <row r="34" spans="1:49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</row>
    <row r="35" spans="1:49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</row>
    <row r="36" spans="1:49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</row>
    <row r="37" spans="1:49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</row>
    <row r="38" spans="1:49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</row>
    <row r="39" spans="1:49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</row>
    <row r="40" spans="1:49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</row>
    <row r="41" spans="1:49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</row>
    <row r="42" spans="1:49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</row>
    <row r="43" spans="1:49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</row>
    <row r="44" spans="1:49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</row>
    <row r="45" spans="1:49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</row>
    <row r="46" spans="1:49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</row>
    <row r="47" spans="1:49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</row>
    <row r="48" spans="1:49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</row>
    <row r="49" spans="1:49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</row>
    <row r="50" spans="1:49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</row>
    <row r="51" spans="1:49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</row>
    <row r="52" spans="1:49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</row>
    <row r="53" spans="1:49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</row>
    <row r="54" spans="1:49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</row>
    <row r="55" spans="1:49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</row>
    <row r="56" spans="1:49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</row>
    <row r="57" spans="1:49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</row>
    <row r="58" spans="1:49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</row>
    <row r="59" spans="1:49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</row>
    <row r="60" spans="1:49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</row>
    <row r="61" spans="1:49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</row>
    <row r="62" spans="1:49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</row>
    <row r="63" spans="1:49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</row>
    <row r="64" spans="1:49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</row>
    <row r="65" spans="1:49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</row>
    <row r="66" spans="1:49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</row>
    <row r="67" spans="1:49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</row>
    <row r="68" spans="1:49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</row>
    <row r="69" spans="1:49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</row>
    <row r="70" spans="1:49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</row>
    <row r="71" spans="1:49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</row>
    <row r="72" spans="1:49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</row>
    <row r="73" spans="1:49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</row>
    <row r="74" spans="1:49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</row>
    <row r="75" spans="1:49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</row>
    <row r="76" spans="1:49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</row>
    <row r="77" spans="1:49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</row>
    <row r="78" spans="1:49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</row>
    <row r="79" spans="1:49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</row>
    <row r="80" spans="1:49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</row>
    <row r="81" spans="1:49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</row>
    <row r="82" spans="1:49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</row>
    <row r="83" spans="1:49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</row>
    <row r="84" spans="1:49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</row>
    <row r="85" spans="1:49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</row>
    <row r="86" spans="1:49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</row>
    <row r="87" spans="1:49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</row>
    <row r="88" spans="1:49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</row>
    <row r="89" spans="1:49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</row>
    <row r="90" spans="1:49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</row>
    <row r="91" spans="1:49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</row>
    <row r="92" spans="1:49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</row>
    <row r="93" spans="1:49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</row>
    <row r="94" spans="1:49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</row>
    <row r="95" spans="1:49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</row>
    <row r="96" spans="1:49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</row>
    <row r="97" spans="1:49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</row>
    <row r="98" spans="1:49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</row>
    <row r="99" spans="1:49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</row>
    <row r="100" spans="1:49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</row>
    <row r="101" spans="1:49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</row>
    <row r="102" spans="1:49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</row>
    <row r="103" spans="1:49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</row>
    <row r="104" spans="1:49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</row>
    <row r="105" spans="1:49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</row>
    <row r="106" spans="1:49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</row>
    <row r="107" spans="1:49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</row>
    <row r="108" spans="1:49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</row>
    <row r="109" spans="1:49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</row>
    <row r="110" spans="1:49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</row>
    <row r="111" spans="1:49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</row>
    <row r="112" spans="1:49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</row>
    <row r="113" spans="1:49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</row>
    <row r="114" spans="1:49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</row>
    <row r="115" spans="1:49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</row>
    <row r="116" spans="1:49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</row>
    <row r="117" spans="1:49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</row>
    <row r="118" spans="1:49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</row>
    <row r="119" spans="1:49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</row>
    <row r="120" spans="1:49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</row>
    <row r="121" spans="1:49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</row>
    <row r="122" spans="1:49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</row>
    <row r="123" spans="1:49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</row>
    <row r="124" spans="1:49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</row>
    <row r="125" spans="1:49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</row>
    <row r="126" spans="1:49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</row>
    <row r="127" spans="1:49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</row>
    <row r="128" spans="1:49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</row>
    <row r="129" spans="1:49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</row>
    <row r="130" spans="1:49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</row>
    <row r="131" spans="1:49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</row>
    <row r="132" spans="1:49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</row>
    <row r="133" spans="1:49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</row>
    <row r="134" spans="1:49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</row>
    <row r="135" spans="1:49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</row>
    <row r="136" spans="1:49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</row>
    <row r="137" spans="1:49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</row>
    <row r="138" spans="1:49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</row>
    <row r="139" spans="1:49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</row>
    <row r="140" spans="1:49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</row>
    <row r="141" spans="1:49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</row>
    <row r="142" spans="1:49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</row>
    <row r="143" spans="1:49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</row>
    <row r="144" spans="1:49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</row>
    <row r="145" spans="1:49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</row>
    <row r="146" spans="1:49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</row>
    <row r="147" spans="1:49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</row>
    <row r="148" spans="1:49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</row>
    <row r="149" spans="1:49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</row>
    <row r="150" spans="1:49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</row>
    <row r="151" spans="1:49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</row>
    <row r="152" spans="1:49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</row>
    <row r="153" spans="1:49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</row>
    <row r="154" spans="1:49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</row>
    <row r="155" spans="1:49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</row>
    <row r="156" spans="1:49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</row>
    <row r="157" spans="1:49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</row>
    <row r="158" spans="1:49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</row>
    <row r="159" spans="1:49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</row>
    <row r="160" spans="1:49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</row>
    <row r="161" spans="1:49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</row>
    <row r="162" spans="1:49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</row>
    <row r="163" spans="1:49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</row>
    <row r="164" spans="1:49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</row>
    <row r="165" spans="1:49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</row>
    <row r="166" spans="1:49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</row>
    <row r="167" spans="1:49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</row>
    <row r="168" spans="1:49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</row>
    <row r="169" spans="1:49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</row>
    <row r="170" spans="1:49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</row>
    <row r="171" spans="1:49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</row>
    <row r="172" spans="1:49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</row>
    <row r="173" spans="1:49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</row>
    <row r="174" spans="1:49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</row>
    <row r="175" spans="1:49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</row>
    <row r="176" spans="1:49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</row>
    <row r="177" spans="1:1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</row>
    <row r="178" spans="1:11">
      <c r="F178" s="47"/>
      <c r="G178" s="47"/>
      <c r="H178" s="47"/>
      <c r="I178" s="47"/>
      <c r="J178" s="47"/>
      <c r="K178" s="47"/>
    </row>
    <row r="179" spans="1:11">
      <c r="F179" s="47"/>
      <c r="G179" s="47"/>
      <c r="H179" s="47"/>
      <c r="I179" s="47"/>
      <c r="J179" s="47"/>
      <c r="K179" s="47"/>
    </row>
    <row r="180" spans="1:11">
      <c r="F180" s="47"/>
      <c r="J180" s="47"/>
    </row>
    <row r="181" spans="1:11">
      <c r="J181" s="47"/>
    </row>
  </sheetData>
  <mergeCells count="15">
    <mergeCell ref="D1:E1"/>
    <mergeCell ref="F1:J1"/>
    <mergeCell ref="A9:C9"/>
    <mergeCell ref="A1:C1"/>
    <mergeCell ref="A2:C2"/>
    <mergeCell ref="A3:C3"/>
    <mergeCell ref="A11:C11"/>
    <mergeCell ref="A4:C4"/>
    <mergeCell ref="A12:C12"/>
    <mergeCell ref="F10:I10"/>
    <mergeCell ref="A7:C7"/>
    <mergeCell ref="A5:C5"/>
    <mergeCell ref="A6:C6"/>
    <mergeCell ref="A8:C8"/>
    <mergeCell ref="A10:C1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C55B-4C89-4FEE-818D-F58D7D8EFFC2}">
  <dimension ref="B1:Q30"/>
  <sheetViews>
    <sheetView tabSelected="1" topLeftCell="C1" zoomScale="80" zoomScaleNormal="80" workbookViewId="0">
      <selection activeCell="D15" sqref="D15"/>
    </sheetView>
  </sheetViews>
  <sheetFormatPr defaultColWidth="11.42578125" defaultRowHeight="14.25"/>
  <cols>
    <col min="3" max="3" width="35.140625" bestFit="1" customWidth="1"/>
    <col min="4" max="4" width="16.7109375" customWidth="1"/>
    <col min="5" max="5" width="14.28515625" bestFit="1" customWidth="1"/>
    <col min="6" max="6" width="26.7109375" bestFit="1" customWidth="1"/>
    <col min="9" max="9" width="10.5703125" customWidth="1"/>
  </cols>
  <sheetData>
    <row r="1" spans="2:17" ht="14.65" thickBot="1">
      <c r="I1" s="70" t="s">
        <v>32</v>
      </c>
      <c r="J1" s="71"/>
      <c r="K1" s="72"/>
      <c r="P1" s="73" t="s">
        <v>33</v>
      </c>
      <c r="Q1" s="74"/>
    </row>
    <row r="2" spans="2:17" ht="14.65" thickBot="1">
      <c r="F2" s="51" t="s">
        <v>34</v>
      </c>
      <c r="G2" s="17">
        <v>18085</v>
      </c>
      <c r="P2" s="32" t="s">
        <v>35</v>
      </c>
      <c r="Q2" s="53">
        <v>5.88457175883054</v>
      </c>
    </row>
    <row r="3" spans="2:17">
      <c r="C3" s="79" t="s">
        <v>36</v>
      </c>
      <c r="D3" s="80"/>
      <c r="G3" s="24">
        <v>2024</v>
      </c>
      <c r="H3" s="50">
        <v>2025</v>
      </c>
      <c r="I3" s="49">
        <v>2026</v>
      </c>
      <c r="J3" s="25">
        <v>2027</v>
      </c>
      <c r="K3" s="25">
        <v>2028</v>
      </c>
      <c r="L3" s="25">
        <v>2029</v>
      </c>
      <c r="M3" s="50">
        <v>2030</v>
      </c>
      <c r="P3" s="33" t="s">
        <v>37</v>
      </c>
      <c r="Q3" s="54">
        <v>6.203853728145913</v>
      </c>
    </row>
    <row r="4" spans="2:17">
      <c r="C4" s="5" t="s">
        <v>38</v>
      </c>
      <c r="D4" s="19">
        <f>Datos!H8*2</f>
        <v>1398</v>
      </c>
      <c r="E4" s="20"/>
      <c r="G4" s="76">
        <f>G2/4</f>
        <v>4521.25</v>
      </c>
      <c r="H4" s="75">
        <f>G14+(G14*Q2)/1000</f>
        <v>4547.8556200646126</v>
      </c>
      <c r="I4" s="75">
        <f>H14+(H14*Q6)/1000</f>
        <v>4665.7055885739355</v>
      </c>
      <c r="J4" s="75">
        <f>I14+(I14*Q10)/1000</f>
        <v>4790.2250863732779</v>
      </c>
      <c r="K4" s="75">
        <f>J14+(J14*Q14)/1000</f>
        <v>4919.717592704922</v>
      </c>
      <c r="L4" s="75">
        <f>K14+(K14*Q18)/1000</f>
        <v>5055.0852194236359</v>
      </c>
      <c r="M4" s="75">
        <f>L14+(L14*Q22)/1000</f>
        <v>5196.7027063092346</v>
      </c>
      <c r="P4" s="33" t="s">
        <v>39</v>
      </c>
      <c r="Q4" s="54">
        <v>6.3984381258940974</v>
      </c>
    </row>
    <row r="5" spans="2:17">
      <c r="B5" s="58"/>
      <c r="C5" s="6" t="s">
        <v>40</v>
      </c>
      <c r="D5" s="23">
        <f>Datos!H8*2</f>
        <v>1398</v>
      </c>
      <c r="E5" s="21"/>
      <c r="F5" s="26" t="s">
        <v>41</v>
      </c>
      <c r="G5" s="77"/>
      <c r="H5" s="75"/>
      <c r="I5" s="75"/>
      <c r="J5" s="75"/>
      <c r="K5" s="75"/>
      <c r="L5" s="75"/>
      <c r="M5" s="75"/>
      <c r="P5" s="33" t="s">
        <v>42</v>
      </c>
      <c r="Q5" s="54">
        <v>6.5047436741450095</v>
      </c>
    </row>
    <row r="6" spans="2:17">
      <c r="B6" s="67">
        <v>2026</v>
      </c>
      <c r="C6" s="47" t="s">
        <v>43</v>
      </c>
      <c r="D6" s="19">
        <f>D4*I21</f>
        <v>458394.74819326791</v>
      </c>
      <c r="E6" s="8"/>
      <c r="F6" s="30"/>
      <c r="G6" s="77"/>
      <c r="H6" s="75"/>
      <c r="I6" s="75"/>
      <c r="J6" s="75"/>
      <c r="K6" s="75"/>
      <c r="L6" s="75"/>
      <c r="M6" s="75"/>
      <c r="P6" s="33" t="s">
        <v>44</v>
      </c>
      <c r="Q6" s="54">
        <v>6.5582333064993659</v>
      </c>
    </row>
    <row r="7" spans="2:17">
      <c r="B7" s="67"/>
      <c r="C7" s="6" t="s">
        <v>45</v>
      </c>
      <c r="D7" s="23">
        <f>D5*I22</f>
        <v>509899.77608015196</v>
      </c>
      <c r="E7" s="8"/>
      <c r="F7" s="31"/>
      <c r="G7" s="78"/>
      <c r="H7" s="75"/>
      <c r="I7" s="75"/>
      <c r="J7" s="75"/>
      <c r="K7" s="75"/>
      <c r="L7" s="75"/>
      <c r="M7" s="75"/>
      <c r="P7" s="33" t="s">
        <v>46</v>
      </c>
      <c r="Q7" s="54">
        <v>6.5848744941901378</v>
      </c>
    </row>
    <row r="8" spans="2:17">
      <c r="B8" s="68">
        <v>2027</v>
      </c>
      <c r="C8" s="47" t="s">
        <v>43</v>
      </c>
      <c r="D8" s="19">
        <f>D4*J21</f>
        <v>470679.36708253541</v>
      </c>
      <c r="E8" s="8"/>
      <c r="F8" s="30"/>
      <c r="G8" s="75">
        <f>G2/4</f>
        <v>4521.25</v>
      </c>
      <c r="H8" s="75">
        <f>H4+(H4*Q3)/1000</f>
        <v>4576.0698511082201</v>
      </c>
      <c r="I8" s="75">
        <f>I4+(I4*Q7)/1000</f>
        <v>4696.4286743015364</v>
      </c>
      <c r="J8" s="75">
        <f>J4+(J4*Q11)/1000</f>
        <v>4822.0716476840607</v>
      </c>
      <c r="K8" s="75">
        <f>K4+(K4*Q15)/1000</f>
        <v>4952.9967140739736</v>
      </c>
      <c r="L8" s="75">
        <f>L4+(L4*Q19)/1000</f>
        <v>5089.8863820794559</v>
      </c>
      <c r="M8" s="75">
        <f>M4+(M4*Q23)/1000</f>
        <v>5233.1327987821451</v>
      </c>
      <c r="P8" s="33" t="s">
        <v>47</v>
      </c>
      <c r="Q8" s="54">
        <v>6.5998244485565021</v>
      </c>
    </row>
    <row r="9" spans="2:17">
      <c r="B9" s="69"/>
      <c r="C9" s="6" t="s">
        <v>45</v>
      </c>
      <c r="D9" s="23">
        <f>D5*J22</f>
        <v>523564.6892266405</v>
      </c>
      <c r="E9" s="8"/>
      <c r="F9" s="26" t="s">
        <v>48</v>
      </c>
      <c r="G9" s="75"/>
      <c r="H9" s="75"/>
      <c r="I9" s="75"/>
      <c r="J9" s="75"/>
      <c r="K9" s="75"/>
      <c r="L9" s="75"/>
      <c r="M9" s="75"/>
      <c r="P9" s="33" t="s">
        <v>49</v>
      </c>
      <c r="Q9" s="54">
        <v>6.6125985533068636</v>
      </c>
    </row>
    <row r="10" spans="2:17">
      <c r="B10" s="68">
        <v>2028</v>
      </c>
      <c r="C10" s="47" t="s">
        <v>43</v>
      </c>
      <c r="D10" s="19">
        <f>D4*K21</f>
        <v>483488.2499227114</v>
      </c>
      <c r="E10" s="47"/>
      <c r="F10" s="30"/>
      <c r="G10" s="75"/>
      <c r="H10" s="75"/>
      <c r="I10" s="75"/>
      <c r="J10" s="75"/>
      <c r="K10" s="75"/>
      <c r="L10" s="75"/>
      <c r="M10" s="75"/>
      <c r="P10" s="33" t="s">
        <v>50</v>
      </c>
      <c r="Q10" s="54">
        <v>6.6279338537670132</v>
      </c>
    </row>
    <row r="11" spans="2:17">
      <c r="B11" s="69"/>
      <c r="C11" s="6" t="s">
        <v>45</v>
      </c>
      <c r="D11" s="23">
        <f>D5*K22</f>
        <v>537812.77238593728</v>
      </c>
      <c r="E11" s="47"/>
      <c r="F11" s="31"/>
      <c r="G11" s="75">
        <f>G2/4</f>
        <v>4521.25</v>
      </c>
      <c r="H11" s="75">
        <f>H8+(H8*Q4)/1000</f>
        <v>4605.349550910305</v>
      </c>
      <c r="I11" s="75">
        <f>I8+(I8*Q8)/1000</f>
        <v>4727.4242790870931</v>
      </c>
      <c r="J11" s="75">
        <f>J8+(J8*Q12)/1000</f>
        <v>4854.2586307881002</v>
      </c>
      <c r="K11" s="75">
        <f>K8+(K8*Q16)/1000</f>
        <v>4986.6476428789501</v>
      </c>
      <c r="L11" s="75">
        <f>L8+(L8*Q20)/1000</f>
        <v>5125.0854782386696</v>
      </c>
      <c r="M11" s="75">
        <f>M8+(M8*Q24)/1000</f>
        <v>5269.9842323277662</v>
      </c>
      <c r="P11" s="33" t="s">
        <v>51</v>
      </c>
      <c r="Q11" s="54">
        <v>6.6482390151928783</v>
      </c>
    </row>
    <row r="12" spans="2:17">
      <c r="B12" s="68">
        <v>2029</v>
      </c>
      <c r="C12" s="47" t="s">
        <v>43</v>
      </c>
      <c r="D12" s="19">
        <f>D4*L21</f>
        <v>496881.66924238618</v>
      </c>
      <c r="E12" s="47"/>
      <c r="F12" s="26" t="s">
        <v>52</v>
      </c>
      <c r="G12" s="75"/>
      <c r="H12" s="75"/>
      <c r="I12" s="75"/>
      <c r="J12" s="75"/>
      <c r="K12" s="75"/>
      <c r="L12" s="75"/>
      <c r="M12" s="75"/>
      <c r="P12" s="33" t="s">
        <v>53</v>
      </c>
      <c r="Q12" s="54">
        <v>6.674928424072311</v>
      </c>
    </row>
    <row r="13" spans="2:17">
      <c r="B13" s="69"/>
      <c r="C13" s="6" t="s">
        <v>45</v>
      </c>
      <c r="D13" s="23">
        <f>D5*L22</f>
        <v>552711.07028085657</v>
      </c>
      <c r="E13" s="47"/>
      <c r="F13" s="30"/>
      <c r="G13" s="75"/>
      <c r="H13" s="75"/>
      <c r="I13" s="75"/>
      <c r="J13" s="75"/>
      <c r="K13" s="75"/>
      <c r="L13" s="75"/>
      <c r="M13" s="75"/>
      <c r="P13" s="33" t="s">
        <v>54</v>
      </c>
      <c r="Q13" s="54">
        <v>6.7049352067712666</v>
      </c>
    </row>
    <row r="14" spans="2:17">
      <c r="B14" s="68">
        <v>2030</v>
      </c>
      <c r="C14" s="47" t="s">
        <v>43</v>
      </c>
      <c r="D14" s="19">
        <f>D4*M21</f>
        <v>510898.35714842961</v>
      </c>
      <c r="E14" s="47"/>
      <c r="F14" s="30"/>
      <c r="G14" s="75">
        <f>G2/4</f>
        <v>4521.25</v>
      </c>
      <c r="H14" s="75">
        <f>H11+(H11*Q5)/1000</f>
        <v>4635.3061692688152</v>
      </c>
      <c r="I14" s="75">
        <f>I11+(I11*Q9)/1000</f>
        <v>4758.6848380358524</v>
      </c>
      <c r="J14" s="75">
        <f>J11+(J11*Q13)/1000</f>
        <v>4886.8061203844445</v>
      </c>
      <c r="K14" s="75">
        <f>K11+(K11*Q17)/1000</f>
        <v>5020.674289480281</v>
      </c>
      <c r="L14" s="75">
        <f>L11+(L11*Q21)/1000</f>
        <v>5160.6888436206937</v>
      </c>
      <c r="M14" s="75">
        <f>M11+(M11*Q25)/1000</f>
        <v>5307.2633845605988</v>
      </c>
      <c r="P14" s="33" t="s">
        <v>55</v>
      </c>
      <c r="Q14" s="54">
        <v>6.7347612141175253</v>
      </c>
    </row>
    <row r="15" spans="2:17">
      <c r="B15" s="67"/>
      <c r="C15" s="47" t="s">
        <v>45</v>
      </c>
      <c r="D15" s="19">
        <f>D5*M22</f>
        <v>568302.66694038792</v>
      </c>
      <c r="E15" s="47"/>
      <c r="F15" s="27" t="s">
        <v>56</v>
      </c>
      <c r="G15" s="75"/>
      <c r="H15" s="75"/>
      <c r="I15" s="75"/>
      <c r="J15" s="75"/>
      <c r="K15" s="75"/>
      <c r="L15" s="75"/>
      <c r="M15" s="75"/>
      <c r="P15" s="33" t="s">
        <v>57</v>
      </c>
      <c r="Q15" s="54">
        <v>6.7644373364841854</v>
      </c>
    </row>
    <row r="16" spans="2:17">
      <c r="E16" s="47"/>
      <c r="G16" s="75"/>
      <c r="H16" s="75"/>
      <c r="I16" s="75"/>
      <c r="J16" s="75"/>
      <c r="K16" s="75"/>
      <c r="L16" s="75"/>
      <c r="M16" s="75"/>
      <c r="P16" s="33" t="s">
        <v>58</v>
      </c>
      <c r="Q16" s="54">
        <v>6.7940543367123292</v>
      </c>
    </row>
    <row r="17" spans="3:17">
      <c r="E17" s="10"/>
      <c r="F17" s="28" t="s">
        <v>59</v>
      </c>
      <c r="G17" s="18">
        <f>SUM(G4:G16)</f>
        <v>18085</v>
      </c>
      <c r="H17" s="18">
        <f t="shared" ref="H17:M17" si="0">SUM(H4:H16)</f>
        <v>18364.58119135195</v>
      </c>
      <c r="I17" s="18">
        <f t="shared" si="0"/>
        <v>18848.243379998417</v>
      </c>
      <c r="J17" s="18">
        <f t="shared" si="0"/>
        <v>19353.361485229882</v>
      </c>
      <c r="K17" s="18">
        <f t="shared" si="0"/>
        <v>19880.036239138128</v>
      </c>
      <c r="L17" s="18">
        <f t="shared" si="0"/>
        <v>20430.745923362454</v>
      </c>
      <c r="M17" s="18">
        <f t="shared" si="0"/>
        <v>21007.083121979744</v>
      </c>
      <c r="P17" s="33" t="s">
        <v>60</v>
      </c>
      <c r="Q17" s="54">
        <v>6.8235514193431959</v>
      </c>
    </row>
    <row r="18" spans="3:17">
      <c r="E18" s="47"/>
      <c r="P18" s="33" t="s">
        <v>61</v>
      </c>
      <c r="Q18" s="54">
        <v>6.853846308145366</v>
      </c>
    </row>
    <row r="19" spans="3:17">
      <c r="E19" s="47"/>
      <c r="P19" s="33" t="s">
        <v>62</v>
      </c>
      <c r="Q19" s="54">
        <v>6.8843869381470801</v>
      </c>
    </row>
    <row r="20" spans="3:17">
      <c r="E20" s="47"/>
      <c r="F20" s="35" t="s">
        <v>63</v>
      </c>
      <c r="G20" s="60">
        <f>(G17*Datos!E15)*Datos!$E7</f>
        <v>664.5810240282417</v>
      </c>
      <c r="H20" s="61">
        <f>(H17*Datos!E15)*Datos!$E7</f>
        <v>674.8549722973994</v>
      </c>
      <c r="I20" s="3">
        <f>(I17*Datos!E15)*Datos!$E7</f>
        <v>692.62841507397707</v>
      </c>
      <c r="J20" s="3">
        <f>(J17*Datos!E15)*Datos!$E7</f>
        <v>711.19031209526179</v>
      </c>
      <c r="K20" s="3">
        <f>(K17*Datos!E15)*Datos!$E7</f>
        <v>730.54436502764577</v>
      </c>
      <c r="L20" s="3">
        <f>(L17*Datos!E15)*Datos!$E7</f>
        <v>750.78164486641117</v>
      </c>
      <c r="M20" s="3">
        <f>(M17*Datos!E15)*Datos!$E7</f>
        <v>771.96067531388951</v>
      </c>
      <c r="P20" s="33" t="s">
        <v>64</v>
      </c>
      <c r="Q20" s="54">
        <v>6.9154974231140356</v>
      </c>
    </row>
    <row r="21" spans="3:17">
      <c r="C21" s="47"/>
      <c r="D21" s="47"/>
      <c r="E21" s="47"/>
      <c r="F21" s="29" t="s">
        <v>65</v>
      </c>
      <c r="G21" s="3">
        <f>G20*Datos!$E5</f>
        <v>314.61548477932718</v>
      </c>
      <c r="H21" s="16">
        <f>H20*Datos!$E5</f>
        <v>319.47921560887522</v>
      </c>
      <c r="I21" s="3">
        <f>I20*Datos!$E5</f>
        <v>327.89323905097848</v>
      </c>
      <c r="J21" s="3">
        <f>J20*Datos!$E5</f>
        <v>336.68052008765051</v>
      </c>
      <c r="K21" s="3">
        <f>K20*Datos!$E5</f>
        <v>345.84281110351316</v>
      </c>
      <c r="L21" s="3">
        <f>L20*Datos!$E5</f>
        <v>355.42322549526909</v>
      </c>
      <c r="M21" s="3">
        <f>M20*Datos!$E5</f>
        <v>365.4494686326392</v>
      </c>
      <c r="P21" s="33" t="s">
        <v>66</v>
      </c>
      <c r="Q21" s="54">
        <v>6.9468822584906578</v>
      </c>
    </row>
    <row r="22" spans="3:17">
      <c r="C22" s="47"/>
      <c r="D22" s="47"/>
      <c r="E22" s="47"/>
      <c r="F22" s="29" t="s">
        <v>67</v>
      </c>
      <c r="G22" s="62">
        <f>G20*Datos!$E6</f>
        <v>349.96553924891447</v>
      </c>
      <c r="H22" s="63">
        <f>H20*Datos!$E6</f>
        <v>355.37575668852412</v>
      </c>
      <c r="I22" s="3">
        <f>I20*Datos!$E6</f>
        <v>364.73517602299853</v>
      </c>
      <c r="J22" s="3">
        <f>J20*Datos!$E6</f>
        <v>374.50979200761122</v>
      </c>
      <c r="K22" s="3">
        <f>K20*Datos!$E6</f>
        <v>384.70155392413255</v>
      </c>
      <c r="L22" s="3">
        <f>L20*Datos!$E6</f>
        <v>395.35841937114202</v>
      </c>
      <c r="M22" s="3">
        <f>M20*Datos!$E6</f>
        <v>406.51120668125031</v>
      </c>
      <c r="P22" s="33" t="s">
        <v>68</v>
      </c>
      <c r="Q22" s="54">
        <v>6.9784991461089128</v>
      </c>
    </row>
    <row r="23" spans="3:17">
      <c r="C23" s="47"/>
      <c r="D23" s="47"/>
      <c r="E23" s="47"/>
      <c r="P23" s="33" t="s">
        <v>69</v>
      </c>
      <c r="Q23" s="54">
        <v>7.0102321667701979</v>
      </c>
    </row>
    <row r="24" spans="3:17">
      <c r="C24" s="47"/>
      <c r="D24" s="47"/>
      <c r="E24" s="47"/>
      <c r="P24" s="33" t="s">
        <v>70</v>
      </c>
      <c r="Q24" s="54">
        <v>7.0419450380080519</v>
      </c>
    </row>
    <row r="25" spans="3:17">
      <c r="C25" s="47"/>
      <c r="D25" s="47"/>
      <c r="E25" s="47"/>
      <c r="P25" s="34" t="s">
        <v>71</v>
      </c>
      <c r="Q25" s="55">
        <v>7.0738640932074679</v>
      </c>
    </row>
    <row r="26" spans="3:17">
      <c r="C26" s="47"/>
      <c r="D26" s="47"/>
      <c r="E26" s="47"/>
    </row>
    <row r="27" spans="3:17">
      <c r="C27" s="47"/>
      <c r="D27" s="47"/>
      <c r="E27" s="47"/>
    </row>
    <row r="28" spans="3:17">
      <c r="E28" s="47"/>
      <c r="J28" s="36"/>
    </row>
    <row r="29" spans="3:17">
      <c r="J29" s="9"/>
    </row>
    <row r="30" spans="3:17">
      <c r="G30" s="36"/>
    </row>
  </sheetData>
  <mergeCells count="36">
    <mergeCell ref="C3:D3"/>
    <mergeCell ref="G8:G10"/>
    <mergeCell ref="G11:G13"/>
    <mergeCell ref="G14:G16"/>
    <mergeCell ref="M8:M10"/>
    <mergeCell ref="I4:I7"/>
    <mergeCell ref="H8:H10"/>
    <mergeCell ref="H11:H13"/>
    <mergeCell ref="H14:H16"/>
    <mergeCell ref="I8:I10"/>
    <mergeCell ref="I11:I13"/>
    <mergeCell ref="I14:I16"/>
    <mergeCell ref="M11:M13"/>
    <mergeCell ref="J14:J16"/>
    <mergeCell ref="K14:K16"/>
    <mergeCell ref="L14:L16"/>
    <mergeCell ref="M14:M16"/>
    <mergeCell ref="G4:G7"/>
    <mergeCell ref="H4:H7"/>
    <mergeCell ref="J11:J13"/>
    <mergeCell ref="K11:K13"/>
    <mergeCell ref="L11:L13"/>
    <mergeCell ref="J8:J10"/>
    <mergeCell ref="K8:K10"/>
    <mergeCell ref="L8:L10"/>
    <mergeCell ref="I1:K1"/>
    <mergeCell ref="P1:Q1"/>
    <mergeCell ref="J4:J7"/>
    <mergeCell ref="K4:K7"/>
    <mergeCell ref="L4:L7"/>
    <mergeCell ref="M4:M7"/>
    <mergeCell ref="B6:B7"/>
    <mergeCell ref="B8:B9"/>
    <mergeCell ref="B10:B11"/>
    <mergeCell ref="B12:B13"/>
    <mergeCell ref="B14:B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EE7E2-4A2D-49D4-831E-9E6983E58EC0}">
  <dimension ref="B1:P23"/>
  <sheetViews>
    <sheetView topLeftCell="B1" workbookViewId="0">
      <selection activeCell="H18" sqref="H18"/>
    </sheetView>
  </sheetViews>
  <sheetFormatPr defaultColWidth="11.42578125" defaultRowHeight="14.25"/>
  <cols>
    <col min="4" max="4" width="14.28515625" bestFit="1" customWidth="1"/>
    <col min="5" max="5" width="14.28515625" customWidth="1"/>
    <col min="6" max="6" width="11.85546875" bestFit="1" customWidth="1"/>
    <col min="7" max="7" width="13.7109375" bestFit="1" customWidth="1"/>
    <col min="8" max="8" width="13.5703125" bestFit="1" customWidth="1"/>
    <col min="9" max="9" width="21.7109375" bestFit="1" customWidth="1"/>
  </cols>
  <sheetData>
    <row r="1" spans="2:16" ht="15.4">
      <c r="B1" s="82" t="s">
        <v>72</v>
      </c>
      <c r="C1" s="82"/>
      <c r="D1" s="82"/>
      <c r="E1" s="40"/>
      <c r="G1" s="82" t="s">
        <v>73</v>
      </c>
      <c r="H1" s="82"/>
      <c r="I1" s="82"/>
      <c r="J1" s="82"/>
      <c r="K1" s="82"/>
      <c r="L1" s="82"/>
      <c r="M1" s="82"/>
      <c r="N1" s="82"/>
      <c r="O1" s="82"/>
      <c r="P1" s="82"/>
    </row>
    <row r="3" spans="2:16" ht="15">
      <c r="C3" s="37" t="s">
        <v>74</v>
      </c>
      <c r="D3" s="37" t="s">
        <v>75</v>
      </c>
      <c r="H3" s="37" t="s">
        <v>74</v>
      </c>
      <c r="I3" s="37" t="s">
        <v>76</v>
      </c>
      <c r="J3" s="37" t="s">
        <v>77</v>
      </c>
      <c r="K3" s="37" t="s">
        <v>78</v>
      </c>
    </row>
    <row r="4" spans="2:16" ht="15">
      <c r="C4" s="38">
        <v>2024</v>
      </c>
      <c r="D4" s="39">
        <f>Estimados!G2</f>
        <v>18085</v>
      </c>
      <c r="H4" s="38">
        <v>2024</v>
      </c>
      <c r="I4" s="39">
        <f>Estimados!G20</f>
        <v>664.5810240282417</v>
      </c>
      <c r="J4" s="39">
        <f>Estimados!G21</f>
        <v>314.61548477932718</v>
      </c>
      <c r="K4" s="39">
        <f>Estimados!G22</f>
        <v>349.96553924891447</v>
      </c>
    </row>
    <row r="5" spans="2:16" ht="15">
      <c r="C5" s="38">
        <v>2025</v>
      </c>
      <c r="D5" s="39">
        <f>Estimados!H17</f>
        <v>18364.58119135195</v>
      </c>
      <c r="H5" s="38">
        <v>2025</v>
      </c>
      <c r="I5" s="39">
        <f>Estimados!H20</f>
        <v>674.8549722973994</v>
      </c>
      <c r="J5" s="39">
        <f>Estimados!H21</f>
        <v>319.47921560887522</v>
      </c>
      <c r="K5" s="39">
        <f>Estimados!H22</f>
        <v>355.37575668852412</v>
      </c>
    </row>
    <row r="6" spans="2:16" ht="15">
      <c r="C6" s="38">
        <v>2026</v>
      </c>
      <c r="D6" s="39">
        <f>Estimados!I17</f>
        <v>18848.243379998417</v>
      </c>
      <c r="H6" s="38">
        <v>2026</v>
      </c>
      <c r="I6" s="39">
        <f>Estimados!I20</f>
        <v>692.62841507397707</v>
      </c>
      <c r="J6" s="39">
        <f>Estimados!I21</f>
        <v>327.89323905097848</v>
      </c>
      <c r="K6" s="39">
        <f>Estimados!I22</f>
        <v>364.73517602299853</v>
      </c>
    </row>
    <row r="7" spans="2:16" ht="15">
      <c r="C7" s="38">
        <v>2027</v>
      </c>
      <c r="D7" s="39">
        <f>Estimados!J17</f>
        <v>19353.361485229882</v>
      </c>
      <c r="H7" s="38">
        <v>2027</v>
      </c>
      <c r="I7" s="39">
        <f>Estimados!J20</f>
        <v>711.19031209526179</v>
      </c>
      <c r="J7" s="39">
        <f>Estimados!J21</f>
        <v>336.68052008765051</v>
      </c>
      <c r="K7" s="39">
        <f>Estimados!J22</f>
        <v>374.50979200761122</v>
      </c>
    </row>
    <row r="8" spans="2:16" ht="15">
      <c r="C8" s="38">
        <v>2028</v>
      </c>
      <c r="D8" s="39">
        <f>Estimados!K17</f>
        <v>19880.036239138128</v>
      </c>
      <c r="H8" s="38">
        <v>2028</v>
      </c>
      <c r="I8" s="39">
        <f>Estimados!K20</f>
        <v>730.54436502764577</v>
      </c>
      <c r="J8" s="39">
        <f>Estimados!K21</f>
        <v>345.84281110351316</v>
      </c>
      <c r="K8" s="39">
        <f>Estimados!K22</f>
        <v>384.70155392413255</v>
      </c>
    </row>
    <row r="9" spans="2:16" ht="15">
      <c r="C9" s="38">
        <v>2029</v>
      </c>
      <c r="D9" s="39">
        <f>Estimados!L17</f>
        <v>20430.745923362454</v>
      </c>
      <c r="H9" s="38">
        <v>2029</v>
      </c>
      <c r="I9" s="39">
        <f>Estimados!L20</f>
        <v>750.78164486641117</v>
      </c>
      <c r="J9" s="39">
        <f>Estimados!L21</f>
        <v>355.42322549526909</v>
      </c>
      <c r="K9" s="39">
        <f>Estimados!L22</f>
        <v>395.35841937114202</v>
      </c>
    </row>
    <row r="10" spans="2:16" ht="15">
      <c r="C10" s="38">
        <v>2030</v>
      </c>
      <c r="D10" s="39">
        <f>Estimados!M17</f>
        <v>21007.083121979744</v>
      </c>
      <c r="H10" s="38">
        <v>2030</v>
      </c>
      <c r="I10" s="39">
        <f>Estimados!M20</f>
        <v>771.96067531388951</v>
      </c>
      <c r="J10" s="39">
        <f>Estimados!M21</f>
        <v>365.4494686326392</v>
      </c>
      <c r="K10" s="39">
        <f>Estimados!M22</f>
        <v>406.51120668125031</v>
      </c>
    </row>
    <row r="15" spans="2:16">
      <c r="E15" s="81" t="s">
        <v>79</v>
      </c>
      <c r="F15" s="81"/>
      <c r="G15" s="81"/>
      <c r="H15" s="81"/>
    </row>
    <row r="17" spans="5:8" ht="15">
      <c r="E17" s="37" t="s">
        <v>74</v>
      </c>
      <c r="F17" s="37" t="s">
        <v>77</v>
      </c>
      <c r="G17" s="37" t="s">
        <v>78</v>
      </c>
      <c r="H17" s="37" t="s">
        <v>59</v>
      </c>
    </row>
    <row r="18" spans="5:8" ht="15">
      <c r="E18" s="38">
        <v>2026</v>
      </c>
      <c r="F18" s="44">
        <f>Estimados!D6</f>
        <v>458394.74819326791</v>
      </c>
      <c r="G18" s="45">
        <f>Estimados!D7</f>
        <v>509899.77608015196</v>
      </c>
      <c r="H18" s="44">
        <f>SUM(F18:G18)/1000000</f>
        <v>0.96829452427341989</v>
      </c>
    </row>
    <row r="19" spans="5:8" ht="15">
      <c r="E19" s="38">
        <v>2027</v>
      </c>
      <c r="F19" s="44">
        <f>Estimados!D8</f>
        <v>470679.36708253541</v>
      </c>
      <c r="G19" s="45">
        <f>Estimados!D9</f>
        <v>523564.6892266405</v>
      </c>
      <c r="H19" s="44">
        <f>SUM(F19:G19)/1000000</f>
        <v>0.99424405630917589</v>
      </c>
    </row>
    <row r="20" spans="5:8" ht="15">
      <c r="E20" s="38">
        <v>2028</v>
      </c>
      <c r="F20" s="44">
        <f>Estimados!D10</f>
        <v>483488.2499227114</v>
      </c>
      <c r="G20" s="45">
        <f>Estimados!D11</f>
        <v>537812.77238593728</v>
      </c>
      <c r="H20" s="44">
        <f>SUM(F20:G20)/1000000</f>
        <v>1.0213010223086487</v>
      </c>
    </row>
    <row r="21" spans="5:8" ht="15">
      <c r="E21" s="38">
        <v>2029</v>
      </c>
      <c r="F21" s="44">
        <f>Estimados!D12</f>
        <v>496881.66924238618</v>
      </c>
      <c r="G21" s="45">
        <f>Estimados!D13</f>
        <v>552711.07028085657</v>
      </c>
      <c r="H21" s="44">
        <f>SUM(F21:G21)/1000000</f>
        <v>1.0495927395232427</v>
      </c>
    </row>
    <row r="22" spans="5:8" ht="15">
      <c r="E22" s="38">
        <v>2030</v>
      </c>
      <c r="F22" s="44">
        <f>Estimados!D14</f>
        <v>510898.35714842961</v>
      </c>
      <c r="G22" s="45">
        <f>Estimados!D15</f>
        <v>568302.66694038792</v>
      </c>
      <c r="H22" s="44">
        <f>SUM(F22:G22)/1000000</f>
        <v>1.0792010240888177</v>
      </c>
    </row>
    <row r="23" spans="5:8">
      <c r="H23" s="20"/>
    </row>
  </sheetData>
  <mergeCells count="3">
    <mergeCell ref="E15:H15"/>
    <mergeCell ref="G1:P1"/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ffe5051bde4b16788d8db8d0ad8f45da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228fec9fec968042104e4231a39b237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SharedWithUsers xmlns="a09e65a3-c7c6-46c4-8cad-d2b1e4cef29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060A26B-8DBB-4233-87E0-DB8C481D68AF}"/>
</file>

<file path=customXml/itemProps2.xml><?xml version="1.0" encoding="utf-8"?>
<ds:datastoreItem xmlns:ds="http://schemas.openxmlformats.org/officeDocument/2006/customXml" ds:itemID="{39F1F236-D57F-454A-8E80-8E2499C90501}"/>
</file>

<file path=customXml/itemProps3.xml><?xml version="1.0" encoding="utf-8"?>
<ds:datastoreItem xmlns:ds="http://schemas.openxmlformats.org/officeDocument/2006/customXml" ds:itemID="{FBAAC4D2-F70F-4BF2-B4C3-BB5EF0E787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 A. Otero Maldonado</dc:creator>
  <cp:keywords/>
  <dc:description/>
  <cp:lastModifiedBy>Fabian A. Otero Maldonado</cp:lastModifiedBy>
  <cp:revision/>
  <dcterms:created xsi:type="dcterms:W3CDTF">2025-09-22T17:51:50Z</dcterms:created>
  <dcterms:modified xsi:type="dcterms:W3CDTF">2025-09-25T22:44:53Z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  <property fmtid="{D5CDD505-2E9C-101B-9397-08002B2CF9AE}" pid="4" name="Order">
    <vt:r8>2237200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