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287 _ PC 823/PC 823/2. Tabla/"/>
    </mc:Choice>
  </mc:AlternateContent>
  <xr:revisionPtr revIDLastSave="0" documentId="13_ncr:1_{77997D87-79B0-934D-8908-6FEF1CDEFEA9}" xr6:coauthVersionLast="47" xr6:coauthVersionMax="47" xr10:uidLastSave="{00000000-0000-0000-0000-000000000000}"/>
  <bookViews>
    <workbookView xWindow="0" yWindow="680" windowWidth="34200" windowHeight="18960" activeTab="1" xr2:uid="{00000000-000D-0000-FFFF-FFFF00000000}"/>
  </bookViews>
  <sheets>
    <sheet name="Datos - Veteranos" sheetId="2" r:id="rId1"/>
    <sheet name="Tabla 1" sheetId="7" r:id="rId2"/>
    <sheet name="Sheet1" sheetId="6" r:id="rId3"/>
    <sheet name="GUIA" sheetId="5" r:id="rId4"/>
    <sheet name="Ref-pc337" sheetId="4" r:id="rId5"/>
    <sheet name="EF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K32" i="3"/>
  <c r="D29" i="3"/>
  <c r="D30" i="3" s="1"/>
  <c r="D31" i="3" s="1"/>
  <c r="D32" i="3" s="1"/>
  <c r="D33" i="3" s="1"/>
  <c r="E29" i="3"/>
  <c r="E30" i="3" s="1"/>
  <c r="E31" i="3" s="1"/>
  <c r="E32" i="3" s="1"/>
  <c r="E33" i="3" s="1"/>
  <c r="D17" i="3"/>
  <c r="E18" i="3"/>
  <c r="E19" i="3"/>
  <c r="E20" i="3" s="1"/>
  <c r="E21" i="3" s="1"/>
  <c r="E17" i="3"/>
  <c r="D18" i="3"/>
  <c r="D19" i="3"/>
  <c r="D20" i="3"/>
  <c r="D21" i="3" s="1"/>
  <c r="I35" i="3"/>
  <c r="H35" i="3"/>
  <c r="H6" i="4"/>
  <c r="I3" i="4"/>
  <c r="H3" i="4"/>
  <c r="G3" i="4"/>
  <c r="F3" i="4"/>
  <c r="E3" i="4"/>
  <c r="D3" i="4"/>
  <c r="C3" i="4"/>
  <c r="D17" i="4"/>
  <c r="E17" i="4"/>
  <c r="K34" i="3"/>
  <c r="K33" i="3"/>
  <c r="K31" i="3"/>
  <c r="H36" i="3"/>
  <c r="J34" i="3" l="1"/>
  <c r="J32" i="3"/>
  <c r="J33" i="3"/>
  <c r="J31" i="3"/>
  <c r="M14" i="2"/>
  <c r="O2" i="2" s="1"/>
  <c r="B15" i="5"/>
  <c r="C15" i="4"/>
  <c r="I18" i="3"/>
  <c r="W20" i="4"/>
  <c r="W19" i="4"/>
  <c r="W15" i="4"/>
  <c r="W16" i="4"/>
  <c r="W14" i="4"/>
  <c r="W17" i="4"/>
  <c r="W18" i="4"/>
  <c r="C16" i="4"/>
  <c r="C17" i="4" s="1"/>
  <c r="M25" i="3"/>
  <c r="L25" i="3"/>
  <c r="K25" i="3"/>
  <c r="J25" i="3"/>
  <c r="I25" i="3"/>
  <c r="H25" i="3"/>
  <c r="G25" i="3"/>
  <c r="O24" i="3"/>
  <c r="N24" i="3"/>
  <c r="M21" i="3"/>
  <c r="J4" i="3"/>
  <c r="C2" i="3" s="1"/>
  <c r="K7" i="2"/>
  <c r="G5" i="2"/>
  <c r="G6" i="2" s="1"/>
  <c r="G7" i="2" s="1"/>
  <c r="H5" i="2"/>
  <c r="K12" i="2" s="1"/>
  <c r="F5" i="2"/>
  <c r="K2" i="2" s="1"/>
  <c r="P2" i="2" l="1"/>
  <c r="K3" i="2"/>
  <c r="M12" i="2"/>
  <c r="M7" i="2"/>
  <c r="H6" i="2"/>
  <c r="H7" i="2" s="1"/>
  <c r="K8" i="2" s="1"/>
  <c r="N25" i="3"/>
  <c r="O25" i="3"/>
  <c r="P12" i="2" l="1"/>
  <c r="P7" i="2"/>
  <c r="D5" i="3" s="1"/>
  <c r="F5" i="3" s="1"/>
  <c r="K9" i="2"/>
  <c r="M8" i="2"/>
  <c r="M3" i="2"/>
  <c r="K4" i="2"/>
  <c r="P3" i="2" l="1"/>
  <c r="L3" i="2"/>
  <c r="N3" i="2" s="1"/>
  <c r="P8" i="2"/>
  <c r="D6" i="3" s="1"/>
  <c r="F6" i="3" s="1"/>
  <c r="L8" i="2"/>
  <c r="C3" i="3"/>
  <c r="M4" i="2"/>
  <c r="K5" i="2"/>
  <c r="K10" i="2"/>
  <c r="M9" i="2"/>
  <c r="N4" i="2" l="1"/>
  <c r="O3" i="2"/>
  <c r="P9" i="2"/>
  <c r="D7" i="3" s="1"/>
  <c r="F7" i="3" s="1"/>
  <c r="L9" i="2"/>
  <c r="P4" i="2"/>
  <c r="D2" i="3" s="1"/>
  <c r="L4" i="2"/>
  <c r="C4" i="3"/>
  <c r="K11" i="2"/>
  <c r="M11" i="2" s="1"/>
  <c r="M10" i="2"/>
  <c r="K6" i="2"/>
  <c r="M6" i="2" s="1"/>
  <c r="M5" i="2"/>
  <c r="P6" i="2" l="1"/>
  <c r="D4" i="3" s="1"/>
  <c r="F4" i="3" s="1"/>
  <c r="L6" i="2"/>
  <c r="L7" i="2"/>
  <c r="F2" i="3"/>
  <c r="E2" i="3"/>
  <c r="N5" i="2"/>
  <c r="O4" i="2"/>
  <c r="L5" i="2"/>
  <c r="P5" i="2"/>
  <c r="D3" i="3" s="1"/>
  <c r="L10" i="2"/>
  <c r="P10" i="2"/>
  <c r="P11" i="2"/>
  <c r="L11" i="2"/>
  <c r="L12" i="2"/>
  <c r="C5" i="3"/>
  <c r="E4" i="3" l="1"/>
  <c r="G4" i="3" s="1"/>
  <c r="N6" i="2"/>
  <c r="O5" i="2"/>
  <c r="F3" i="3"/>
  <c r="E3" i="3"/>
  <c r="C6" i="3"/>
  <c r="E5" i="3"/>
  <c r="G5" i="3" s="1"/>
  <c r="G3" i="3" l="1"/>
  <c r="O6" i="2"/>
  <c r="N7" i="2"/>
  <c r="C7" i="3"/>
  <c r="E7" i="3" s="1"/>
  <c r="G7" i="3" s="1"/>
  <c r="E6" i="3"/>
  <c r="G6" i="3" s="1"/>
  <c r="O7" i="2" l="1"/>
  <c r="N8" i="2"/>
  <c r="B13" i="2"/>
  <c r="N9" i="2" l="1"/>
  <c r="O8" i="2"/>
  <c r="N10" i="2" l="1"/>
  <c r="O9" i="2"/>
  <c r="N11" i="2" l="1"/>
  <c r="O10" i="2"/>
  <c r="N12" i="2" l="1"/>
  <c r="O12" i="2" s="1"/>
  <c r="O11" i="2"/>
</calcChain>
</file>

<file path=xl/sharedStrings.xml><?xml version="1.0" encoding="utf-8"?>
<sst xmlns="http://schemas.openxmlformats.org/spreadsheetml/2006/main" count="99" uniqueCount="93">
  <si>
    <t>Planillas Radicadas con estatus Veterano</t>
  </si>
  <si>
    <t>Radicadas casados</t>
  </si>
  <si>
    <t xml:space="preserve">Fuentes: </t>
  </si>
  <si>
    <t>Actualizacion-del-retrato-de-la-Industria-de-concesionario-de-autos.pdf</t>
  </si>
  <si>
    <t>Unidades que pagaron arbitrios</t>
  </si>
  <si>
    <t>Parámetro de compra de vehículo</t>
  </si>
  <si>
    <t>Parámetro de compra de vehiculo</t>
  </si>
  <si>
    <t>EF</t>
  </si>
  <si>
    <t>Distribución de Mercado de Carros</t>
  </si>
  <si>
    <t>Usados</t>
  </si>
  <si>
    <t>Nuevos</t>
  </si>
  <si>
    <t>Precios Promedios de Carros</t>
  </si>
  <si>
    <t>Precio Promedio Ponderado</t>
  </si>
  <si>
    <t>Less than 40</t>
  </si>
  <si>
    <t>40-64</t>
  </si>
  <si>
    <t>65+</t>
  </si>
  <si>
    <t>Población Veteranos</t>
  </si>
  <si>
    <t>Veteranos que reciben beneficios por discapacidad</t>
  </si>
  <si>
    <t>Unidades</t>
  </si>
  <si>
    <t>Arbitrios</t>
  </si>
  <si>
    <t>Arbitrio promedio</t>
  </si>
  <si>
    <t>Inflación - Transportacion</t>
  </si>
  <si>
    <t>Proyección Moody's 
(June Baseline)</t>
  </si>
  <si>
    <t>Base de JSAF para 2024</t>
  </si>
  <si>
    <t>Base de Moody's (2028)</t>
  </si>
  <si>
    <t>Realizados por la JP</t>
  </si>
  <si>
    <t>Proyección de JSAF</t>
  </si>
  <si>
    <t>Arbitrio Individuo</t>
  </si>
  <si>
    <t>Junta de Planificación | JSAF | Moody's</t>
  </si>
  <si>
    <t>(%)</t>
  </si>
  <si>
    <t>-</t>
  </si>
  <si>
    <t>Planillas- Veteranos</t>
  </si>
  <si>
    <t xml:space="preserve"> </t>
  </si>
  <si>
    <t>(%) disability</t>
  </si>
  <si>
    <t>Veteranos Disability</t>
  </si>
  <si>
    <t>Compran Carro</t>
  </si>
  <si>
    <t>Arbitrio Agregado (PC 823)</t>
  </si>
  <si>
    <t>Arbitrio vigente</t>
  </si>
  <si>
    <t>Fuente: Departamento de Asuntos de los Veteranos</t>
  </si>
  <si>
    <t>Fuente: Hacienda</t>
  </si>
  <si>
    <t>Legislacion propuesta</t>
  </si>
  <si>
    <t>Total arbitrio a pagar</t>
  </si>
  <si>
    <t>unidades</t>
  </si>
  <si>
    <t xml:space="preserve">arbitrio promedio </t>
  </si>
  <si>
    <t>Precio contributivo promedio</t>
  </si>
  <si>
    <t>Comprobacion de lo anterior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</si>
  <si>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</si>
  <si>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</si>
  <si>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</si>
  <si>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</si>
  <si>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</si>
  <si>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</si>
  <si>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</si>
  <si>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</si>
  <si>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</si>
  <si>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</si>
  <si>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</si>
  <si>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</si>
  <si>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</si>
  <si>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fuente: </t>
  </si>
  <si>
    <t>GUIA-Pages-julio-2025-min.pdf</t>
  </si>
  <si>
    <t>"Tabla | PR Total"</t>
  </si>
  <si>
    <t>Datos del Departamento de Hacienda (2025)</t>
  </si>
  <si>
    <t>precio de venta para alcanzar arbitiro de $10,000</t>
  </si>
  <si>
    <t>AF</t>
  </si>
  <si>
    <t>AF 2025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</si>
  <si>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</si>
  <si>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</si>
  <si>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</si>
  <si>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</si>
  <si>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</si>
  <si>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</si>
  <si>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</si>
  <si>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</si>
  <si>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</si>
  <si>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</si>
  <si>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</si>
  <si>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</si>
  <si>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Valor</t>
  </si>
  <si>
    <t>Total</t>
  </si>
  <si>
    <t>PR GUIA</t>
  </si>
  <si>
    <t xml:space="preserve">^Se actualizo utilizando datos del VA porque las pensiones de militares estan exentas del pago de contribucion. </t>
  </si>
  <si>
    <t>Compran carro^</t>
  </si>
  <si>
    <t>Mayor de $10,690</t>
  </si>
  <si>
    <t>Mayor de $21,380</t>
  </si>
  <si>
    <t>Mayor de $31,780</t>
  </si>
  <si>
    <t>Mayor $44,890</t>
  </si>
  <si>
    <t>Unidades Vendidas (AF 2022)</t>
  </si>
  <si>
    <t>Precios Contributivos</t>
  </si>
  <si>
    <t>Arbitrios pagados (en miles $)</t>
  </si>
  <si>
    <t>Arbitrio Promedio</t>
  </si>
  <si>
    <t>GNP (Nominal)</t>
  </si>
  <si>
    <t>Año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</si>
</sst>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&quot;$&quot;* #,##0_-;\-&quot;$&quot;* #,##0_-;_-&quot;$&quot;* &quot;-&quot;??_-;_-@_-"/>
    <numFmt numFmtId="168" formatCode="_-* #,##0_-;\-* #,##0_-;_-* &quot;-&quot;??_-;_-@_-"/>
    <numFmt numFmtId="169" formatCode="0.0000000000"/>
    <numFmt numFmtId="170" formatCode="&quot;$&quot;#,##0"/>
    <numFmt numFmtId="171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1"/>
      <name val="Myriad Pro Condensed"/>
    </font>
    <font>
      <b/>
      <sz val="12"/>
      <color theme="0"/>
      <name val="Myriad Pro Condensed"/>
    </font>
  </fonts>
  <fills count="7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0" xfId="4"/>
    <xf numFmtId="167" fontId="0" fillId="0" borderId="0" xfId="2" applyNumberFormat="1" applyFont="1"/>
    <xf numFmtId="0" fontId="2" fillId="2" borderId="0" xfId="0" applyFont="1" applyFill="1"/>
    <xf numFmtId="10" fontId="0" fillId="0" borderId="0" xfId="3" applyNumberFormat="1" applyFont="1"/>
    <xf numFmtId="10" fontId="0" fillId="0" borderId="0" xfId="0" applyNumberFormat="1"/>
    <xf numFmtId="1" fontId="0" fillId="0" borderId="0" xfId="0" applyNumberFormat="1"/>
    <xf numFmtId="168" fontId="0" fillId="0" borderId="0" xfId="1" applyNumberFormat="1" applyFont="1"/>
    <xf numFmtId="169" fontId="0" fillId="0" borderId="0" xfId="0" applyNumberFormat="1"/>
    <xf numFmtId="3" fontId="0" fillId="0" borderId="0" xfId="0" applyNumberFormat="1"/>
    <xf numFmtId="166" fontId="0" fillId="0" borderId="0" xfId="3" applyNumberFormat="1" applyFont="1"/>
    <xf numFmtId="0" fontId="0" fillId="3" borderId="0" xfId="0" applyFill="1"/>
    <xf numFmtId="3" fontId="0" fillId="3" borderId="0" xfId="0" applyNumberFormat="1" applyFill="1"/>
    <xf numFmtId="0" fontId="0" fillId="5" borderId="0" xfId="0" applyFill="1"/>
    <xf numFmtId="3" fontId="0" fillId="5" borderId="0" xfId="0" applyNumberFormat="1" applyFill="1"/>
    <xf numFmtId="167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170" fontId="0" fillId="0" borderId="1" xfId="0" applyNumberFormat="1" applyBorder="1"/>
    <xf numFmtId="168" fontId="0" fillId="0" borderId="1" xfId="1" applyNumberFormat="1" applyFont="1" applyBorder="1"/>
    <xf numFmtId="171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4" borderId="1" xfId="0" applyFill="1" applyBorder="1"/>
    <xf numFmtId="3" fontId="0" fillId="4" borderId="1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3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5" fontId="5" fillId="0" borderId="1" xfId="2" applyNumberFormat="1" applyFont="1" applyBorder="1" applyAlignment="1">
      <alignment horizontal="center" vertical="center"/>
    </xf>
    <xf numFmtId="5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71" fontId="5" fillId="0" borderId="1" xfId="2" applyNumberFormat="1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94A65"/>
      <color rgb="FFFF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 w="25400">
              <a:solidFill>
                <a:srgbClr val="194A65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8502"/>
              </a:solidFill>
              <a:ln w="25400">
                <a:solidFill>
                  <a:srgbClr val="FF85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8E-4E8C-A96D-209D5A2A5ABF}"/>
              </c:ext>
            </c:extLst>
          </c:dPt>
          <c:dPt>
            <c:idx val="3"/>
            <c:invertIfNegative val="0"/>
            <c:bubble3D val="0"/>
            <c:spPr>
              <a:solidFill>
                <a:srgbClr val="FF8502"/>
              </a:solidFill>
              <a:ln w="25400">
                <a:solidFill>
                  <a:srgbClr val="FF85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8E-4E8C-A96D-209D5A2A5AB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E-4E8C-A96D-209D5A2A5AB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E-4E8C-A96D-209D5A2A5AB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8E-4E8C-A96D-209D5A2A5A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- Veteranos'!$J$2:$J$12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'Datos - Veteranos'!$K$2:$K$12</c:f>
              <c:numCache>
                <c:formatCode>#,##0</c:formatCode>
                <c:ptCount val="11"/>
                <c:pt idx="0">
                  <c:v>69666</c:v>
                </c:pt>
                <c:pt idx="1">
                  <c:v>66681.2</c:v>
                </c:pt>
                <c:pt idx="2">
                  <c:v>63696.399999999994</c:v>
                </c:pt>
                <c:pt idx="3">
                  <c:v>60711.599999999991</c:v>
                </c:pt>
                <c:pt idx="4">
                  <c:v>57726.799999999988</c:v>
                </c:pt>
                <c:pt idx="5">
                  <c:v>54742</c:v>
                </c:pt>
                <c:pt idx="6">
                  <c:v>52435.199999999997</c:v>
                </c:pt>
                <c:pt idx="7">
                  <c:v>50128.399999999994</c:v>
                </c:pt>
                <c:pt idx="8">
                  <c:v>47821.599999999991</c:v>
                </c:pt>
                <c:pt idx="9">
                  <c:v>45514.799999999988</c:v>
                </c:pt>
                <c:pt idx="10">
                  <c:v>43208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E-4E8C-A96D-209D5A2A5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3862864"/>
        <c:axId val="1543864304"/>
      </c:barChart>
      <c:catAx>
        <c:axId val="15438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yriad Pro Cond"/>
                <a:ea typeface="+mn-ea"/>
                <a:cs typeface="+mn-cs"/>
              </a:defRPr>
            </a:pPr>
            <a:endParaRPr lang="en-US"/>
          </a:p>
        </c:txPr>
        <c:crossAx val="1543864304"/>
        <c:crosses val="autoZero"/>
        <c:auto val="1"/>
        <c:lblAlgn val="ctr"/>
        <c:lblOffset val="100"/>
        <c:noMultiLvlLbl val="0"/>
      </c:catAx>
      <c:valAx>
        <c:axId val="15438643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38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297654</xdr:colOff>
      <xdr:row>14</xdr:row>
      <xdr:rowOff>100012</xdr:rowOff>
    </xdr:from>
    <xdr:to>
      <xdr:col>10</xdr:col>
      <xdr:colOff>226216</xdr:colOff>
      <xdr:row>29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8A4EEB-3151-7C82-2C58-730D0620A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radaautopr.com/wp-content/uploads/2025/06/Actualizacion-del-retrato-de-la-Industria-de-concesionario-de-autos.pdf?utm_source=chatgpt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puertoricoguia.org/wp-content/uploads/2025/08/GUIA-Pages-julio-2025-m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F405-B6E8-437A-A975-BAD8B42D4E1C}">
  <dimension ref="A1:P27"/>
  <sheetViews>
    <sheetView topLeftCell="D1" workbookViewId="0">
      <selection activeCell="N21" sqref="N21"/>
    </sheetView>
  </sheetViews>
  <sheetFormatPr baseColWidth="10" defaultColWidth="8.83203125" defaultRowHeight="15"/>
  <cols>
    <col min="1" max="1" width="23.33203125" hidden="1" customWidth="1"/>
    <col min="2" max="2" width="10.6640625" hidden="1" customWidth="1"/>
    <col min="3" max="3" width="0" hidden="1" customWidth="1"/>
    <col min="5" max="5" width="10.6640625" customWidth="1"/>
    <col min="11" max="11" width="11.5" customWidth="1"/>
    <col min="13" max="13" width="17.6640625" customWidth="1"/>
    <col min="14" max="14" width="11.6640625" bestFit="1" customWidth="1"/>
    <col min="15" max="15" width="10.6640625" customWidth="1"/>
    <col min="16" max="16" width="11.1640625" customWidth="1"/>
  </cols>
  <sheetData>
    <row r="1" spans="1:16" s="1" customFormat="1" ht="45" customHeight="1">
      <c r="A1" s="1" t="s">
        <v>0</v>
      </c>
      <c r="B1" s="1">
        <v>17038</v>
      </c>
      <c r="F1" s="1">
        <v>2023</v>
      </c>
      <c r="G1" s="1">
        <v>2028</v>
      </c>
      <c r="H1" s="1">
        <v>2033</v>
      </c>
      <c r="K1" s="27" t="s">
        <v>16</v>
      </c>
      <c r="L1" s="27" t="s">
        <v>29</v>
      </c>
      <c r="M1" s="27" t="s">
        <v>17</v>
      </c>
      <c r="N1" s="27" t="s">
        <v>31</v>
      </c>
      <c r="O1" s="27" t="s">
        <v>34</v>
      </c>
      <c r="P1" s="36" t="s">
        <v>82</v>
      </c>
    </row>
    <row r="2" spans="1:16">
      <c r="A2" t="s">
        <v>1</v>
      </c>
      <c r="B2">
        <v>157</v>
      </c>
      <c r="E2" t="s">
        <v>13</v>
      </c>
      <c r="F2" s="11">
        <v>7449</v>
      </c>
      <c r="G2" s="11">
        <v>5632</v>
      </c>
      <c r="H2" s="11">
        <v>4190</v>
      </c>
      <c r="J2" s="28">
        <v>2023</v>
      </c>
      <c r="K2" s="34">
        <f>F5</f>
        <v>69666</v>
      </c>
      <c r="L2" s="34" t="s">
        <v>30</v>
      </c>
      <c r="M2" s="34">
        <v>32941</v>
      </c>
      <c r="N2" s="28">
        <v>17038</v>
      </c>
      <c r="O2" s="30">
        <f>N2*$M$14</f>
        <v>8056.2793615249911</v>
      </c>
      <c r="P2" s="34">
        <f>M2*'Ref-pc337'!$H$6</f>
        <v>7969.680582913028</v>
      </c>
    </row>
    <row r="3" spans="1:16">
      <c r="E3" t="s">
        <v>14</v>
      </c>
      <c r="F3" s="11">
        <v>20915</v>
      </c>
      <c r="G3" s="11">
        <v>15652</v>
      </c>
      <c r="H3" s="11">
        <v>13188</v>
      </c>
      <c r="J3" s="28">
        <v>2024</v>
      </c>
      <c r="K3" s="34">
        <f>K2+$G$7</f>
        <v>66681.2</v>
      </c>
      <c r="L3" s="35">
        <f>M3/M2-1</f>
        <v>-4.2844429133293116E-2</v>
      </c>
      <c r="M3" s="34">
        <f t="shared" ref="M3:M12" si="0">K3*$M$14</f>
        <v>31529.661659920192</v>
      </c>
      <c r="N3" s="30">
        <f>N2*(L3+1)</f>
        <v>16308.016616426952</v>
      </c>
      <c r="O3" s="30">
        <f t="shared" ref="O3:O12" si="1">N3*$M$14</f>
        <v>7711.1126713421218</v>
      </c>
      <c r="P3" s="34">
        <f>M3*'Ref-pc337'!$H$6</f>
        <v>7628.224167963429</v>
      </c>
    </row>
    <row r="4" spans="1:16">
      <c r="E4" t="s">
        <v>15</v>
      </c>
      <c r="F4" s="11">
        <v>41302</v>
      </c>
      <c r="G4" s="11">
        <v>33458</v>
      </c>
      <c r="H4" s="11">
        <v>25830</v>
      </c>
      <c r="J4" s="28">
        <v>2025</v>
      </c>
      <c r="K4" s="34">
        <f t="shared" ref="K4:K6" si="2">K3+$G$7</f>
        <v>63696.399999999994</v>
      </c>
      <c r="L4" s="35">
        <f t="shared" ref="L4:L12" si="3">M4/M3-1</f>
        <v>-4.4762241831280858E-2</v>
      </c>
      <c r="M4" s="34">
        <f t="shared" si="0"/>
        <v>30118.32331984038</v>
      </c>
      <c r="N4" s="30">
        <f t="shared" ref="N4:N12" si="4">N3*(L4+1)</f>
        <v>15578.033232853903</v>
      </c>
      <c r="O4" s="30">
        <f t="shared" si="1"/>
        <v>7365.9459811592515</v>
      </c>
      <c r="P4" s="34">
        <f>M4*'Ref-pc337'!$H$6</f>
        <v>7286.767753013829</v>
      </c>
    </row>
    <row r="5" spans="1:16">
      <c r="A5" t="s">
        <v>8</v>
      </c>
      <c r="F5" s="11">
        <f>SUM(F2:F4)</f>
        <v>69666</v>
      </c>
      <c r="G5" s="11">
        <f t="shared" ref="G5:H5" si="5">SUM(G2:G4)</f>
        <v>54742</v>
      </c>
      <c r="H5" s="11">
        <f t="shared" si="5"/>
        <v>43208</v>
      </c>
      <c r="J5" s="28">
        <v>2026</v>
      </c>
      <c r="K5" s="34">
        <f t="shared" si="2"/>
        <v>60711.599999999991</v>
      </c>
      <c r="L5" s="35">
        <f t="shared" si="3"/>
        <v>-4.6859791134192919E-2</v>
      </c>
      <c r="M5" s="34">
        <f t="shared" si="0"/>
        <v>28706.984979760568</v>
      </c>
      <c r="N5" s="30">
        <f t="shared" si="4"/>
        <v>14848.049849280853</v>
      </c>
      <c r="O5" s="30">
        <f t="shared" si="1"/>
        <v>7020.7792909763812</v>
      </c>
      <c r="P5" s="34">
        <f>M5*'Ref-pc337'!$H$6</f>
        <v>6945.311338064228</v>
      </c>
    </row>
    <row r="6" spans="1:16">
      <c r="A6" t="s">
        <v>9</v>
      </c>
      <c r="B6">
        <v>0.31</v>
      </c>
      <c r="G6" s="11">
        <f>G5-F5</f>
        <v>-14924</v>
      </c>
      <c r="H6" s="11">
        <f>H5-G5</f>
        <v>-11534</v>
      </c>
      <c r="J6" s="28">
        <v>2027</v>
      </c>
      <c r="K6" s="34">
        <f t="shared" si="2"/>
        <v>57726.799999999988</v>
      </c>
      <c r="L6" s="35">
        <f t="shared" si="3"/>
        <v>-4.9163586530415859E-2</v>
      </c>
      <c r="M6" s="34">
        <f t="shared" si="0"/>
        <v>27295.646639680759</v>
      </c>
      <c r="N6" s="30">
        <f t="shared" si="4"/>
        <v>14118.066465707805</v>
      </c>
      <c r="O6" s="30">
        <f t="shared" si="1"/>
        <v>6675.6126007935127</v>
      </c>
      <c r="P6" s="34">
        <f>M6*'Ref-pc337'!$H$6</f>
        <v>6603.8549231146289</v>
      </c>
    </row>
    <row r="7" spans="1:16">
      <c r="A7" t="s">
        <v>10</v>
      </c>
      <c r="B7">
        <v>0.69</v>
      </c>
      <c r="G7">
        <f>G6/5</f>
        <v>-2984.8</v>
      </c>
      <c r="H7">
        <f>H6/5</f>
        <v>-2306.8000000000002</v>
      </c>
      <c r="J7" s="28">
        <v>2028</v>
      </c>
      <c r="K7" s="34">
        <f>G5</f>
        <v>54742</v>
      </c>
      <c r="L7" s="35">
        <f t="shared" si="3"/>
        <v>-5.1705620266496499E-2</v>
      </c>
      <c r="M7" s="34">
        <f t="shared" si="0"/>
        <v>25884.308299600954</v>
      </c>
      <c r="N7" s="30">
        <f t="shared" si="4"/>
        <v>13388.083082134759</v>
      </c>
      <c r="O7" s="30">
        <f t="shared" si="1"/>
        <v>6330.4459106106442</v>
      </c>
      <c r="P7" s="34">
        <f>M7*'Ref-pc337'!$H$6</f>
        <v>6262.3985081650308</v>
      </c>
    </row>
    <row r="8" spans="1:16">
      <c r="J8" s="28">
        <v>2029</v>
      </c>
      <c r="K8" s="34">
        <f>K7+$H$7</f>
        <v>52435.199999999997</v>
      </c>
      <c r="L8" s="35">
        <f t="shared" si="3"/>
        <v>-4.2139490701837756E-2</v>
      </c>
      <c r="M8" s="34">
        <f t="shared" si="0"/>
        <v>24793.556730686418</v>
      </c>
      <c r="N8" s="30">
        <f t="shared" si="4"/>
        <v>12823.916079579711</v>
      </c>
      <c r="O8" s="30">
        <f t="shared" si="1"/>
        <v>6063.6841440219805</v>
      </c>
      <c r="P8" s="34">
        <f>M8*'Ref-pc337'!$H$6</f>
        <v>5998.5042244590077</v>
      </c>
    </row>
    <row r="9" spans="1:16">
      <c r="A9" t="s">
        <v>11</v>
      </c>
      <c r="E9" t="s">
        <v>38</v>
      </c>
      <c r="J9" s="28">
        <v>2030</v>
      </c>
      <c r="K9" s="34">
        <f t="shared" ref="K9:K11" si="6">K8+$H$7</f>
        <v>50128.399999999994</v>
      </c>
      <c r="L9" s="35">
        <f t="shared" si="3"/>
        <v>-4.3993347979983E-2</v>
      </c>
      <c r="M9" s="34">
        <f t="shared" si="0"/>
        <v>23702.805161771881</v>
      </c>
      <c r="N9" s="30">
        <f t="shared" si="4"/>
        <v>12259.74907702466</v>
      </c>
      <c r="O9" s="30">
        <f t="shared" si="1"/>
        <v>5796.9223774333159</v>
      </c>
      <c r="P9" s="34">
        <f>M9*'Ref-pc337'!$H$6</f>
        <v>5734.6099407529846</v>
      </c>
    </row>
    <row r="10" spans="1:16">
      <c r="A10" t="s">
        <v>9</v>
      </c>
      <c r="B10">
        <v>30102</v>
      </c>
      <c r="J10" s="28">
        <v>2031</v>
      </c>
      <c r="K10" s="34">
        <f t="shared" si="6"/>
        <v>47821.599999999991</v>
      </c>
      <c r="L10" s="35">
        <f t="shared" si="3"/>
        <v>-4.6017826222261249E-2</v>
      </c>
      <c r="M10" s="34">
        <f t="shared" si="0"/>
        <v>22612.053592857344</v>
      </c>
      <c r="N10" s="30">
        <f t="shared" si="4"/>
        <v>11695.582074469612</v>
      </c>
      <c r="O10" s="30">
        <f t="shared" si="1"/>
        <v>5530.1606108446522</v>
      </c>
      <c r="P10" s="34">
        <f>M10*'Ref-pc337'!$H$6</f>
        <v>5470.7156570469615</v>
      </c>
    </row>
    <row r="11" spans="1:16">
      <c r="A11" t="s">
        <v>10</v>
      </c>
      <c r="B11">
        <v>43310</v>
      </c>
      <c r="J11" s="28">
        <v>2032</v>
      </c>
      <c r="K11" s="34">
        <f t="shared" si="6"/>
        <v>45514.799999999988</v>
      </c>
      <c r="L11" s="35">
        <f t="shared" si="3"/>
        <v>-4.8237616474563927E-2</v>
      </c>
      <c r="M11" s="34">
        <f t="shared" si="0"/>
        <v>21521.302023942808</v>
      </c>
      <c r="N11" s="30">
        <f t="shared" si="4"/>
        <v>11131.415071914562</v>
      </c>
      <c r="O11" s="30">
        <f t="shared" si="1"/>
        <v>5263.3988442559876</v>
      </c>
      <c r="P11" s="34">
        <f>M11*'Ref-pc337'!$H$6</f>
        <v>5206.8213733409384</v>
      </c>
    </row>
    <row r="12" spans="1:16">
      <c r="J12" s="28">
        <v>2033</v>
      </c>
      <c r="K12" s="34">
        <f>H5</f>
        <v>43208</v>
      </c>
      <c r="L12" s="35">
        <f t="shared" si="3"/>
        <v>-5.0682415390158497E-2</v>
      </c>
      <c r="M12" s="34">
        <f t="shared" si="0"/>
        <v>20430.550455028279</v>
      </c>
      <c r="N12" s="30">
        <f t="shared" si="4"/>
        <v>10567.248069359517</v>
      </c>
      <c r="O12" s="30">
        <f t="shared" si="1"/>
        <v>4996.6370776673248</v>
      </c>
      <c r="P12" s="34">
        <f>M12*'Ref-pc337'!$H$6</f>
        <v>4942.9270896349171</v>
      </c>
    </row>
    <row r="13" spans="1:16">
      <c r="A13" t="s">
        <v>12</v>
      </c>
      <c r="B13">
        <f>(B6*B10)+(B7*B11)</f>
        <v>39215.519999999997</v>
      </c>
    </row>
    <row r="14" spans="1:16">
      <c r="L14" t="s">
        <v>33</v>
      </c>
      <c r="M14" s="12">
        <f>M2/K2</f>
        <v>0.47284184537651081</v>
      </c>
      <c r="P14" t="s">
        <v>81</v>
      </c>
    </row>
    <row r="15" spans="1:16">
      <c r="L15" t="s">
        <v>32</v>
      </c>
    </row>
    <row r="26" spans="1:1">
      <c r="A26" t="s">
        <v>2</v>
      </c>
    </row>
    <row r="27" spans="1:1">
      <c r="A27" s="3" t="s">
        <v>3</v>
      </c>
    </row>
  </sheetData>
  <hyperlinks>
    <hyperlink ref="A27" r:id="rId1" display="https://pradaautopr.com/wp-content/uploads/2025/06/Actualizacion-del-retrato-de-la-Industria-de-concesionario-de-autos.pdf?utm_source=chatgpt.com" xr:uid="{7979AED1-D4E1-42C8-962F-4900BA7F2FF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BA94-F5C9-4F46-8B85-F9FA194F67F9}">
  <dimension ref="B2:C7"/>
  <sheetViews>
    <sheetView tabSelected="1" workbookViewId="0">
      <selection activeCell="C16" sqref="C16"/>
    </sheetView>
  </sheetViews>
  <sheetFormatPr baseColWidth="10" defaultRowHeight="15"/>
  <cols>
    <col min="2" max="2" width="13.83203125" customWidth="1"/>
    <col min="3" max="3" width="15.6640625" customWidth="1"/>
  </cols>
  <sheetData>
    <row r="2" spans="2:3" ht="34">
      <c r="B2" s="45" t="s">
        <v>92</v>
      </c>
      <c r="C2" s="45" t="s">
        <v>90</v>
      </c>
    </row>
    <row r="3" spans="2:3" ht="16">
      <c r="B3" s="52">
        <v>2026</v>
      </c>
      <c r="C3" s="53">
        <v>4118.015363893006</v>
      </c>
    </row>
    <row r="4" spans="2:3" ht="16">
      <c r="B4" s="52">
        <v>2027</v>
      </c>
      <c r="C4" s="53">
        <v>4183.9036097152939</v>
      </c>
    </row>
    <row r="5" spans="2:3" ht="16">
      <c r="B5" s="52">
        <v>2028</v>
      </c>
      <c r="C5" s="53">
        <v>4255.0299710804538</v>
      </c>
    </row>
    <row r="6" spans="2:3" ht="16">
      <c r="B6" s="52">
        <v>2029</v>
      </c>
      <c r="C6" s="53">
        <v>4350.8619571469999</v>
      </c>
    </row>
    <row r="7" spans="2:3" ht="16">
      <c r="B7" s="52">
        <v>2030</v>
      </c>
      <c r="C7" s="53">
        <v>4452.83306272756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78F6-BC06-4B48-A2C6-42B2C17A811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7ED7-C367-4629-9962-964C47C4684D}">
  <dimension ref="A2:B18"/>
  <sheetViews>
    <sheetView workbookViewId="0">
      <selection activeCell="A19" sqref="A19"/>
    </sheetView>
  </sheetViews>
  <sheetFormatPr baseColWidth="10" defaultColWidth="8.83203125" defaultRowHeight="15"/>
  <sheetData>
    <row r="2" spans="1:2">
      <c r="A2" t="s">
        <v>65</v>
      </c>
      <c r="B2" t="s">
        <v>78</v>
      </c>
    </row>
    <row r="3" spans="1:2">
      <c r="A3" t="s">
        <v>66</v>
      </c>
      <c r="B3" s="11">
        <v>9985</v>
      </c>
    </row>
    <row r="4" spans="1:2">
      <c r="A4" t="s">
        <v>67</v>
      </c>
      <c r="B4" s="11">
        <v>10074</v>
      </c>
    </row>
    <row r="5" spans="1:2">
      <c r="A5" t="s">
        <v>68</v>
      </c>
      <c r="B5" s="11">
        <v>9149</v>
      </c>
    </row>
    <row r="6" spans="1:2">
      <c r="A6" t="s">
        <v>69</v>
      </c>
      <c r="B6" s="11">
        <v>10038</v>
      </c>
    </row>
    <row r="7" spans="1:2">
      <c r="A7" t="s">
        <v>70</v>
      </c>
      <c r="B7" s="11">
        <v>11297</v>
      </c>
    </row>
    <row r="8" spans="1:2">
      <c r="A8" t="s">
        <v>71</v>
      </c>
      <c r="B8" s="11">
        <v>12068</v>
      </c>
    </row>
    <row r="9" spans="1:2">
      <c r="A9" t="s">
        <v>72</v>
      </c>
      <c r="B9" s="11">
        <v>8719</v>
      </c>
    </row>
    <row r="10" spans="1:2">
      <c r="A10" t="s">
        <v>73</v>
      </c>
      <c r="B10" s="11">
        <v>9063</v>
      </c>
    </row>
    <row r="11" spans="1:2">
      <c r="A11" t="s">
        <v>74</v>
      </c>
      <c r="B11" s="11">
        <v>12246</v>
      </c>
    </row>
    <row r="12" spans="1:2">
      <c r="A12" t="s">
        <v>75</v>
      </c>
      <c r="B12" s="11">
        <v>10648</v>
      </c>
    </row>
    <row r="13" spans="1:2">
      <c r="A13" t="s">
        <v>76</v>
      </c>
      <c r="B13" s="11">
        <v>9762</v>
      </c>
    </row>
    <row r="14" spans="1:2">
      <c r="A14" t="s">
        <v>77</v>
      </c>
      <c r="B14" s="11">
        <v>8660</v>
      </c>
    </row>
    <row r="15" spans="1:2">
      <c r="A15" s="23" t="s">
        <v>79</v>
      </c>
      <c r="B15" s="24">
        <f>SUM(B3:B14)</f>
        <v>121709</v>
      </c>
    </row>
    <row r="16" spans="1:2">
      <c r="A16" s="23"/>
      <c r="B16" s="23"/>
    </row>
    <row r="18" spans="1:1">
      <c r="A18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3A4B-2E31-4882-9EC9-446D6DE34BF7}">
  <dimension ref="B2:W24"/>
  <sheetViews>
    <sheetView workbookViewId="0">
      <selection activeCell="C3" sqref="C3"/>
    </sheetView>
  </sheetViews>
  <sheetFormatPr baseColWidth="10" defaultColWidth="8.83203125" defaultRowHeight="15"/>
  <cols>
    <col min="2" max="2" width="25.6640625" bestFit="1" customWidth="1"/>
    <col min="3" max="3" width="11.6640625" bestFit="1" customWidth="1"/>
    <col min="4" max="4" width="11.1640625" customWidth="1"/>
    <col min="5" max="5" width="10.6640625" bestFit="1" customWidth="1"/>
    <col min="7" max="7" width="10.6640625" customWidth="1"/>
  </cols>
  <sheetData>
    <row r="2" spans="2:23">
      <c r="B2" s="5"/>
      <c r="C2" s="5">
        <v>2020</v>
      </c>
      <c r="D2" s="5">
        <v>2021</v>
      </c>
      <c r="E2" s="5">
        <v>2022</v>
      </c>
      <c r="F2" s="5">
        <v>2023</v>
      </c>
      <c r="G2" s="5">
        <v>2024</v>
      </c>
      <c r="H2" s="5">
        <v>2025</v>
      </c>
      <c r="I2" s="5">
        <v>2026</v>
      </c>
    </row>
    <row r="3" spans="2:23" ht="16">
      <c r="B3" s="1" t="s">
        <v>4</v>
      </c>
      <c r="C3">
        <f>SUM(Q14:V14,K15:P15)</f>
        <v>86833</v>
      </c>
      <c r="D3">
        <f>SUM(Q15:V15,K16:P16)</f>
        <v>130690</v>
      </c>
      <c r="E3">
        <f>SUM(Q16:V16,K17:P17)</f>
        <v>126072</v>
      </c>
      <c r="F3">
        <f>SUM(Q17:V17,K18:P18)</f>
        <v>121251</v>
      </c>
      <c r="G3">
        <f>SUM(Q18:V18,K19:P19)</f>
        <v>127525</v>
      </c>
      <c r="H3">
        <f>SUM(Q19:V19,K20:P20)</f>
        <v>119634</v>
      </c>
      <c r="I3">
        <f>SUM(Q20:T20)</f>
        <v>32397</v>
      </c>
    </row>
    <row r="6" spans="2:23" ht="48">
      <c r="G6" s="1" t="s">
        <v>5</v>
      </c>
      <c r="H6" s="6">
        <f>H3/SUM(E3:H3)</f>
        <v>0.24193802807786735</v>
      </c>
    </row>
    <row r="12" spans="2:23" ht="64">
      <c r="B12" s="18"/>
      <c r="C12" s="19" t="s">
        <v>62</v>
      </c>
      <c r="D12" s="19" t="s">
        <v>40</v>
      </c>
    </row>
    <row r="13" spans="2:23">
      <c r="B13" s="2" t="s">
        <v>41</v>
      </c>
      <c r="C13" s="20">
        <v>659000000</v>
      </c>
      <c r="D13" s="2"/>
      <c r="K13" t="s">
        <v>47</v>
      </c>
      <c r="L13" t="s">
        <v>48</v>
      </c>
      <c r="M13" t="s">
        <v>49</v>
      </c>
      <c r="N13" t="s">
        <v>50</v>
      </c>
      <c r="O13" t="s">
        <v>51</v>
      </c>
      <c r="P13" t="s">
        <v>52</v>
      </c>
      <c r="Q13" t="s">
        <v>53</v>
      </c>
      <c r="R13" t="s">
        <v>54</v>
      </c>
      <c r="S13" t="s">
        <v>55</v>
      </c>
      <c r="T13" t="s">
        <v>56</v>
      </c>
      <c r="U13" t="s">
        <v>57</v>
      </c>
      <c r="V13" t="s">
        <v>58</v>
      </c>
      <c r="W13" t="s">
        <v>46</v>
      </c>
    </row>
    <row r="14" spans="2:23">
      <c r="B14" s="2" t="s">
        <v>42</v>
      </c>
      <c r="C14" s="21">
        <v>162589</v>
      </c>
      <c r="D14" s="2"/>
      <c r="J14">
        <v>2019</v>
      </c>
      <c r="K14">
        <v>8168</v>
      </c>
      <c r="L14">
        <v>7721</v>
      </c>
      <c r="M14">
        <v>9307</v>
      </c>
      <c r="N14">
        <v>7351</v>
      </c>
      <c r="O14">
        <v>8863</v>
      </c>
      <c r="P14">
        <v>10161</v>
      </c>
      <c r="Q14">
        <v>7631</v>
      </c>
      <c r="R14">
        <v>8235</v>
      </c>
      <c r="S14">
        <v>7546</v>
      </c>
      <c r="T14">
        <v>8628</v>
      </c>
      <c r="U14">
        <v>10508</v>
      </c>
      <c r="V14">
        <v>12497</v>
      </c>
      <c r="W14">
        <f>SUM(K14:V14)</f>
        <v>106616</v>
      </c>
    </row>
    <row r="15" spans="2:23">
      <c r="B15" s="2" t="s">
        <v>43</v>
      </c>
      <c r="C15" s="20">
        <f>C13/C14</f>
        <v>4053.1647282411477</v>
      </c>
      <c r="D15" s="20">
        <v>10000</v>
      </c>
      <c r="J15">
        <v>2020</v>
      </c>
      <c r="K15">
        <v>6653</v>
      </c>
      <c r="L15">
        <v>8402</v>
      </c>
      <c r="M15">
        <v>3132</v>
      </c>
      <c r="N15">
        <v>287</v>
      </c>
      <c r="O15">
        <v>2666</v>
      </c>
      <c r="P15">
        <v>10648</v>
      </c>
      <c r="Q15">
        <v>10595</v>
      </c>
      <c r="R15">
        <v>8691</v>
      </c>
      <c r="S15">
        <v>8432</v>
      </c>
      <c r="T15">
        <v>10669</v>
      </c>
      <c r="U15">
        <v>10862</v>
      </c>
      <c r="V15">
        <v>13983</v>
      </c>
      <c r="W15">
        <f t="shared" ref="W15:W16" si="0">SUM(K15:V15)</f>
        <v>95020</v>
      </c>
    </row>
    <row r="16" spans="2:23">
      <c r="B16" s="2" t="s">
        <v>44</v>
      </c>
      <c r="C16" s="20">
        <f>(C15+0.23*21380-3188.35)/0.23</f>
        <v>25140.064035831077</v>
      </c>
      <c r="D16" s="2"/>
      <c r="E16" t="s">
        <v>63</v>
      </c>
      <c r="J16">
        <v>2021</v>
      </c>
      <c r="K16">
        <v>10085</v>
      </c>
      <c r="L16">
        <v>10540</v>
      </c>
      <c r="M16">
        <v>11697</v>
      </c>
      <c r="N16">
        <v>10814</v>
      </c>
      <c r="O16">
        <v>12686</v>
      </c>
      <c r="P16">
        <v>11636</v>
      </c>
      <c r="Q16">
        <v>10926</v>
      </c>
      <c r="R16">
        <v>10755</v>
      </c>
      <c r="S16">
        <v>9570</v>
      </c>
      <c r="T16">
        <v>9281</v>
      </c>
      <c r="U16">
        <v>9346</v>
      </c>
      <c r="V16">
        <v>11809</v>
      </c>
      <c r="W16">
        <f t="shared" si="0"/>
        <v>129145</v>
      </c>
    </row>
    <row r="17" spans="2:23">
      <c r="B17" s="2" t="s">
        <v>45</v>
      </c>
      <c r="C17" s="20">
        <f>3188.35+0.23*(C16-21380)</f>
        <v>4053.1647282411477</v>
      </c>
      <c r="D17" s="20">
        <f>(D15+0.34*44890-9253.1)/0.34</f>
        <v>47086.764705882342</v>
      </c>
      <c r="E17" s="22">
        <f>D17/1.2</f>
        <v>39238.970588235286</v>
      </c>
      <c r="J17">
        <v>2022</v>
      </c>
      <c r="K17">
        <v>10407</v>
      </c>
      <c r="L17">
        <v>11117</v>
      </c>
      <c r="M17">
        <v>11186</v>
      </c>
      <c r="N17">
        <v>10833</v>
      </c>
      <c r="O17">
        <v>10326</v>
      </c>
      <c r="P17">
        <v>10516</v>
      </c>
      <c r="Q17">
        <v>9709</v>
      </c>
      <c r="R17">
        <v>10031</v>
      </c>
      <c r="S17">
        <v>8076</v>
      </c>
      <c r="T17">
        <v>11174</v>
      </c>
      <c r="U17">
        <v>9147</v>
      </c>
      <c r="V17">
        <v>11082</v>
      </c>
      <c r="W17">
        <f t="shared" ref="W17:W18" si="1">SUM(K17:V17)</f>
        <v>123604</v>
      </c>
    </row>
    <row r="18" spans="2:23">
      <c r="J18">
        <v>2023</v>
      </c>
      <c r="K18">
        <v>9505</v>
      </c>
      <c r="L18">
        <v>9309</v>
      </c>
      <c r="M18">
        <v>10732</v>
      </c>
      <c r="N18">
        <v>10870</v>
      </c>
      <c r="O18">
        <v>11158</v>
      </c>
      <c r="P18">
        <v>10458</v>
      </c>
      <c r="Q18">
        <v>10598</v>
      </c>
      <c r="R18">
        <v>11000</v>
      </c>
      <c r="S18">
        <v>11343</v>
      </c>
      <c r="T18">
        <v>10896</v>
      </c>
      <c r="U18">
        <v>11124</v>
      </c>
      <c r="V18">
        <v>11538</v>
      </c>
      <c r="W18">
        <f t="shared" si="1"/>
        <v>128531</v>
      </c>
    </row>
    <row r="19" spans="2:23">
      <c r="J19">
        <v>2024</v>
      </c>
      <c r="K19">
        <v>9459</v>
      </c>
      <c r="L19">
        <v>9275</v>
      </c>
      <c r="M19">
        <v>10602</v>
      </c>
      <c r="N19">
        <v>10239</v>
      </c>
      <c r="O19">
        <v>10679</v>
      </c>
      <c r="P19">
        <v>10772</v>
      </c>
      <c r="Q19">
        <v>9806</v>
      </c>
      <c r="R19">
        <v>9926</v>
      </c>
      <c r="S19">
        <v>8934</v>
      </c>
      <c r="T19">
        <v>9788</v>
      </c>
      <c r="U19">
        <v>10864</v>
      </c>
      <c r="V19">
        <v>11655</v>
      </c>
      <c r="W19">
        <f>SUM(K19:V19)</f>
        <v>121999</v>
      </c>
    </row>
    <row r="20" spans="2:23">
      <c r="J20">
        <v>2025</v>
      </c>
      <c r="K20">
        <v>8595</v>
      </c>
      <c r="L20">
        <v>8924</v>
      </c>
      <c r="M20">
        <v>12072</v>
      </c>
      <c r="N20">
        <v>10648</v>
      </c>
      <c r="O20">
        <v>9762</v>
      </c>
      <c r="P20">
        <v>8660</v>
      </c>
      <c r="Q20">
        <v>8172</v>
      </c>
      <c r="R20">
        <v>8202</v>
      </c>
      <c r="S20">
        <v>7800</v>
      </c>
      <c r="T20">
        <v>8223</v>
      </c>
      <c r="W20">
        <f>SUM(K20:V20)</f>
        <v>91058</v>
      </c>
    </row>
    <row r="24" spans="2:23">
      <c r="K24" t="s">
        <v>59</v>
      </c>
      <c r="L24" s="3" t="s">
        <v>60</v>
      </c>
      <c r="O24" t="s">
        <v>61</v>
      </c>
    </row>
  </sheetData>
  <hyperlinks>
    <hyperlink ref="L24" r:id="rId1" display="https://puertoricoguia.org/wp-content/uploads/2025/08/GUIA-Pages-julio-2025-min.pdf" xr:uid="{16500CE8-D655-40B9-BEF4-FF9C8293E36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D718-C29A-4550-A635-9918918DDBF5}">
  <dimension ref="B1:R37"/>
  <sheetViews>
    <sheetView workbookViewId="0">
      <selection activeCell="D2" sqref="D2"/>
    </sheetView>
  </sheetViews>
  <sheetFormatPr baseColWidth="10" defaultColWidth="8.83203125" defaultRowHeight="15"/>
  <cols>
    <col min="1" max="1" width="5" customWidth="1"/>
    <col min="2" max="2" width="16.33203125" customWidth="1"/>
    <col min="3" max="3" width="11.83203125" bestFit="1" customWidth="1"/>
    <col min="4" max="4" width="11.83203125" customWidth="1"/>
    <col min="5" max="5" width="15.6640625" bestFit="1" customWidth="1"/>
    <col min="6" max="6" width="11.83203125" customWidth="1"/>
    <col min="7" max="7" width="18.33203125" bestFit="1" customWidth="1"/>
    <col min="8" max="8" width="12.6640625" customWidth="1"/>
    <col min="9" max="9" width="13.1640625" customWidth="1"/>
    <col min="10" max="10" width="13" bestFit="1" customWidth="1"/>
    <col min="11" max="11" width="14.5" bestFit="1" customWidth="1"/>
    <col min="12" max="13" width="14.33203125" bestFit="1" customWidth="1"/>
    <col min="15" max="15" width="14.33203125" bestFit="1" customWidth="1"/>
    <col min="16" max="16" width="15.33203125" bestFit="1" customWidth="1"/>
    <col min="18" max="18" width="15.33203125" bestFit="1" customWidth="1"/>
  </cols>
  <sheetData>
    <row r="1" spans="2:18" s="27" customFormat="1" ht="32">
      <c r="B1" s="27" t="s">
        <v>64</v>
      </c>
      <c r="C1" s="27" t="s">
        <v>27</v>
      </c>
      <c r="D1" s="27" t="s">
        <v>35</v>
      </c>
      <c r="E1" s="27" t="s">
        <v>36</v>
      </c>
      <c r="F1" s="27" t="s">
        <v>37</v>
      </c>
      <c r="G1" s="27" t="s">
        <v>7</v>
      </c>
    </row>
    <row r="2" spans="2:18" s="28" customFormat="1">
      <c r="B2" s="28">
        <v>2025</v>
      </c>
      <c r="C2" s="29">
        <f>J4</f>
        <v>4053.1647282411477</v>
      </c>
      <c r="D2" s="30">
        <f>'Datos - Veteranos'!P4</f>
        <v>7286.767753013829</v>
      </c>
      <c r="E2" s="31">
        <f>C2*D2</f>
        <v>29534470.039400656</v>
      </c>
      <c r="F2" s="31">
        <f t="shared" ref="F2:F7" si="0">D2*5000</f>
        <v>36433838.765069142</v>
      </c>
      <c r="G2" s="31">
        <f>E2-F2</f>
        <v>-6899368.7256684862</v>
      </c>
      <c r="I2" s="32" t="s">
        <v>18</v>
      </c>
      <c r="J2" s="32">
        <v>162589</v>
      </c>
    </row>
    <row r="3" spans="2:18" s="28" customFormat="1">
      <c r="B3" s="28">
        <v>2026</v>
      </c>
      <c r="C3" s="29">
        <f>C2*(C21+1)</f>
        <v>4118.015363893006</v>
      </c>
      <c r="D3" s="30">
        <f>'Datos - Veteranos'!P5</f>
        <v>6945.311338064228</v>
      </c>
      <c r="E3" s="31">
        <f t="shared" ref="E3:E7" si="1">C3*D3</f>
        <v>28600898.797168784</v>
      </c>
      <c r="F3" s="31">
        <f t="shared" si="0"/>
        <v>34726556.69032114</v>
      </c>
      <c r="G3" s="31">
        <f t="shared" ref="G3:G7" si="2">E3-F3</f>
        <v>-6125657.8931523561</v>
      </c>
      <c r="I3" s="32" t="s">
        <v>19</v>
      </c>
      <c r="J3" s="33">
        <v>659000000</v>
      </c>
    </row>
    <row r="4" spans="2:18" s="28" customFormat="1">
      <c r="B4" s="28">
        <v>2027</v>
      </c>
      <c r="C4" s="29">
        <f>C3*(C22+1)</f>
        <v>4183.9036097152939</v>
      </c>
      <c r="D4" s="30">
        <f>'Datos - Veteranos'!P6</f>
        <v>6603.8549231146289</v>
      </c>
      <c r="E4" s="31">
        <f t="shared" si="1"/>
        <v>27629892.450855412</v>
      </c>
      <c r="F4" s="31">
        <f t="shared" si="0"/>
        <v>33019274.615573145</v>
      </c>
      <c r="G4" s="31">
        <f t="shared" si="2"/>
        <v>-5389382.1647177339</v>
      </c>
      <c r="I4" s="32" t="s">
        <v>20</v>
      </c>
      <c r="J4" s="33">
        <f>J3/J2</f>
        <v>4053.1647282411477</v>
      </c>
    </row>
    <row r="5" spans="2:18" s="28" customFormat="1">
      <c r="B5" s="28">
        <v>2028</v>
      </c>
      <c r="C5" s="29">
        <f>C4*(C23+1)</f>
        <v>4255.0299710804538</v>
      </c>
      <c r="D5" s="30">
        <f>'Datos - Veteranos'!P7</f>
        <v>6262.3985081650308</v>
      </c>
      <c r="E5" s="31">
        <f t="shared" si="1"/>
        <v>26646693.343091726</v>
      </c>
      <c r="F5" s="31">
        <f t="shared" si="0"/>
        <v>31311992.540825155</v>
      </c>
      <c r="G5" s="31">
        <f t="shared" si="2"/>
        <v>-4665299.1977334283</v>
      </c>
    </row>
    <row r="6" spans="2:18" s="28" customFormat="1">
      <c r="B6" s="28">
        <v>2029</v>
      </c>
      <c r="C6" s="29">
        <f>C5*(C24+1)</f>
        <v>4350.8619571469999</v>
      </c>
      <c r="D6" s="30">
        <f>'Datos - Veteranos'!P8</f>
        <v>5998.5042244590077</v>
      </c>
      <c r="E6" s="31">
        <f t="shared" si="1"/>
        <v>26098663.829984266</v>
      </c>
      <c r="F6" s="31">
        <f t="shared" si="0"/>
        <v>29992521.122295037</v>
      </c>
      <c r="G6" s="31">
        <f t="shared" si="2"/>
        <v>-3893857.2923107706</v>
      </c>
      <c r="I6" s="28" t="s">
        <v>39</v>
      </c>
    </row>
    <row r="7" spans="2:18" s="28" customFormat="1">
      <c r="B7" s="28">
        <v>2030</v>
      </c>
      <c r="C7" s="29">
        <f>C6*(C25+1)</f>
        <v>4452.83306272756</v>
      </c>
      <c r="D7" s="30">
        <f>'Datos - Veteranos'!P9</f>
        <v>5734.6099407529846</v>
      </c>
      <c r="E7" s="31">
        <f t="shared" si="1"/>
        <v>25535260.746031024</v>
      </c>
      <c r="F7" s="31">
        <f t="shared" si="0"/>
        <v>28673049.703764923</v>
      </c>
      <c r="G7" s="31">
        <f t="shared" si="2"/>
        <v>-3137788.9577338994</v>
      </c>
      <c r="L7" s="47"/>
    </row>
    <row r="9" spans="2:18">
      <c r="H9" s="17"/>
      <c r="I9" s="17"/>
      <c r="J9" s="17"/>
      <c r="P9" s="10"/>
      <c r="R9" s="8"/>
    </row>
    <row r="10" spans="2:18">
      <c r="H10" s="17"/>
      <c r="I10" s="17"/>
      <c r="J10" s="17"/>
      <c r="P10" s="10"/>
    </row>
    <row r="11" spans="2:18" ht="14.25" customHeight="1">
      <c r="H11" s="17"/>
      <c r="I11" s="17"/>
      <c r="J11" s="17"/>
      <c r="L11" s="7">
        <v>8.2000000000000003E-2</v>
      </c>
      <c r="M11" s="7">
        <v>0.14399999999999999</v>
      </c>
      <c r="N11" s="7">
        <v>-3.9E-2</v>
      </c>
      <c r="O11" s="7">
        <v>1.2999999999999999E-2</v>
      </c>
    </row>
    <row r="12" spans="2:18">
      <c r="H12" s="17"/>
      <c r="I12" s="17"/>
      <c r="J12" s="17"/>
    </row>
    <row r="13" spans="2:18">
      <c r="H13" s="17"/>
      <c r="I13" s="17"/>
      <c r="J13" s="17"/>
    </row>
    <row r="15" spans="2:18">
      <c r="B15" s="51" t="s">
        <v>21</v>
      </c>
      <c r="C15" s="51"/>
    </row>
    <row r="16" spans="2:18">
      <c r="B16" t="s">
        <v>28</v>
      </c>
      <c r="D16" s="11">
        <v>2080</v>
      </c>
      <c r="E16" s="11">
        <v>5997</v>
      </c>
    </row>
    <row r="17" spans="2:15">
      <c r="B17">
        <v>2022</v>
      </c>
      <c r="C17" s="7">
        <v>8.2000000000000003E-2</v>
      </c>
      <c r="D17" s="4">
        <f>(1+C17)*D16</f>
        <v>2250.56</v>
      </c>
      <c r="E17" s="4">
        <f>(1+C17)*E16</f>
        <v>6488.7540000000008</v>
      </c>
    </row>
    <row r="18" spans="2:15" ht="48">
      <c r="B18">
        <v>2023</v>
      </c>
      <c r="C18" s="7">
        <v>0.14399999999999999</v>
      </c>
      <c r="D18" s="4">
        <f t="shared" ref="D18:D21" si="3">(1+C18)*D17</f>
        <v>2574.6406399999996</v>
      </c>
      <c r="E18" s="4">
        <f t="shared" ref="E18:E21" si="4">(1+C18)*E17</f>
        <v>7423.1345760000004</v>
      </c>
      <c r="H18" s="1" t="s">
        <v>6</v>
      </c>
      <c r="I18" s="7">
        <f>'Ref-pc337'!H6</f>
        <v>0.24193802807786735</v>
      </c>
    </row>
    <row r="19" spans="2:15">
      <c r="B19">
        <v>2024</v>
      </c>
      <c r="C19" s="7">
        <v>-3.9E-2</v>
      </c>
      <c r="D19" s="4">
        <f t="shared" si="3"/>
        <v>2474.2296550399997</v>
      </c>
      <c r="E19" s="4">
        <f t="shared" si="4"/>
        <v>7133.632327536</v>
      </c>
      <c r="H19" s="1"/>
      <c r="I19" s="9"/>
      <c r="J19" s="9"/>
    </row>
    <row r="20" spans="2:15">
      <c r="B20">
        <v>2025</v>
      </c>
      <c r="C20" s="7">
        <v>1.2999999999999999E-2</v>
      </c>
      <c r="D20" s="4">
        <f t="shared" si="3"/>
        <v>2506.3946405555193</v>
      </c>
      <c r="E20" s="4">
        <f t="shared" si="4"/>
        <v>7226.3695477939673</v>
      </c>
      <c r="I20" t="s">
        <v>23</v>
      </c>
      <c r="M20" t="s">
        <v>24</v>
      </c>
    </row>
    <row r="21" spans="2:15">
      <c r="B21">
        <v>2026</v>
      </c>
      <c r="C21" s="12">
        <v>1.6E-2</v>
      </c>
      <c r="D21" s="4">
        <f t="shared" si="3"/>
        <v>2546.4969548044078</v>
      </c>
      <c r="E21" s="4">
        <f t="shared" si="4"/>
        <v>7341.991460558671</v>
      </c>
      <c r="I21">
        <v>86419</v>
      </c>
      <c r="M21">
        <f>95.5030077006091*10^3</f>
        <v>95503.007700609101</v>
      </c>
    </row>
    <row r="22" spans="2:15">
      <c r="B22">
        <v>2027</v>
      </c>
      <c r="C22" s="12">
        <v>1.6E-2</v>
      </c>
      <c r="F22" s="50" t="s">
        <v>25</v>
      </c>
      <c r="G22" s="50"/>
      <c r="H22" s="50"/>
      <c r="I22" s="50"/>
      <c r="J22" s="48" t="s">
        <v>26</v>
      </c>
      <c r="K22" s="48"/>
      <c r="L22" s="48"/>
      <c r="M22" s="48"/>
      <c r="N22" s="49" t="s">
        <v>22</v>
      </c>
      <c r="O22" s="49"/>
    </row>
    <row r="23" spans="2:15">
      <c r="B23">
        <v>2028</v>
      </c>
      <c r="C23" s="12">
        <v>1.7000000000000001E-2</v>
      </c>
      <c r="F23" s="25">
        <v>2021</v>
      </c>
      <c r="G23" s="25">
        <v>2022</v>
      </c>
      <c r="H23" s="25">
        <v>2023</v>
      </c>
      <c r="I23" s="25">
        <v>2024</v>
      </c>
      <c r="J23" s="15">
        <v>2025</v>
      </c>
      <c r="K23" s="15">
        <v>2026</v>
      </c>
      <c r="L23" s="15">
        <v>2027</v>
      </c>
      <c r="M23" s="15">
        <v>2028</v>
      </c>
      <c r="N23" s="13">
        <v>2029</v>
      </c>
      <c r="O23" s="13">
        <v>2030</v>
      </c>
    </row>
    <row r="24" spans="2:15">
      <c r="B24">
        <v>2029</v>
      </c>
      <c r="C24" s="12">
        <v>2.2522047251811061E-2</v>
      </c>
      <c r="F24" s="26">
        <v>73357.2</v>
      </c>
      <c r="G24" s="26">
        <v>78642.100000000006</v>
      </c>
      <c r="H24" s="26">
        <v>81928.7</v>
      </c>
      <c r="I24" s="26">
        <v>85627.199999999997</v>
      </c>
      <c r="J24" s="16">
        <v>87216</v>
      </c>
      <c r="K24" s="16">
        <v>88497</v>
      </c>
      <c r="L24" s="16">
        <v>90864</v>
      </c>
      <c r="M24" s="16">
        <v>92931</v>
      </c>
      <c r="N24" s="14">
        <f>97.6539309527323*10^3</f>
        <v>97653.930952732291</v>
      </c>
      <c r="O24" s="14">
        <f>99.9426450975652*10^3</f>
        <v>99942.645097565211</v>
      </c>
    </row>
    <row r="25" spans="2:15">
      <c r="B25">
        <v>2030</v>
      </c>
      <c r="C25" s="12">
        <v>2.3436989402308095E-2</v>
      </c>
      <c r="G25" s="12">
        <f>G24/F24-1</f>
        <v>7.2043371339146178E-2</v>
      </c>
      <c r="H25" s="12">
        <f>H24/G24-1</f>
        <v>4.1791864662820366E-2</v>
      </c>
      <c r="I25" s="12">
        <f>I24/H24-1</f>
        <v>4.5142910848091189E-2</v>
      </c>
      <c r="J25" s="12">
        <f>J24/I21-1</f>
        <v>9.2225089390065573E-3</v>
      </c>
      <c r="K25" s="12">
        <f>K24/J24-1</f>
        <v>1.468767198679144E-2</v>
      </c>
      <c r="L25" s="12">
        <f>L24/K24-1</f>
        <v>2.6746669378622911E-2</v>
      </c>
      <c r="M25" s="12">
        <f>M24/L24-1</f>
        <v>2.2748283148441573E-2</v>
      </c>
      <c r="N25" s="12">
        <f>N24/M21-1</f>
        <v>2.2522047251811061E-2</v>
      </c>
      <c r="O25" s="12">
        <f>O24/N24-1</f>
        <v>2.3436989402308095E-2</v>
      </c>
    </row>
    <row r="27" spans="2:15">
      <c r="B27" s="51" t="s">
        <v>91</v>
      </c>
      <c r="C27" s="51"/>
    </row>
    <row r="28" spans="2:15">
      <c r="B28" t="s">
        <v>28</v>
      </c>
      <c r="D28" s="11">
        <v>2080</v>
      </c>
      <c r="E28" s="11">
        <v>5997</v>
      </c>
    </row>
    <row r="29" spans="2:15">
      <c r="B29">
        <v>2022</v>
      </c>
      <c r="C29" s="7">
        <v>7.2043371339146178E-2</v>
      </c>
      <c r="D29" s="4">
        <f>(1+C29)*D28</f>
        <v>2229.8502123854241</v>
      </c>
      <c r="E29" s="4">
        <f>(1+C29)*E28</f>
        <v>6429.0440979208597</v>
      </c>
    </row>
    <row r="30" spans="2:15" ht="51">
      <c r="B30">
        <v>2023</v>
      </c>
      <c r="C30" s="7">
        <v>4.1791864662820366E-2</v>
      </c>
      <c r="D30" s="4">
        <f t="shared" ref="D30:D33" si="5">(1+C30)*D29</f>
        <v>2323.039810679797</v>
      </c>
      <c r="E30" s="4">
        <f t="shared" ref="E30:E33" si="6">(1+C30)*E29</f>
        <v>6697.7258387724723</v>
      </c>
      <c r="G30" s="45" t="s">
        <v>88</v>
      </c>
      <c r="H30" s="45" t="s">
        <v>87</v>
      </c>
      <c r="I30" s="45" t="s">
        <v>89</v>
      </c>
      <c r="J30" s="45" t="s">
        <v>90</v>
      </c>
      <c r="K30" s="37"/>
    </row>
    <row r="31" spans="2:15" ht="23" customHeight="1">
      <c r="B31">
        <v>2024</v>
      </c>
      <c r="C31" s="7">
        <v>4.5142910848091189E-2</v>
      </c>
      <c r="D31" s="4">
        <f t="shared" si="5"/>
        <v>2427.9085897498817</v>
      </c>
      <c r="E31" s="4">
        <f t="shared" si="6"/>
        <v>7000.0806791971345</v>
      </c>
      <c r="G31" s="39" t="s">
        <v>83</v>
      </c>
      <c r="H31" s="40">
        <v>28107</v>
      </c>
      <c r="I31" s="42">
        <v>73199</v>
      </c>
      <c r="J31" s="42">
        <f>I31*10^3/H31</f>
        <v>2604.2978617426265</v>
      </c>
      <c r="K31" s="38">
        <f>(5000*H31)-(J31*H31)</f>
        <v>67336000</v>
      </c>
    </row>
    <row r="32" spans="2:15" ht="23" customHeight="1">
      <c r="B32">
        <v>2025</v>
      </c>
      <c r="C32" s="7">
        <v>9.2225089390065573E-3</v>
      </c>
      <c r="D32" s="4">
        <f t="shared" si="5"/>
        <v>2450.2999984219409</v>
      </c>
      <c r="E32" s="4">
        <f t="shared" si="6"/>
        <v>7064.6389858347975</v>
      </c>
      <c r="G32" s="39" t="s">
        <v>84</v>
      </c>
      <c r="H32" s="39">
        <v>43372</v>
      </c>
      <c r="I32" s="42">
        <v>176259</v>
      </c>
      <c r="J32" s="42">
        <f t="shared" ref="J32:J34" si="7">I32*10^3/H32</f>
        <v>4063.8891450705523</v>
      </c>
      <c r="K32" s="38">
        <f>(5000*H32)-(J32*H32)</f>
        <v>40601000</v>
      </c>
    </row>
    <row r="33" spans="2:11" ht="23" customHeight="1">
      <c r="B33">
        <v>2026</v>
      </c>
      <c r="C33" s="12">
        <v>1.468767198679144E-2</v>
      </c>
      <c r="D33" s="4">
        <f t="shared" si="5"/>
        <v>2486.289201067998</v>
      </c>
      <c r="E33" s="4">
        <f t="shared" si="6"/>
        <v>7168.4020859638376</v>
      </c>
      <c r="G33" s="44" t="s">
        <v>85</v>
      </c>
      <c r="H33" s="41">
        <v>15411</v>
      </c>
      <c r="I33" s="43">
        <v>109113</v>
      </c>
      <c r="J33" s="43">
        <f t="shared" si="7"/>
        <v>7080.2024527934591</v>
      </c>
      <c r="K33" s="38">
        <f>(5000*H33)-(J33*H33)</f>
        <v>-32058000</v>
      </c>
    </row>
    <row r="34" spans="2:11" ht="23" customHeight="1">
      <c r="B34">
        <v>2027</v>
      </c>
      <c r="C34" s="12">
        <v>2.6746669378622911E-2</v>
      </c>
      <c r="G34" s="44" t="s">
        <v>86</v>
      </c>
      <c r="H34" s="41">
        <v>8212</v>
      </c>
      <c r="I34" s="43">
        <v>131368</v>
      </c>
      <c r="J34" s="43">
        <f t="shared" si="7"/>
        <v>15997.077447637603</v>
      </c>
      <c r="K34" s="38">
        <f>(5000*H34)-(J34*H34)</f>
        <v>-90308000</v>
      </c>
    </row>
    <row r="35" spans="2:11" ht="24" customHeight="1">
      <c r="B35">
        <v>2028</v>
      </c>
      <c r="C35" s="12">
        <v>2.2748283148441573E-2</v>
      </c>
      <c r="G35" s="44" t="s">
        <v>79</v>
      </c>
      <c r="H35" s="41">
        <f>SUM(H31:H34)</f>
        <v>95102</v>
      </c>
      <c r="I35" s="43">
        <f>SUM(I31:I34)</f>
        <v>489939</v>
      </c>
      <c r="J35" s="46" t="s">
        <v>30</v>
      </c>
    </row>
    <row r="36" spans="2:11">
      <c r="B36">
        <v>2029</v>
      </c>
      <c r="C36" s="12">
        <v>2.2522047251811061E-2</v>
      </c>
      <c r="H36">
        <f>(H34+H33)/SUM(H31:H34)</f>
        <v>0.2483964585392526</v>
      </c>
    </row>
    <row r="37" spans="2:11">
      <c r="B37">
        <v>2030</v>
      </c>
      <c r="C37" s="12">
        <v>2.3436989402308095E-2</v>
      </c>
    </row>
  </sheetData>
  <mergeCells count="5">
    <mergeCell ref="J22:M22"/>
    <mergeCell ref="N22:O22"/>
    <mergeCell ref="F22:I22"/>
    <mergeCell ref="B15:C15"/>
    <mergeCell ref="B27:C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428700D1-6FEB-4557-AAC3-46B50F41C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8F4047-4185-4046-BC0A-BB2DD70EC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004816-43DF-493F-8BF3-231BF83F42DE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Datos - Veteranos</vt:lpstr>
      <vt:lpstr>Tabla 1</vt:lpstr>
      <vt:lpstr>Sheet1</vt:lpstr>
      <vt:lpstr>GUIA</vt:lpstr>
      <vt:lpstr>Ref-pc337</vt:lpstr>
      <vt:lpstr>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Ronald Rivas</cp:lastModifiedBy>
  <dcterms:created xsi:type="dcterms:W3CDTF">2015-06-05T18:17:20Z</dcterms:created>
  <dcterms:modified xsi:type="dcterms:W3CDTF">2025-12-10T22:18:57Z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