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R. C. de la C. 234/1. Datos/"/>
    </mc:Choice>
  </mc:AlternateContent>
  <xr:revisionPtr revIDLastSave="1223" documentId="11_D70DA46787014E750C3F0811618D0736D1A1CE7E" xr6:coauthVersionLast="47" xr6:coauthVersionMax="47" xr10:uidLastSave="{67F585C4-BF3E-4CAB-8FA2-E690B39C6BD7}"/>
  <bookViews>
    <workbookView xWindow="-14805" yWindow="-21600" windowWidth="26010" windowHeight="20985" xr2:uid="{00000000-000D-0000-FFFF-FFFF00000000}"/>
  </bookViews>
  <sheets>
    <sheet name="Datos Compraventa" sheetId="1" r:id="rId1"/>
    <sheet name="Censo" sheetId="2" r:id="rId2"/>
    <sheet name="Calculos" sheetId="3" r:id="rId3"/>
    <sheet name="EF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  <c r="B17" i="2"/>
  <c r="B16" i="2"/>
  <c r="B15" i="2"/>
  <c r="B14" i="2"/>
  <c r="F11" i="2"/>
  <c r="D26" i="3" l="1"/>
  <c r="B18" i="3"/>
  <c r="B17" i="3"/>
  <c r="I40" i="3"/>
  <c r="I41" i="3"/>
  <c r="I42" i="3"/>
  <c r="I43" i="3"/>
  <c r="I44" i="3"/>
  <c r="B16" i="3"/>
  <c r="B15" i="3"/>
  <c r="B14" i="3"/>
  <c r="B13" i="3"/>
  <c r="B12" i="3"/>
  <c r="C18" i="3" l="1"/>
  <c r="F36" i="3"/>
  <c r="F35" i="3"/>
  <c r="F34" i="3"/>
  <c r="F33" i="3"/>
  <c r="F32" i="3"/>
  <c r="D25" i="3" l="1"/>
  <c r="D24" i="3"/>
  <c r="D23" i="3"/>
  <c r="D22" i="3"/>
  <c r="D21" i="3"/>
  <c r="D20" i="3"/>
  <c r="C2" i="3"/>
  <c r="C15" i="3"/>
  <c r="C17" i="3" l="1"/>
  <c r="C16" i="3"/>
  <c r="E12" i="3"/>
  <c r="B20" i="3" s="1"/>
  <c r="E20" i="3" s="1"/>
  <c r="C13" i="3"/>
  <c r="C14" i="3"/>
  <c r="C31" i="1"/>
  <c r="C30" i="1"/>
  <c r="E15" i="1"/>
  <c r="F15" i="1"/>
  <c r="G15" i="1"/>
  <c r="D15" i="1"/>
  <c r="C15" i="1"/>
  <c r="B15" i="1"/>
  <c r="B8" i="2"/>
  <c r="F8" i="2"/>
  <c r="C8" i="2"/>
  <c r="D8" i="2"/>
  <c r="E8" i="2"/>
  <c r="I15" i="1" l="1"/>
  <c r="H15" i="1"/>
  <c r="G33" i="3" l="1"/>
  <c r="G34" i="3"/>
  <c r="G35" i="3"/>
  <c r="G32" i="3"/>
  <c r="G36" i="3"/>
  <c r="D13" i="3"/>
  <c r="E2" i="3"/>
  <c r="E3" i="3" s="1"/>
  <c r="F3" i="3" s="1"/>
  <c r="C19" i="1"/>
  <c r="E4" i="3"/>
  <c r="F12" i="3" s="1"/>
  <c r="F41" i="3" l="1"/>
  <c r="H41" i="3" s="1"/>
  <c r="H33" i="3"/>
  <c r="G41" i="3" s="1"/>
  <c r="J41" i="3" s="1"/>
  <c r="K15" i="3" s="1"/>
  <c r="C20" i="3"/>
  <c r="F13" i="3"/>
  <c r="D14" i="3"/>
  <c r="E13" i="3"/>
  <c r="B21" i="3" s="1"/>
  <c r="E21" i="3" s="1"/>
  <c r="J14" i="3" s="1"/>
  <c r="B2" i="4" s="1"/>
  <c r="F44" i="3"/>
  <c r="H44" i="3" s="1"/>
  <c r="H36" i="3"/>
  <c r="G44" i="3" s="1"/>
  <c r="J44" i="3" s="1"/>
  <c r="K18" i="3" s="1"/>
  <c r="K19" i="3" s="1"/>
  <c r="F40" i="3"/>
  <c r="H40" i="3" s="1"/>
  <c r="H32" i="3"/>
  <c r="G40" i="3" s="1"/>
  <c r="J40" i="3" s="1"/>
  <c r="K14" i="3" s="1"/>
  <c r="F43" i="3"/>
  <c r="H43" i="3" s="1"/>
  <c r="H35" i="3"/>
  <c r="G43" i="3" s="1"/>
  <c r="J43" i="3" s="1"/>
  <c r="K17" i="3" s="1"/>
  <c r="F42" i="3"/>
  <c r="H42" i="3" s="1"/>
  <c r="H34" i="3"/>
  <c r="G42" i="3" s="1"/>
  <c r="J42" i="3" s="1"/>
  <c r="K16" i="3" s="1"/>
  <c r="C21" i="3" l="1"/>
  <c r="F14" i="3"/>
  <c r="B1" i="4"/>
  <c r="H10" i="4" s="1"/>
  <c r="D15" i="3"/>
  <c r="E14" i="3"/>
  <c r="B22" i="3" s="1"/>
  <c r="E22" i="3" s="1"/>
  <c r="J15" i="3" s="1"/>
  <c r="B3" i="4" s="1"/>
  <c r="I10" i="4" s="1"/>
  <c r="D16" i="3" l="1"/>
  <c r="E15" i="3"/>
  <c r="B23" i="3" s="1"/>
  <c r="E23" i="3" s="1"/>
  <c r="J16" i="3" s="1"/>
  <c r="B4" i="4" s="1"/>
  <c r="J10" i="4" s="1"/>
  <c r="F15" i="3"/>
  <c r="C22" i="3"/>
  <c r="F16" i="3" l="1"/>
  <c r="C23" i="3"/>
  <c r="D17" i="3"/>
  <c r="E16" i="3"/>
  <c r="B24" i="3" s="1"/>
  <c r="E24" i="3" s="1"/>
  <c r="J17" i="3" s="1"/>
  <c r="B5" i="4" s="1"/>
  <c r="K10" i="4" s="1"/>
  <c r="D18" i="3" l="1"/>
  <c r="E18" i="3" s="1"/>
  <c r="B26" i="3" s="1"/>
  <c r="E26" i="3" s="1"/>
  <c r="B7" i="4" s="1"/>
  <c r="E17" i="3"/>
  <c r="B25" i="3" s="1"/>
  <c r="E25" i="3" s="1"/>
  <c r="J18" i="3" s="1"/>
  <c r="C24" i="3"/>
  <c r="F17" i="3"/>
  <c r="C25" i="3" l="1"/>
  <c r="F18" i="3"/>
  <c r="C26" i="3" s="1"/>
  <c r="J19" i="3"/>
  <c r="J20" i="3" s="1"/>
  <c r="B6" i="4"/>
  <c r="B8" i="4"/>
  <c r="B10" i="4" s="1"/>
  <c r="M10" i="4" l="1"/>
  <c r="C6" i="4"/>
  <c r="L10" i="4"/>
</calcChain>
</file>

<file path=xl/sharedStrings.xml><?xml version="1.0" encoding="utf-8"?>
<sst xmlns="http://schemas.openxmlformats.org/spreadsheetml/2006/main" count="154" uniqueCount="136">
  <si>
    <t>TOTAL</t>
  </si>
  <si>
    <t>Precio de Compraventa</t>
  </si>
  <si>
    <t>Rentas Internas #5120</t>
  </si>
  <si>
    <t>Asistencia Legal #5203</t>
  </si>
  <si>
    <t xml:space="preserve">Sellos </t>
  </si>
  <si>
    <t>Impuesto Notarial #5155</t>
  </si>
  <si>
    <t>Copia</t>
  </si>
  <si>
    <t>Comprobantes</t>
  </si>
  <si>
    <t>Presentación #5121</t>
  </si>
  <si>
    <t>Presentación Telemática #5101</t>
  </si>
  <si>
    <t>Inscripción #5111</t>
  </si>
  <si>
    <t>Código Político #5120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</si>
  <si>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</si>
  <si>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</si>
  <si>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</si>
  <si>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</si>
  <si>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</si>
  <si>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</si>
  <si>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</si>
  <si>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</si>
  <si>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</si>
  <si>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</si>
  <si>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</si>
  <si>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</si>
  <si>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Pob.Ben</t>
  </si>
  <si>
    <t>21-35 años</t>
  </si>
  <si>
    <t>Sello de la Sociedad para la Asistencia Legal</t>
  </si>
  <si>
    <t>excluido (sección 2)</t>
  </si>
  <si>
    <t xml:space="preserve">excluido (sección 2) </t>
  </si>
  <si>
    <t>TOTAL EXCENTO</t>
  </si>
  <si>
    <t>Occupied</t>
  </si>
  <si>
    <t>Vacant</t>
  </si>
  <si>
    <t>Total</t>
  </si>
  <si>
    <t>unidades de vivienda a corto plazo</t>
  </si>
  <si>
    <t>vivienda disponible</t>
  </si>
  <si>
    <t>** ver informe PS 456</t>
  </si>
  <si>
    <t>Año</t>
  </si>
  <si>
    <t>af25</t>
  </si>
  <si>
    <t>af24</t>
  </si>
  <si>
    <t>af23</t>
  </si>
  <si>
    <t>af22</t>
  </si>
  <si>
    <t>año</t>
  </si>
  <si>
    <t>cant. Prestamos</t>
  </si>
  <si>
    <t>valor compraventa</t>
  </si>
  <si>
    <t>Año Fiscal</t>
  </si>
  <si>
    <t>Valor Agregado de Compraventa</t>
  </si>
  <si>
    <t>Préstamos Otorgados</t>
  </si>
  <si>
    <t>Rentas Internas
#5120</t>
  </si>
  <si>
    <t>Asistencia Legal
#5203</t>
  </si>
  <si>
    <t>Impuesto Notarial 
#5155</t>
  </si>
  <si>
    <t>Sello de la 
Sociadad para la 
Asistencia Legal</t>
  </si>
  <si>
    <t>Original</t>
  </si>
  <si>
    <t>Presentación
#5121</t>
  </si>
  <si>
    <t>Presentación Telemática
#5101</t>
  </si>
  <si>
    <t>Inscripción
#5111</t>
  </si>
  <si>
    <t>Código Político
#5120</t>
  </si>
  <si>
    <t xml:space="preserve">   Sellos</t>
  </si>
  <si>
    <t xml:space="preserve">   Comprobantes</t>
  </si>
  <si>
    <t>N/A</t>
  </si>
  <si>
    <t>TOTAL 
(Original + Copia)</t>
  </si>
  <si>
    <t>First-Time Buyers</t>
  </si>
  <si>
    <t>18 a 24 años</t>
  </si>
  <si>
    <t>35 a 44 años</t>
  </si>
  <si>
    <t>45 a 54 años</t>
  </si>
  <si>
    <t>55 a 64 años</t>
  </si>
  <si>
    <t>65 a 74 años</t>
  </si>
  <si>
    <t>75+ años</t>
  </si>
  <si>
    <t xml:space="preserve">25 a 34 años </t>
  </si>
  <si>
    <t>Nuevas Ventas en 2025</t>
  </si>
  <si>
    <t>Estimado de participación joven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</si>
  <si>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</si>
  <si>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</si>
  <si>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</si>
  <si>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</si>
  <si>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</si>
  <si>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</si>
  <si>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</si>
  <si>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</si>
  <si>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</si>
  <si>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</si>
  <si>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</si>
  <si>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</si>
  <si>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2028Q1</t>
  </si>
  <si>
    <t>2028Q2</t>
  </si>
  <si>
    <t>2028Q3</t>
  </si>
  <si>
    <t>2028Q4</t>
  </si>
  <si>
    <t>2029Q1</t>
  </si>
  <si>
    <t>2029Q2</t>
  </si>
  <si>
    <t>2029Q3</t>
  </si>
  <si>
    <t>2029Q4</t>
  </si>
  <si>
    <t>2030Q1</t>
  </si>
  <si>
    <t>2030Q2</t>
  </si>
  <si>
    <t>2030Q3</t>
  </si>
  <si>
    <t>2030Q4</t>
  </si>
  <si>
    <t>2031Q1</t>
  </si>
  <si>
    <t>2031Q2</t>
  </si>
  <si>
    <t>2031Q3</t>
  </si>
  <si>
    <t>2031Q4</t>
  </si>
  <si>
    <t>-</t>
  </si>
  <si>
    <t>Costo Promedio 2025</t>
  </si>
  <si>
    <t>Nuevas Ventas</t>
  </si>
  <si>
    <t>Compras Jovenes</t>
  </si>
  <si>
    <t>$ compraventa</t>
  </si>
  <si>
    <t>Compras Jóvenes</t>
  </si>
  <si>
    <t>Calculadora Notarial</t>
  </si>
  <si>
    <t>EF</t>
  </si>
  <si>
    <t>Mortgage Originations
($ in Billions)</t>
  </si>
  <si>
    <t>AF26</t>
  </si>
  <si>
    <t>AF27</t>
  </si>
  <si>
    <t>AF28</t>
  </si>
  <si>
    <t>AF29</t>
  </si>
  <si>
    <t>AF30</t>
  </si>
  <si>
    <t>Annual Average - 
Mortgage Originations</t>
  </si>
  <si>
    <t>Cant. de préstamos (estimado)</t>
  </si>
  <si>
    <t>Participación Joven</t>
  </si>
  <si>
    <t>Participación Joven (roundup)</t>
  </si>
  <si>
    <t>Cant. Prestamos 
(roundup)</t>
  </si>
  <si>
    <t>Precio Promedio</t>
  </si>
  <si>
    <t>vvvvv   Metodología: Nuevas ventas proyectadas utilizando 3-year moving average   vvvvv</t>
  </si>
  <si>
    <t>Metodología: Cant. prestamos mantiene relación de ($/Ct. Prestamos) observada en AF25
Mortgage Originations de Moody's fue promediado por año</t>
  </si>
  <si>
    <t>Purchase-Only Home Price Index</t>
  </si>
  <si>
    <t>2024Q3</t>
  </si>
  <si>
    <t>2024Q4</t>
  </si>
  <si>
    <t>EF (Moving AVG)</t>
  </si>
  <si>
    <t xml:space="preserve">EF (Relación AF25) </t>
  </si>
  <si>
    <t>2030 mensual</t>
  </si>
  <si>
    <t>2030 (5 meses)</t>
  </si>
  <si>
    <t xml:space="preserve">** Nota: la Exención será vigente hasta el 31 de diciembre de 2030, por lo que </t>
  </si>
  <si>
    <t>2026 (6 meses)</t>
  </si>
  <si>
    <t>2031 (6 meses)</t>
  </si>
  <si>
    <t>Efecto Fiscal</t>
  </si>
  <si>
    <t>2031^</t>
  </si>
  <si>
    <t>2026^</t>
  </si>
  <si>
    <t>total</t>
  </si>
  <si>
    <t>vivienda corto plazo</t>
  </si>
  <si>
    <t>Unidades Desocupadas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</si>
</sst>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  <numFmt numFmtId="165" formatCode="_-&quot;$&quot;* #,##0_-;\-&quot;$&quot;* #,##0_-;_-&quot;$&quot;* &quot;-&quot;??_-;_-@_-"/>
    <numFmt numFmtId="166" formatCode="_-* #,##0_-;\-* #,##0_-;_-* &quot;-&quot;??_-;_-@_-"/>
    <numFmt numFmtId="167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Myriad pro condensed"/>
    </font>
    <font>
      <b/>
      <sz val="12"/>
      <color theme="0"/>
      <name val="Myriad pro condensed"/>
    </font>
    <font>
      <sz val="8"/>
      <name val="Calibri"/>
      <family val="2"/>
      <scheme val="minor"/>
    </font>
    <font>
      <b/>
      <sz val="12"/>
      <color theme="1"/>
      <name val="Myriad pro condensed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8"/>
      <color theme="1"/>
      <name val="Segoe UI"/>
      <family val="2"/>
    </font>
    <font>
      <sz val="14"/>
      <color theme="1"/>
      <name val="Myriad pro condensed"/>
    </font>
    <font>
      <b/>
      <sz val="14"/>
      <color theme="0"/>
      <name val="Myriad pro condensed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94A65"/>
        <bgColor indexed="64"/>
      </patternFill>
    </fill>
    <fill>
      <patternFill patternType="solid">
        <fgColor rgb="FFA9A9A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8" fillId="0" borderId="0"/>
    <xf numFmtId="2" fontId="9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0" xfId="0" applyNumberFormat="1"/>
    <xf numFmtId="165" fontId="0" fillId="0" borderId="1" xfId="2" applyNumberFormat="1" applyFont="1" applyBorder="1"/>
    <xf numFmtId="166" fontId="0" fillId="0" borderId="1" xfId="1" applyNumberFormat="1" applyFont="1" applyBorder="1"/>
    <xf numFmtId="165" fontId="0" fillId="0" borderId="0" xfId="2" applyNumberFormat="1" applyFont="1"/>
    <xf numFmtId="0" fontId="0" fillId="0" borderId="1" xfId="0" applyBorder="1" applyAlignment="1">
      <alignment horizontal="center" vertical="center"/>
    </xf>
    <xf numFmtId="165" fontId="0" fillId="0" borderId="0" xfId="0" applyNumberFormat="1"/>
    <xf numFmtId="0" fontId="0" fillId="0" borderId="1" xfId="0" applyBorder="1" applyAlignment="1">
      <alignment wrapText="1"/>
    </xf>
    <xf numFmtId="165" fontId="0" fillId="0" borderId="0" xfId="2" applyNumberFormat="1" applyFont="1" applyAlignment="1">
      <alignment vertical="center"/>
    </xf>
    <xf numFmtId="0" fontId="0" fillId="0" borderId="2" xfId="0" applyBorder="1" applyAlignment="1">
      <alignment wrapText="1"/>
    </xf>
    <xf numFmtId="164" fontId="0" fillId="0" borderId="2" xfId="2" applyNumberFormat="1" applyFont="1" applyBorder="1"/>
    <xf numFmtId="0" fontId="2" fillId="0" borderId="3" xfId="0" applyFont="1" applyBorder="1"/>
    <xf numFmtId="44" fontId="0" fillId="0" borderId="1" xfId="2" applyFont="1" applyBorder="1"/>
    <xf numFmtId="44" fontId="0" fillId="0" borderId="0" xfId="2" applyFont="1" applyBorder="1"/>
    <xf numFmtId="0" fontId="2" fillId="2" borderId="5" xfId="0" applyFont="1" applyFill="1" applyBorder="1" applyAlignment="1">
      <alignment wrapText="1"/>
    </xf>
    <xf numFmtId="44" fontId="2" fillId="0" borderId="4" xfId="2" applyFont="1" applyBorder="1"/>
    <xf numFmtId="44" fontId="2" fillId="2" borderId="4" xfId="2" applyFont="1" applyFill="1" applyBorder="1"/>
    <xf numFmtId="166" fontId="0" fillId="0" borderId="0" xfId="1" applyNumberFormat="1" applyFont="1"/>
    <xf numFmtId="0" fontId="0" fillId="0" borderId="6" xfId="0" applyBorder="1"/>
    <xf numFmtId="166" fontId="0" fillId="0" borderId="6" xfId="1" applyNumberFormat="1" applyFont="1" applyBorder="1"/>
    <xf numFmtId="166" fontId="0" fillId="0" borderId="0" xfId="0" applyNumberFormat="1"/>
    <xf numFmtId="0" fontId="3" fillId="0" borderId="1" xfId="0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7" xfId="0" applyBorder="1"/>
    <xf numFmtId="0" fontId="4" fillId="3" borderId="1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3" borderId="1" xfId="0" applyFont="1" applyFill="1" applyBorder="1"/>
    <xf numFmtId="165" fontId="3" fillId="0" borderId="1" xfId="2" applyNumberFormat="1" applyFont="1" applyBorder="1" applyAlignment="1">
      <alignment vertical="center"/>
    </xf>
    <xf numFmtId="164" fontId="3" fillId="0" borderId="1" xfId="2" applyNumberFormat="1" applyFont="1" applyBorder="1" applyAlignment="1">
      <alignment vertical="center"/>
    </xf>
    <xf numFmtId="0" fontId="6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 wrapText="1"/>
    </xf>
    <xf numFmtId="165" fontId="3" fillId="0" borderId="1" xfId="2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9" fontId="0" fillId="0" borderId="0" xfId="3" applyFont="1"/>
    <xf numFmtId="49" fontId="8" fillId="0" borderId="0" xfId="4"/>
    <xf numFmtId="2" fontId="9" fillId="0" borderId="0" xfId="5"/>
    <xf numFmtId="43" fontId="0" fillId="0" borderId="0" xfId="0" applyNumberFormat="1"/>
    <xf numFmtId="9" fontId="0" fillId="0" borderId="0" xfId="0" applyNumberFormat="1"/>
    <xf numFmtId="0" fontId="10" fillId="0" borderId="0" xfId="0" applyFont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/>
    <xf numFmtId="166" fontId="0" fillId="0" borderId="0" xfId="1" applyNumberFormat="1" applyFont="1" applyBorder="1"/>
    <xf numFmtId="165" fontId="0" fillId="0" borderId="14" xfId="0" applyNumberFormat="1" applyBorder="1"/>
    <xf numFmtId="167" fontId="0" fillId="0" borderId="0" xfId="3" applyNumberFormat="1" applyFont="1" applyBorder="1"/>
    <xf numFmtId="0" fontId="0" fillId="0" borderId="14" xfId="0" applyBorder="1"/>
    <xf numFmtId="165" fontId="0" fillId="0" borderId="0" xfId="2" applyNumberFormat="1" applyFont="1" applyBorder="1"/>
    <xf numFmtId="0" fontId="0" fillId="0" borderId="15" xfId="0" applyBorder="1"/>
    <xf numFmtId="166" fontId="0" fillId="0" borderId="16" xfId="0" applyNumberFormat="1" applyBorder="1"/>
    <xf numFmtId="165" fontId="0" fillId="0" borderId="16" xfId="0" applyNumberFormat="1" applyBorder="1"/>
    <xf numFmtId="165" fontId="0" fillId="0" borderId="16" xfId="2" applyNumberFormat="1" applyFont="1" applyBorder="1"/>
    <xf numFmtId="0" fontId="0" fillId="0" borderId="17" xfId="0" applyBorder="1"/>
    <xf numFmtId="0" fontId="0" fillId="0" borderId="12" xfId="0" applyBorder="1"/>
    <xf numFmtId="166" fontId="0" fillId="0" borderId="0" xfId="1" applyNumberFormat="1" applyFont="1" applyBorder="1" applyAlignment="1">
      <alignment horizontal="left"/>
    </xf>
    <xf numFmtId="0" fontId="0" fillId="0" borderId="14" xfId="0" applyBorder="1" applyAlignment="1">
      <alignment wrapText="1"/>
    </xf>
    <xf numFmtId="43" fontId="0" fillId="0" borderId="16" xfId="0" applyNumberFormat="1" applyBorder="1"/>
    <xf numFmtId="44" fontId="0" fillId="0" borderId="16" xfId="2" applyFont="1" applyBorder="1"/>
    <xf numFmtId="0" fontId="2" fillId="0" borderId="0" xfId="0" applyFont="1"/>
    <xf numFmtId="165" fontId="0" fillId="2" borderId="0" xfId="2" applyNumberFormat="1" applyFont="1" applyFill="1" applyBorder="1"/>
    <xf numFmtId="165" fontId="0" fillId="2" borderId="16" xfId="2" applyNumberFormat="1" applyFont="1" applyFill="1" applyBorder="1"/>
    <xf numFmtId="165" fontId="0" fillId="2" borderId="14" xfId="2" applyNumberFormat="1" applyFont="1" applyFill="1" applyBorder="1"/>
    <xf numFmtId="165" fontId="0" fillId="2" borderId="17" xfId="2" applyNumberFormat="1" applyFont="1" applyFill="1" applyBorder="1"/>
    <xf numFmtId="44" fontId="0" fillId="0" borderId="0" xfId="0" applyNumberFormat="1"/>
    <xf numFmtId="165" fontId="0" fillId="2" borderId="0" xfId="0" applyNumberFormat="1" applyFill="1"/>
    <xf numFmtId="44" fontId="0" fillId="2" borderId="0" xfId="0" applyNumberFormat="1" applyFill="1"/>
    <xf numFmtId="2" fontId="0" fillId="0" borderId="0" xfId="0" applyNumberFormat="1"/>
    <xf numFmtId="165" fontId="0" fillId="2" borderId="0" xfId="2" applyNumberFormat="1" applyFont="1" applyFill="1"/>
    <xf numFmtId="164" fontId="11" fillId="0" borderId="1" xfId="2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 wrapText="1"/>
    </xf>
    <xf numFmtId="164" fontId="6" fillId="0" borderId="8" xfId="2" applyNumberFormat="1" applyFont="1" applyBorder="1" applyAlignment="1">
      <alignment horizontal="center" vertical="center"/>
    </xf>
    <xf numFmtId="164" fontId="6" fillId="0" borderId="9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</cellXfs>
  <cellStyles count="6">
    <cellStyle name="BuffetDate162" xfId="4" xr:uid="{117D7579-3B93-43EC-A68A-71672E0B07CA}"/>
    <cellStyle name="BuffetValue2" xfId="5" xr:uid="{0DD9E705-2501-4B1F-AE9C-948D8CFA73E1}"/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194A65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workbookViewId="0">
      <selection activeCell="J12" sqref="J12"/>
    </sheetView>
  </sheetViews>
  <sheetFormatPr defaultRowHeight="14.25"/>
  <cols>
    <col min="2" max="2" width="15.1328125" customWidth="1"/>
    <col min="3" max="3" width="16.73046875" customWidth="1"/>
    <col min="4" max="4" width="14.1328125" customWidth="1"/>
    <col min="5" max="5" width="18.6640625" customWidth="1"/>
    <col min="6" max="6" width="14.06640625" bestFit="1" customWidth="1"/>
    <col min="7" max="7" width="16.46484375" bestFit="1" customWidth="1"/>
    <col min="8" max="8" width="20.3984375" bestFit="1" customWidth="1"/>
    <col min="9" max="9" width="16.46484375" bestFit="1" customWidth="1"/>
    <col min="10" max="10" width="13.796875" customWidth="1"/>
    <col min="11" max="11" width="15" customWidth="1"/>
    <col min="12" max="12" width="16.1328125" customWidth="1"/>
    <col min="13" max="13" width="16.9296875" bestFit="1" customWidth="1"/>
    <col min="14" max="14" width="13.33203125" bestFit="1" customWidth="1"/>
    <col min="15" max="15" width="15.53125" bestFit="1" customWidth="1"/>
    <col min="16" max="16" width="20.3984375" bestFit="1" customWidth="1"/>
    <col min="17" max="17" width="15.53125" bestFit="1" customWidth="1"/>
  </cols>
  <sheetData>
    <row r="1" spans="1:9">
      <c r="B1" s="81" t="s">
        <v>40</v>
      </c>
      <c r="C1" s="81"/>
      <c r="D1" s="81" t="s">
        <v>39</v>
      </c>
      <c r="E1" s="81"/>
      <c r="F1" s="81" t="s">
        <v>38</v>
      </c>
      <c r="G1" s="81"/>
      <c r="H1" s="81" t="s">
        <v>37</v>
      </c>
      <c r="I1" s="81"/>
    </row>
    <row r="2" spans="1:9">
      <c r="B2" s="2" t="s">
        <v>42</v>
      </c>
      <c r="C2" s="2" t="s">
        <v>43</v>
      </c>
      <c r="D2" s="2" t="s">
        <v>42</v>
      </c>
      <c r="E2" s="2" t="s">
        <v>43</v>
      </c>
      <c r="F2" s="2" t="s">
        <v>42</v>
      </c>
      <c r="G2" s="2" t="s">
        <v>43</v>
      </c>
      <c r="H2" s="2" t="s">
        <v>42</v>
      </c>
      <c r="I2" s="2" t="s">
        <v>43</v>
      </c>
    </row>
    <row r="3" spans="1:9">
      <c r="A3" t="s">
        <v>12</v>
      </c>
      <c r="B3" s="6">
        <v>1241</v>
      </c>
      <c r="C3" s="5">
        <v>214019912</v>
      </c>
      <c r="D3" s="6">
        <v>871</v>
      </c>
      <c r="E3" s="5">
        <v>166149117</v>
      </c>
      <c r="F3" s="6">
        <v>869</v>
      </c>
      <c r="G3" s="6">
        <v>180197873</v>
      </c>
      <c r="H3" s="6">
        <v>839</v>
      </c>
      <c r="I3" s="5">
        <v>181479443</v>
      </c>
    </row>
    <row r="4" spans="1:9">
      <c r="A4" t="s">
        <v>13</v>
      </c>
      <c r="B4" s="6">
        <v>1238</v>
      </c>
      <c r="C4" s="5">
        <v>232872014</v>
      </c>
      <c r="D4" s="6">
        <v>1040</v>
      </c>
      <c r="E4" s="5">
        <v>202522414</v>
      </c>
      <c r="F4" s="6">
        <v>1036</v>
      </c>
      <c r="G4" s="6">
        <v>203544132</v>
      </c>
      <c r="H4" s="6">
        <v>864</v>
      </c>
      <c r="I4" s="5">
        <v>184470063</v>
      </c>
    </row>
    <row r="5" spans="1:9">
      <c r="A5" t="s">
        <v>14</v>
      </c>
      <c r="B5" s="6">
        <v>1106</v>
      </c>
      <c r="C5" s="5">
        <v>191754979</v>
      </c>
      <c r="D5" s="6">
        <v>713</v>
      </c>
      <c r="E5" s="5">
        <v>134332993</v>
      </c>
      <c r="F5" s="6">
        <v>930</v>
      </c>
      <c r="G5" s="6">
        <v>200078398</v>
      </c>
      <c r="H5" s="6">
        <v>843</v>
      </c>
      <c r="I5" s="5">
        <v>193431628</v>
      </c>
    </row>
    <row r="6" spans="1:9">
      <c r="A6" t="s">
        <v>15</v>
      </c>
      <c r="B6" s="6">
        <v>1110</v>
      </c>
      <c r="C6" s="5">
        <v>212009731</v>
      </c>
      <c r="D6" s="6">
        <v>989</v>
      </c>
      <c r="E6" s="5">
        <v>185207109</v>
      </c>
      <c r="F6" s="6">
        <v>928</v>
      </c>
      <c r="G6" s="6">
        <v>184170866</v>
      </c>
      <c r="H6" s="6">
        <v>926</v>
      </c>
      <c r="I6" s="5">
        <v>222739778</v>
      </c>
    </row>
    <row r="7" spans="1:9">
      <c r="A7" t="s">
        <v>16</v>
      </c>
      <c r="B7" s="6">
        <v>1049</v>
      </c>
      <c r="C7" s="5">
        <v>206517549</v>
      </c>
      <c r="D7" s="6">
        <v>815</v>
      </c>
      <c r="E7" s="5">
        <v>147990516</v>
      </c>
      <c r="F7" s="6">
        <v>807</v>
      </c>
      <c r="G7" s="6">
        <v>166257685</v>
      </c>
      <c r="H7" s="6">
        <v>774</v>
      </c>
      <c r="I7" s="5">
        <v>202420454</v>
      </c>
    </row>
    <row r="8" spans="1:9">
      <c r="A8" t="s">
        <v>17</v>
      </c>
      <c r="B8" s="6">
        <v>1115</v>
      </c>
      <c r="C8" s="5">
        <v>213326304</v>
      </c>
      <c r="D8" s="6">
        <v>863</v>
      </c>
      <c r="E8" s="5">
        <v>180444720</v>
      </c>
      <c r="F8" s="6">
        <v>887</v>
      </c>
      <c r="G8" s="6">
        <v>202684263</v>
      </c>
      <c r="H8" s="6">
        <v>902</v>
      </c>
      <c r="I8" s="5">
        <v>211524206</v>
      </c>
    </row>
    <row r="9" spans="1:9">
      <c r="A9" t="s">
        <v>18</v>
      </c>
      <c r="B9" s="6">
        <v>842</v>
      </c>
      <c r="C9" s="5">
        <v>176773910</v>
      </c>
      <c r="D9" s="6">
        <v>627</v>
      </c>
      <c r="E9" s="5">
        <v>119109666</v>
      </c>
      <c r="F9" s="6">
        <v>701</v>
      </c>
      <c r="G9" s="6">
        <v>148323098</v>
      </c>
      <c r="H9" s="6">
        <v>701</v>
      </c>
      <c r="I9" s="5">
        <v>155066049</v>
      </c>
    </row>
    <row r="10" spans="1:9">
      <c r="A10" t="s">
        <v>19</v>
      </c>
      <c r="B10" s="6">
        <v>921</v>
      </c>
      <c r="C10" s="5">
        <v>161004866</v>
      </c>
      <c r="D10" s="6">
        <v>790</v>
      </c>
      <c r="E10" s="5">
        <v>137874194</v>
      </c>
      <c r="F10" s="6">
        <v>768</v>
      </c>
      <c r="G10" s="6">
        <v>170893342</v>
      </c>
      <c r="H10" s="6">
        <v>817</v>
      </c>
      <c r="I10" s="5">
        <v>188489804</v>
      </c>
    </row>
    <row r="11" spans="1:9">
      <c r="A11" t="s">
        <v>20</v>
      </c>
      <c r="B11" s="6">
        <v>1126</v>
      </c>
      <c r="C11" s="5">
        <v>226245090</v>
      </c>
      <c r="D11" s="6">
        <v>1052</v>
      </c>
      <c r="E11" s="5">
        <v>183623053</v>
      </c>
      <c r="F11" s="6">
        <v>762</v>
      </c>
      <c r="G11" s="6">
        <v>182849171</v>
      </c>
      <c r="H11" s="6">
        <v>949</v>
      </c>
      <c r="I11" s="5">
        <v>217300990</v>
      </c>
    </row>
    <row r="12" spans="1:9">
      <c r="A12" t="s">
        <v>21</v>
      </c>
      <c r="B12" s="6">
        <v>603</v>
      </c>
      <c r="C12" s="5">
        <v>177636413</v>
      </c>
      <c r="D12" s="6">
        <v>859</v>
      </c>
      <c r="E12" s="5">
        <v>162244973</v>
      </c>
      <c r="F12" s="6">
        <v>878</v>
      </c>
      <c r="G12" s="6">
        <v>195838492</v>
      </c>
      <c r="H12" s="6">
        <v>784</v>
      </c>
      <c r="I12" s="5">
        <v>201703370</v>
      </c>
    </row>
    <row r="13" spans="1:9">
      <c r="A13" t="s">
        <v>22</v>
      </c>
      <c r="B13" s="6">
        <v>1110</v>
      </c>
      <c r="C13" s="5">
        <v>221335807</v>
      </c>
      <c r="D13" s="6">
        <v>1067</v>
      </c>
      <c r="E13" s="5">
        <v>206964157</v>
      </c>
      <c r="F13" s="6">
        <v>921</v>
      </c>
      <c r="G13" s="6">
        <v>213271549</v>
      </c>
      <c r="H13" s="6">
        <v>906</v>
      </c>
      <c r="I13" s="5">
        <v>214975266</v>
      </c>
    </row>
    <row r="14" spans="1:9">
      <c r="A14" t="s">
        <v>23</v>
      </c>
      <c r="B14" s="6">
        <v>1066</v>
      </c>
      <c r="C14" s="5">
        <v>210708594</v>
      </c>
      <c r="D14" s="6">
        <v>959</v>
      </c>
      <c r="E14" s="5">
        <v>191425602</v>
      </c>
      <c r="F14" s="6">
        <v>817</v>
      </c>
      <c r="G14" s="6">
        <v>176234180</v>
      </c>
      <c r="H14" s="6">
        <v>843</v>
      </c>
      <c r="I14" s="5">
        <v>213319305</v>
      </c>
    </row>
    <row r="15" spans="1:9">
      <c r="A15" t="s">
        <v>41</v>
      </c>
      <c r="B15" s="6">
        <f>SUM(B3:B14)</f>
        <v>12527</v>
      </c>
      <c r="C15" s="5">
        <f>SUM(C3:C14)</f>
        <v>2444205169</v>
      </c>
      <c r="D15" s="6">
        <f>SUM(D3:D14)</f>
        <v>10645</v>
      </c>
      <c r="E15" s="5">
        <f t="shared" ref="E15:G15" si="0">SUM(E3:E14)</f>
        <v>2017888514</v>
      </c>
      <c r="F15" s="6">
        <f t="shared" si="0"/>
        <v>10304</v>
      </c>
      <c r="G15" s="5">
        <f t="shared" si="0"/>
        <v>2224343049</v>
      </c>
      <c r="H15" s="6">
        <f>SUM(H3:H14)</f>
        <v>10148</v>
      </c>
      <c r="I15" s="5">
        <f>SUM(I3:I14)</f>
        <v>2386920356</v>
      </c>
    </row>
    <row r="16" spans="1:9">
      <c r="D16" s="27"/>
    </row>
    <row r="18" spans="2:15">
      <c r="H18" s="42"/>
    </row>
    <row r="19" spans="2:15" ht="28.5">
      <c r="B19" s="1" t="s">
        <v>1</v>
      </c>
      <c r="C19" s="11">
        <f>I15/H15</f>
        <v>235210.91407173828</v>
      </c>
      <c r="O19" s="23"/>
    </row>
    <row r="20" spans="2:15" ht="45">
      <c r="B20" s="82" t="s">
        <v>4</v>
      </c>
      <c r="C20" s="82"/>
      <c r="D20" s="8" t="s">
        <v>6</v>
      </c>
      <c r="J20" s="26" t="s">
        <v>44</v>
      </c>
      <c r="K20" s="28" t="s">
        <v>46</v>
      </c>
      <c r="L20" s="28" t="s">
        <v>45</v>
      </c>
    </row>
    <row r="21" spans="2:15" ht="27.85" customHeight="1">
      <c r="B21" s="10" t="s">
        <v>2</v>
      </c>
      <c r="C21" s="5">
        <v>237</v>
      </c>
      <c r="D21" s="15">
        <v>118.5</v>
      </c>
      <c r="J21" s="24">
        <v>2022</v>
      </c>
      <c r="K21" s="29">
        <v>12527</v>
      </c>
      <c r="L21" s="30">
        <v>2444.2051689999998</v>
      </c>
    </row>
    <row r="22" spans="2:15" ht="27.85" customHeight="1">
      <c r="B22" s="10" t="s">
        <v>3</v>
      </c>
      <c r="C22" s="5">
        <v>25</v>
      </c>
      <c r="D22" s="15">
        <v>12.5</v>
      </c>
      <c r="J22" s="24">
        <v>2023</v>
      </c>
      <c r="K22" s="29">
        <v>10645</v>
      </c>
      <c r="L22" s="30">
        <v>2017.888514</v>
      </c>
    </row>
    <row r="23" spans="2:15" ht="27.85" customHeight="1">
      <c r="B23" s="10" t="s">
        <v>5</v>
      </c>
      <c r="C23" s="5">
        <v>1</v>
      </c>
      <c r="D23" s="15">
        <v>1</v>
      </c>
      <c r="E23" t="s">
        <v>28</v>
      </c>
      <c r="J23" s="24">
        <v>2024</v>
      </c>
      <c r="K23" s="29">
        <v>10304</v>
      </c>
      <c r="L23" s="30">
        <v>2224.3430490000001</v>
      </c>
    </row>
    <row r="24" spans="2:15" ht="27.85" customHeight="1">
      <c r="B24" s="10" t="s">
        <v>26</v>
      </c>
      <c r="C24" s="5">
        <v>5</v>
      </c>
      <c r="D24" s="16" t="s">
        <v>27</v>
      </c>
      <c r="J24" s="24">
        <v>2025</v>
      </c>
      <c r="K24" s="29">
        <v>10148</v>
      </c>
      <c r="L24" s="30">
        <v>2386.9203560000001</v>
      </c>
    </row>
    <row r="25" spans="2:15">
      <c r="B25" s="81" t="s">
        <v>7</v>
      </c>
      <c r="C25" s="81"/>
    </row>
    <row r="26" spans="2:15" ht="28.5">
      <c r="B26" s="10" t="s">
        <v>8</v>
      </c>
      <c r="C26" s="5">
        <v>15</v>
      </c>
    </row>
    <row r="27" spans="2:15" ht="42.75">
      <c r="B27" s="10" t="s">
        <v>9</v>
      </c>
      <c r="C27" s="5">
        <v>10</v>
      </c>
    </row>
    <row r="28" spans="2:15" ht="28.5">
      <c r="B28" s="10" t="s">
        <v>10</v>
      </c>
      <c r="C28" s="5">
        <v>894</v>
      </c>
    </row>
    <row r="29" spans="2:15" ht="28.9" thickBot="1">
      <c r="B29" s="12" t="s">
        <v>11</v>
      </c>
      <c r="C29" s="13">
        <v>0.5</v>
      </c>
    </row>
    <row r="30" spans="2:15" ht="14.65" thickBot="1">
      <c r="B30" s="14" t="s">
        <v>0</v>
      </c>
      <c r="C30" s="18">
        <f>SUM(C26:C29,C21:C24)+SUM(D21:D23)</f>
        <v>1319.5</v>
      </c>
    </row>
    <row r="31" spans="2:15" ht="28.9" thickBot="1">
      <c r="B31" s="17" t="s">
        <v>29</v>
      </c>
      <c r="C31" s="19">
        <f>SUM(C26:C29,C21:C22)+SUM(D21:D22)</f>
        <v>1312.5</v>
      </c>
    </row>
    <row r="32" spans="2:15">
      <c r="C32" s="7"/>
    </row>
    <row r="33" spans="5:7" ht="15.4">
      <c r="E33" s="32"/>
      <c r="F33" s="26" t="s">
        <v>51</v>
      </c>
      <c r="G33" s="26" t="s">
        <v>6</v>
      </c>
    </row>
    <row r="34" spans="5:7" ht="15.4">
      <c r="E34" s="77" t="s">
        <v>56</v>
      </c>
      <c r="F34" s="77"/>
      <c r="G34" s="77"/>
    </row>
    <row r="35" spans="5:7" ht="34.9" customHeight="1">
      <c r="E35" s="36" t="s">
        <v>47</v>
      </c>
      <c r="F35" s="33">
        <v>237</v>
      </c>
      <c r="G35" s="34">
        <v>118.5</v>
      </c>
    </row>
    <row r="36" spans="5:7" ht="34.9" customHeight="1">
      <c r="E36" s="36" t="s">
        <v>48</v>
      </c>
      <c r="F36" s="33">
        <v>25</v>
      </c>
      <c r="G36" s="34">
        <v>12.5</v>
      </c>
    </row>
    <row r="37" spans="5:7" ht="34.9" customHeight="1">
      <c r="E37" s="36" t="s">
        <v>49</v>
      </c>
      <c r="F37" s="33">
        <v>1</v>
      </c>
      <c r="G37" s="33">
        <v>1</v>
      </c>
    </row>
    <row r="38" spans="5:7" ht="52.15" customHeight="1">
      <c r="E38" s="36" t="s">
        <v>50</v>
      </c>
      <c r="F38" s="33">
        <v>5</v>
      </c>
      <c r="G38" s="33">
        <v>0</v>
      </c>
    </row>
    <row r="39" spans="5:7" ht="15.4">
      <c r="E39" s="78" t="s">
        <v>57</v>
      </c>
      <c r="F39" s="78"/>
      <c r="G39" s="78"/>
    </row>
    <row r="40" spans="5:7" ht="34.9" customHeight="1">
      <c r="E40" s="36" t="s">
        <v>52</v>
      </c>
      <c r="F40" s="33">
        <v>15</v>
      </c>
      <c r="G40" s="37" t="s">
        <v>58</v>
      </c>
    </row>
    <row r="41" spans="5:7" ht="34.9" customHeight="1">
      <c r="E41" s="36" t="s">
        <v>53</v>
      </c>
      <c r="F41" s="33">
        <v>10</v>
      </c>
      <c r="G41" s="37" t="s">
        <v>58</v>
      </c>
    </row>
    <row r="42" spans="5:7" ht="34.9" customHeight="1">
      <c r="E42" s="36" t="s">
        <v>54</v>
      </c>
      <c r="F42" s="33">
        <v>894</v>
      </c>
      <c r="G42" s="37" t="s">
        <v>58</v>
      </c>
    </row>
    <row r="43" spans="5:7" ht="34.9" customHeight="1">
      <c r="E43" s="36" t="s">
        <v>55</v>
      </c>
      <c r="F43" s="34">
        <v>0.5</v>
      </c>
      <c r="G43" s="37" t="s">
        <v>58</v>
      </c>
    </row>
    <row r="44" spans="5:7" ht="30.4">
      <c r="E44" s="35" t="s">
        <v>59</v>
      </c>
      <c r="F44" s="79">
        <v>1319.5</v>
      </c>
      <c r="G44" s="80"/>
    </row>
  </sheetData>
  <mergeCells count="9">
    <mergeCell ref="E34:G34"/>
    <mergeCell ref="E39:G39"/>
    <mergeCell ref="F44:G44"/>
    <mergeCell ref="B25:C25"/>
    <mergeCell ref="H1:I1"/>
    <mergeCell ref="F1:G1"/>
    <mergeCell ref="D1:E1"/>
    <mergeCell ref="B1:C1"/>
    <mergeCell ref="B20:C20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C7AD6-4A45-4CF1-91AE-B9E0087376A3}">
  <dimension ref="A1:G18"/>
  <sheetViews>
    <sheetView workbookViewId="0">
      <selection activeCell="A13" sqref="A13:B18"/>
    </sheetView>
  </sheetViews>
  <sheetFormatPr defaultRowHeight="14.25"/>
  <cols>
    <col min="1" max="1" width="9.19921875" bestFit="1" customWidth="1"/>
    <col min="2" max="2" width="18.33203125" customWidth="1"/>
    <col min="3" max="3" width="14.73046875" bestFit="1" customWidth="1"/>
    <col min="4" max="4" width="11.9296875" bestFit="1" customWidth="1"/>
    <col min="5" max="5" width="9.86328125" bestFit="1" customWidth="1"/>
    <col min="6" max="6" width="12.33203125" bestFit="1" customWidth="1"/>
  </cols>
  <sheetData>
    <row r="1" spans="1:7">
      <c r="A1" t="s">
        <v>24</v>
      </c>
      <c r="B1" t="s">
        <v>25</v>
      </c>
    </row>
    <row r="2" spans="1:7">
      <c r="B2" s="38">
        <v>839936</v>
      </c>
    </row>
    <row r="4" spans="1:7">
      <c r="B4">
        <v>2020</v>
      </c>
      <c r="C4">
        <v>2021</v>
      </c>
      <c r="D4">
        <v>2022</v>
      </c>
      <c r="E4">
        <v>2023</v>
      </c>
      <c r="F4">
        <v>2024</v>
      </c>
    </row>
    <row r="5" spans="1:7">
      <c r="A5" t="s">
        <v>134</v>
      </c>
      <c r="B5">
        <v>70457</v>
      </c>
      <c r="C5">
        <v>68128</v>
      </c>
      <c r="D5">
        <v>70506</v>
      </c>
      <c r="E5">
        <v>84361</v>
      </c>
      <c r="F5" s="4">
        <v>89178</v>
      </c>
    </row>
    <row r="6" spans="1:7">
      <c r="A6" t="s">
        <v>30</v>
      </c>
      <c r="B6" s="20">
        <v>1205749</v>
      </c>
      <c r="C6" s="20">
        <v>1165982</v>
      </c>
      <c r="D6" s="20">
        <v>1289311</v>
      </c>
      <c r="E6" s="20">
        <v>1277486</v>
      </c>
      <c r="F6" s="20">
        <v>1242609</v>
      </c>
    </row>
    <row r="7" spans="1:7">
      <c r="A7" t="s">
        <v>31</v>
      </c>
      <c r="B7" s="20">
        <v>354227</v>
      </c>
      <c r="C7" s="20">
        <v>360819</v>
      </c>
      <c r="D7" s="20">
        <v>309259</v>
      </c>
      <c r="E7" s="20">
        <v>335648</v>
      </c>
      <c r="F7" s="20">
        <v>374354</v>
      </c>
    </row>
    <row r="8" spans="1:7">
      <c r="A8" s="21" t="s">
        <v>32</v>
      </c>
      <c r="B8" s="22">
        <f>SUM(B6:B7)</f>
        <v>1559976</v>
      </c>
      <c r="C8" s="22">
        <f t="shared" ref="C8:E8" si="0">SUM(C6:C7)</f>
        <v>1526801</v>
      </c>
      <c r="D8" s="22">
        <f t="shared" si="0"/>
        <v>1598570</v>
      </c>
      <c r="E8" s="22">
        <f t="shared" si="0"/>
        <v>1613134</v>
      </c>
      <c r="F8" s="22">
        <f>SUM(F6:F7)</f>
        <v>1616963</v>
      </c>
    </row>
    <row r="10" spans="1:7" ht="57">
      <c r="E10" s="1" t="s">
        <v>33</v>
      </c>
      <c r="F10" s="4">
        <v>89178</v>
      </c>
      <c r="G10" t="s">
        <v>35</v>
      </c>
    </row>
    <row r="11" spans="1:7" ht="28.5">
      <c r="E11" s="1" t="s">
        <v>34</v>
      </c>
      <c r="F11" s="23">
        <f>F7-F10</f>
        <v>285176</v>
      </c>
    </row>
    <row r="13" spans="1:7" ht="39" customHeight="1">
      <c r="A13" s="26" t="s">
        <v>36</v>
      </c>
      <c r="B13" s="28" t="s">
        <v>135</v>
      </c>
    </row>
    <row r="14" spans="1:7" ht="17.350000000000001" customHeight="1">
      <c r="A14" s="24">
        <v>2020</v>
      </c>
      <c r="B14" s="25">
        <f>B7-B5</f>
        <v>283770</v>
      </c>
    </row>
    <row r="15" spans="1:7" ht="17.350000000000001" customHeight="1">
      <c r="A15" s="24">
        <v>2021</v>
      </c>
      <c r="B15" s="25">
        <f>C7-C5</f>
        <v>292691</v>
      </c>
    </row>
    <row r="16" spans="1:7" ht="17.350000000000001" customHeight="1">
      <c r="A16" s="24">
        <v>2022</v>
      </c>
      <c r="B16" s="25">
        <f>D7-D5</f>
        <v>238753</v>
      </c>
    </row>
    <row r="17" spans="1:2" ht="17.350000000000001" customHeight="1">
      <c r="A17" s="24">
        <v>2023</v>
      </c>
      <c r="B17" s="25">
        <f>E7-E5</f>
        <v>251287</v>
      </c>
    </row>
    <row r="18" spans="1:2" ht="17.350000000000001" customHeight="1">
      <c r="A18" s="24">
        <v>2024</v>
      </c>
      <c r="B18" s="25">
        <f>F7-F5</f>
        <v>285176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6A87-C867-4650-BE26-D1C2B44C4B53}">
  <dimension ref="A1:K60"/>
  <sheetViews>
    <sheetView topLeftCell="A33" workbookViewId="0">
      <selection activeCell="E26" sqref="E26"/>
    </sheetView>
  </sheetViews>
  <sheetFormatPr defaultRowHeight="14.25"/>
  <cols>
    <col min="1" max="1" width="17" customWidth="1"/>
    <col min="3" max="3" width="10.6640625" customWidth="1"/>
    <col min="4" max="4" width="19.265625" bestFit="1" customWidth="1"/>
    <col min="5" max="5" width="11.86328125" bestFit="1" customWidth="1"/>
    <col min="6" max="6" width="14.19921875" customWidth="1"/>
    <col min="7" max="7" width="12.265625" bestFit="1" customWidth="1"/>
    <col min="8" max="8" width="13.3984375" bestFit="1" customWidth="1"/>
    <col min="9" max="9" width="13.1328125" bestFit="1" customWidth="1"/>
    <col min="10" max="10" width="13.3984375" bestFit="1" customWidth="1"/>
    <col min="11" max="11" width="15.86328125" bestFit="1" customWidth="1"/>
    <col min="12" max="12" width="11.59765625" customWidth="1"/>
    <col min="14" max="14" width="10.86328125" bestFit="1" customWidth="1"/>
    <col min="15" max="15" width="11.59765625" customWidth="1"/>
  </cols>
  <sheetData>
    <row r="1" spans="1:11">
      <c r="A1" t="s">
        <v>60</v>
      </c>
    </row>
    <row r="2" spans="1:11">
      <c r="A2" s="31" t="s">
        <v>61</v>
      </c>
      <c r="B2" s="39">
        <v>0.02</v>
      </c>
      <c r="C2" s="43">
        <f>B2+B3</f>
        <v>0.12000000000000001</v>
      </c>
      <c r="D2" t="s">
        <v>68</v>
      </c>
      <c r="E2">
        <f>'Datos Compraventa'!H15</f>
        <v>10148</v>
      </c>
    </row>
    <row r="3" spans="1:11" ht="28.5">
      <c r="A3" s="31" t="s">
        <v>67</v>
      </c>
      <c r="B3" s="39">
        <v>0.1</v>
      </c>
      <c r="D3" s="1" t="s">
        <v>69</v>
      </c>
      <c r="E3">
        <f>E2*(B2+B3)</f>
        <v>1217.76</v>
      </c>
      <c r="F3" s="3">
        <f>ROUNDUP(E3, 0)</f>
        <v>1218</v>
      </c>
    </row>
    <row r="4" spans="1:11">
      <c r="A4" s="31" t="s">
        <v>62</v>
      </c>
      <c r="B4" s="39">
        <v>0.16</v>
      </c>
      <c r="D4" t="s">
        <v>99</v>
      </c>
      <c r="E4" s="7">
        <f>'Datos Compraventa'!I15/'Datos Compraventa'!H15</f>
        <v>235210.91407173828</v>
      </c>
    </row>
    <row r="5" spans="1:11">
      <c r="A5" s="31" t="s">
        <v>63</v>
      </c>
      <c r="B5" s="39">
        <v>0.15</v>
      </c>
    </row>
    <row r="6" spans="1:11">
      <c r="A6" s="31" t="s">
        <v>64</v>
      </c>
      <c r="B6" s="39">
        <v>0.2</v>
      </c>
    </row>
    <row r="7" spans="1:11">
      <c r="A7" s="31" t="s">
        <v>65</v>
      </c>
      <c r="B7" s="39">
        <v>0.25</v>
      </c>
    </row>
    <row r="8" spans="1:11">
      <c r="A8" s="31" t="s">
        <v>66</v>
      </c>
      <c r="B8" s="39">
        <v>0.11</v>
      </c>
    </row>
    <row r="10" spans="1:11" ht="14.65" thickBot="1">
      <c r="A10" s="83" t="s">
        <v>118</v>
      </c>
      <c r="B10" s="83"/>
      <c r="C10" s="83"/>
      <c r="D10" s="83"/>
      <c r="E10" s="83"/>
      <c r="F10" s="83"/>
    </row>
    <row r="11" spans="1:11" ht="28.5">
      <c r="A11" s="45"/>
      <c r="B11" s="46"/>
      <c r="C11" s="46"/>
      <c r="D11" s="46" t="s">
        <v>100</v>
      </c>
      <c r="E11" s="47" t="s">
        <v>101</v>
      </c>
      <c r="F11" s="48" t="s">
        <v>102</v>
      </c>
    </row>
    <row r="12" spans="1:11">
      <c r="A12" s="49">
        <v>2025</v>
      </c>
      <c r="B12" s="73">
        <f>AVERAGE(B31:B34)</f>
        <v>240.64442239859898</v>
      </c>
      <c r="C12" t="s">
        <v>98</v>
      </c>
      <c r="D12" s="50">
        <v>10148</v>
      </c>
      <c r="E12" s="42">
        <f>D12*C2</f>
        <v>1217.76</v>
      </c>
      <c r="F12" s="51">
        <f>E4</f>
        <v>235210.91407173828</v>
      </c>
    </row>
    <row r="13" spans="1:11">
      <c r="A13" s="49">
        <v>2026</v>
      </c>
      <c r="B13" s="73">
        <f>AVERAGE(B35:B38)</f>
        <v>252.79330399657596</v>
      </c>
      <c r="C13" s="52">
        <f>B13/B12-1</f>
        <v>5.0484783635889929E-2</v>
      </c>
      <c r="D13" s="50">
        <f>AVERAGE('Datos Compraventa'!H15,'Datos Compraventa'!F15,'Datos Compraventa'!D15)</f>
        <v>10365.666666666666</v>
      </c>
      <c r="E13" s="42">
        <f>D13*C2</f>
        <v>1243.8800000000001</v>
      </c>
      <c r="F13" s="51">
        <f>F12*(C13+1)</f>
        <v>247085.4861774499</v>
      </c>
      <c r="J13" t="s">
        <v>123</v>
      </c>
      <c r="K13" t="s">
        <v>124</v>
      </c>
    </row>
    <row r="14" spans="1:11">
      <c r="A14" s="49">
        <v>2027</v>
      </c>
      <c r="B14" s="73">
        <f>AVERAGE(B39:B42)</f>
        <v>256.04286544303943</v>
      </c>
      <c r="C14" s="52">
        <f t="shared" ref="C14:C18" si="0">B14/B13-1</f>
        <v>1.2854618358512759E-2</v>
      </c>
      <c r="D14" s="50">
        <f>AVERAGE(D13,D12,'Datos Compraventa'!F15)</f>
        <v>10272.555555555555</v>
      </c>
      <c r="E14" s="42">
        <f>D14*C2</f>
        <v>1232.7066666666667</v>
      </c>
      <c r="F14" s="51">
        <f t="shared" ref="F14:F18" si="1">F13*(C14+1)</f>
        <v>250261.67580418859</v>
      </c>
      <c r="I14">
        <v>2026</v>
      </c>
      <c r="J14" s="71">
        <f>E21</f>
        <v>1653276</v>
      </c>
      <c r="K14" s="9">
        <f>J40</f>
        <v>668132.5</v>
      </c>
    </row>
    <row r="15" spans="1:11">
      <c r="A15" s="49">
        <v>2028</v>
      </c>
      <c r="B15" s="73">
        <f>AVERAGE(B43:B46)</f>
        <v>259.07407598975823</v>
      </c>
      <c r="C15" s="52">
        <f t="shared" si="0"/>
        <v>1.1838683891753021E-2</v>
      </c>
      <c r="D15" s="50">
        <f>AVERAGE(D14,D13,D12)</f>
        <v>10262.074074074073</v>
      </c>
      <c r="E15" s="42">
        <f>D15*C2</f>
        <v>1231.4488888888889</v>
      </c>
      <c r="F15" s="51">
        <f t="shared" si="1"/>
        <v>253224.44467425474</v>
      </c>
      <c r="I15">
        <v>2027</v>
      </c>
      <c r="J15" s="71">
        <f t="shared" ref="J15:J17" si="2">E22</f>
        <v>1659001.5</v>
      </c>
      <c r="K15" s="9">
        <f>J41</f>
        <v>864257.5</v>
      </c>
    </row>
    <row r="16" spans="1:11">
      <c r="A16" s="49">
        <v>2029</v>
      </c>
      <c r="B16" s="73">
        <f>AVERAGE(B47:B50)</f>
        <v>262.1103681125889</v>
      </c>
      <c r="C16" s="52">
        <f t="shared" si="0"/>
        <v>1.1719783661220839E-2</v>
      </c>
      <c r="D16" s="50">
        <f>AVERAGE(D15,D14,D13)</f>
        <v>10300.098765432098</v>
      </c>
      <c r="E16" s="42">
        <f>D16*C2</f>
        <v>1236.0118518518518</v>
      </c>
      <c r="F16" s="51">
        <f t="shared" si="1"/>
        <v>256192.18038356979</v>
      </c>
      <c r="I16">
        <v>2028</v>
      </c>
      <c r="J16" s="71">
        <f t="shared" si="2"/>
        <v>1677984</v>
      </c>
      <c r="K16" s="9">
        <f>J42</f>
        <v>924402.5</v>
      </c>
    </row>
    <row r="17" spans="1:11">
      <c r="A17" s="49">
        <v>2030</v>
      </c>
      <c r="B17" s="73">
        <f>AVERAGE(B51:B54)</f>
        <v>265.1777949409784</v>
      </c>
      <c r="C17" s="52">
        <f t="shared" si="0"/>
        <v>1.1702806151765444E-2</v>
      </c>
      <c r="D17" s="50">
        <f>AVERAGE(D16,D15,D14)</f>
        <v>10278.242798353909</v>
      </c>
      <c r="E17" s="42">
        <f>D17*C2</f>
        <v>1233.3891358024691</v>
      </c>
      <c r="F17" s="51">
        <f t="shared" si="1"/>
        <v>259190.34780819685</v>
      </c>
      <c r="I17">
        <v>2029</v>
      </c>
      <c r="J17" s="71">
        <f t="shared" si="2"/>
        <v>1705204.5</v>
      </c>
      <c r="K17" s="9">
        <f>J43</f>
        <v>1032925</v>
      </c>
    </row>
    <row r="18" spans="1:11">
      <c r="A18" s="49">
        <v>2031</v>
      </c>
      <c r="B18" s="73">
        <f>AVERAGE(B55:B58)</f>
        <v>268.16490264275751</v>
      </c>
      <c r="C18" s="52">
        <f t="shared" si="0"/>
        <v>1.1264546876724513E-2</v>
      </c>
      <c r="D18" s="50">
        <f>AVERAGE(D17,D16,D15)</f>
        <v>10280.138545953361</v>
      </c>
      <c r="E18" s="42">
        <f>D18*C2</f>
        <v>1233.6166255144035</v>
      </c>
      <c r="F18" s="51">
        <f t="shared" si="1"/>
        <v>262110.00963107683</v>
      </c>
      <c r="I18">
        <v>2030</v>
      </c>
      <c r="J18" s="9">
        <f>E25</f>
        <v>1714643</v>
      </c>
      <c r="K18" s="9">
        <f>J44</f>
        <v>1172827.5</v>
      </c>
    </row>
    <row r="19" spans="1:11" ht="42.75">
      <c r="A19" s="49"/>
      <c r="B19" s="1" t="s">
        <v>103</v>
      </c>
      <c r="C19" s="1" t="s">
        <v>102</v>
      </c>
      <c r="D19" s="1" t="s">
        <v>104</v>
      </c>
      <c r="E19" s="1" t="s">
        <v>105</v>
      </c>
      <c r="F19" s="53"/>
      <c r="I19" t="s">
        <v>125</v>
      </c>
      <c r="J19" s="70">
        <f>J18/12</f>
        <v>142886.91666666666</v>
      </c>
      <c r="K19" s="70">
        <f>K18/12</f>
        <v>97735.625</v>
      </c>
    </row>
    <row r="20" spans="1:11">
      <c r="A20" s="49">
        <v>2025</v>
      </c>
      <c r="B20" s="23">
        <f>ROUNDUP(E12,0)</f>
        <v>1218</v>
      </c>
      <c r="C20" s="9">
        <f>F12</f>
        <v>235210.91407173828</v>
      </c>
      <c r="D20" s="54">
        <f>1319.5-7</f>
        <v>1312.5</v>
      </c>
      <c r="E20" s="54">
        <f>D20*B20</f>
        <v>1598625</v>
      </c>
      <c r="F20" s="53"/>
      <c r="I20" t="s">
        <v>126</v>
      </c>
      <c r="J20" s="72">
        <f>J19*5</f>
        <v>714434.58333333326</v>
      </c>
    </row>
    <row r="21" spans="1:11">
      <c r="A21" s="49">
        <v>2026</v>
      </c>
      <c r="B21" s="23">
        <f t="shared" ref="B21:B24" si="3">ROUNDUP(E13,0)</f>
        <v>1244</v>
      </c>
      <c r="C21" s="9">
        <f t="shared" ref="C21:C24" si="4">F13</f>
        <v>247085.4861774499</v>
      </c>
      <c r="D21" s="54">
        <f>1336-7</f>
        <v>1329</v>
      </c>
      <c r="E21" s="66">
        <f>D21*B21</f>
        <v>1653276</v>
      </c>
      <c r="F21" s="53"/>
    </row>
    <row r="22" spans="1:11">
      <c r="A22" s="49">
        <v>2027</v>
      </c>
      <c r="B22" s="23">
        <f t="shared" si="3"/>
        <v>1233</v>
      </c>
      <c r="C22" s="9">
        <f t="shared" si="4"/>
        <v>250261.67580418859</v>
      </c>
      <c r="D22" s="54">
        <f>1352.5-7</f>
        <v>1345.5</v>
      </c>
      <c r="E22" s="66">
        <f t="shared" ref="E22:E24" si="5">D22*B22</f>
        <v>1659001.5</v>
      </c>
      <c r="F22" s="53"/>
      <c r="I22" s="85" t="s">
        <v>127</v>
      </c>
      <c r="J22" s="85"/>
      <c r="K22" s="85"/>
    </row>
    <row r="23" spans="1:11">
      <c r="A23" s="49">
        <v>2028</v>
      </c>
      <c r="B23" s="23">
        <f t="shared" si="3"/>
        <v>1232</v>
      </c>
      <c r="C23" s="9">
        <f t="shared" si="4"/>
        <v>253224.44467425474</v>
      </c>
      <c r="D23" s="54">
        <f>1369-7</f>
        <v>1362</v>
      </c>
      <c r="E23" s="66">
        <f t="shared" si="5"/>
        <v>1677984</v>
      </c>
      <c r="F23" s="53"/>
      <c r="I23" s="85"/>
      <c r="J23" s="85"/>
      <c r="K23" s="85"/>
    </row>
    <row r="24" spans="1:11">
      <c r="A24" s="49">
        <v>2029</v>
      </c>
      <c r="B24" s="23">
        <f t="shared" si="3"/>
        <v>1237</v>
      </c>
      <c r="C24" s="9">
        <f t="shared" si="4"/>
        <v>256192.18038356979</v>
      </c>
      <c r="D24" s="54">
        <f>1385.5-7</f>
        <v>1378.5</v>
      </c>
      <c r="E24" s="66">
        <f t="shared" si="5"/>
        <v>1705204.5</v>
      </c>
      <c r="F24" s="53"/>
      <c r="I24" s="85"/>
      <c r="J24" s="85"/>
      <c r="K24" s="85"/>
    </row>
    <row r="25" spans="1:11">
      <c r="A25" s="49">
        <v>2030</v>
      </c>
      <c r="B25" s="23">
        <f>ROUNDUP(E17,0)</f>
        <v>1234</v>
      </c>
      <c r="C25" s="9">
        <f>F17</f>
        <v>259190.34780819685</v>
      </c>
      <c r="D25" s="54">
        <f>1396.5-7</f>
        <v>1389.5</v>
      </c>
      <c r="E25" s="66">
        <f>D25*B25</f>
        <v>1714643</v>
      </c>
      <c r="F25" s="53"/>
    </row>
    <row r="26" spans="1:11" ht="14.65" thickBot="1">
      <c r="A26" s="55">
        <v>2031</v>
      </c>
      <c r="B26" s="56">
        <f>ROUNDUP(E18,0)</f>
        <v>1234</v>
      </c>
      <c r="C26" s="57">
        <f>F18</f>
        <v>262110.00963107683</v>
      </c>
      <c r="D26" s="58">
        <f>1470.5-7</f>
        <v>1463.5</v>
      </c>
      <c r="E26" s="67">
        <f>D26*B26</f>
        <v>1805959</v>
      </c>
      <c r="F26" s="59"/>
    </row>
    <row r="29" spans="1:11" ht="33" customHeight="1"/>
    <row r="30" spans="1:11" ht="38.65" thickBot="1">
      <c r="B30" s="44" t="s">
        <v>120</v>
      </c>
      <c r="C30" s="44" t="s">
        <v>106</v>
      </c>
      <c r="E30" s="84" t="s">
        <v>119</v>
      </c>
      <c r="F30" s="84"/>
      <c r="G30" s="84"/>
      <c r="H30" s="84"/>
      <c r="I30" s="84"/>
      <c r="J30" s="84"/>
    </row>
    <row r="31" spans="1:11" ht="42.75">
      <c r="A31" s="65" t="s">
        <v>121</v>
      </c>
      <c r="B31" s="41">
        <v>226.83</v>
      </c>
      <c r="E31" s="45"/>
      <c r="F31" s="47" t="s">
        <v>112</v>
      </c>
      <c r="G31" s="47" t="s">
        <v>113</v>
      </c>
      <c r="H31" s="46" t="s">
        <v>114</v>
      </c>
      <c r="I31" s="46"/>
      <c r="J31" s="60"/>
    </row>
    <row r="32" spans="1:11">
      <c r="A32" s="65" t="s">
        <v>122</v>
      </c>
      <c r="B32" s="41">
        <v>236.17</v>
      </c>
      <c r="E32" s="49" t="s">
        <v>107</v>
      </c>
      <c r="F32" s="54">
        <f>(AVERAGE(C35:C38))*1000000000</f>
        <v>1001059108.064629</v>
      </c>
      <c r="G32" s="50">
        <f>'Datos Compraventa'!H15*Calculos!F32/'Datos Compraventa'!I15</f>
        <v>4256.006197736685</v>
      </c>
      <c r="H32" s="42">
        <f>G32*C2</f>
        <v>510.72074372840223</v>
      </c>
      <c r="J32" s="53"/>
    </row>
    <row r="33" spans="1:10">
      <c r="A33" s="40" t="s">
        <v>70</v>
      </c>
      <c r="B33" s="41">
        <v>248.97</v>
      </c>
      <c r="C33" s="41">
        <v>0.71416465716126265</v>
      </c>
      <c r="E33" s="49" t="s">
        <v>108</v>
      </c>
      <c r="F33" s="54">
        <f>(AVERAGE(C39:C42))*1000000000</f>
        <v>1294076709.6455307</v>
      </c>
      <c r="G33" s="61">
        <f>'Datos Compraventa'!H15*Calculos!F33/'Datos Compraventa'!I15</f>
        <v>5501.7715260051373</v>
      </c>
      <c r="H33" s="42">
        <f>G33*C2</f>
        <v>660.2125831206165</v>
      </c>
      <c r="J33" s="53"/>
    </row>
    <row r="34" spans="1:10">
      <c r="A34" s="40" t="s">
        <v>71</v>
      </c>
      <c r="B34" s="41">
        <v>250.60768959439585</v>
      </c>
      <c r="C34" s="41">
        <v>0.89542524418025815</v>
      </c>
      <c r="E34" s="49" t="s">
        <v>109</v>
      </c>
      <c r="F34" s="54">
        <f>(AVERAGE(C43:C46))*1000000000</f>
        <v>1384784916.6414971</v>
      </c>
      <c r="G34" s="50">
        <f>'Datos Compraventa'!H15*Calculos!F34/'Datos Compraventa'!I15</f>
        <v>5887.4177761119699</v>
      </c>
      <c r="H34" s="42">
        <f>G34*C2</f>
        <v>706.49013313343642</v>
      </c>
      <c r="J34" s="53"/>
    </row>
    <row r="35" spans="1:10">
      <c r="A35" s="40" t="s">
        <v>72</v>
      </c>
      <c r="B35" s="41">
        <v>251.67739694588866</v>
      </c>
      <c r="C35" s="41">
        <v>0.84479796925469275</v>
      </c>
      <c r="E35" s="49" t="s">
        <v>110</v>
      </c>
      <c r="F35" s="54">
        <f>(AVERAGE(C47:C50))*1000000000</f>
        <v>1546609983.4318089</v>
      </c>
      <c r="G35" s="50">
        <f>'Datos Compraventa'!H15*Calculos!F35/'Datos Compraventa'!I15</f>
        <v>6575.4175971617542</v>
      </c>
      <c r="H35" s="42">
        <f>G35*C2</f>
        <v>789.05011165941062</v>
      </c>
      <c r="J35" s="53"/>
    </row>
    <row r="36" spans="1:10">
      <c r="A36" s="40" t="s">
        <v>73</v>
      </c>
      <c r="B36" s="41">
        <v>252.40933158243143</v>
      </c>
      <c r="C36" s="41">
        <v>0.9326739764490537</v>
      </c>
      <c r="E36" s="49" t="s">
        <v>111</v>
      </c>
      <c r="F36" s="54">
        <f>(AVERAGE(C51:C54))*1000000000</f>
        <v>1756743389.0698705</v>
      </c>
      <c r="G36" s="50">
        <f>'Datos Compraventa'!H15*Calculos!F36/'Datos Compraventa'!I15</f>
        <v>7468.800484887669</v>
      </c>
      <c r="H36" s="42">
        <f>G36*C2</f>
        <v>896.25605818652036</v>
      </c>
      <c r="J36" s="53"/>
    </row>
    <row r="37" spans="1:10">
      <c r="A37" s="40" t="s">
        <v>74</v>
      </c>
      <c r="B37" s="41">
        <v>253.10281842343468</v>
      </c>
      <c r="C37" s="41">
        <v>1.0927393467811284</v>
      </c>
      <c r="E37" s="49"/>
      <c r="J37" s="53"/>
    </row>
    <row r="38" spans="1:10">
      <c r="A38" s="40" t="s">
        <v>75</v>
      </c>
      <c r="B38" s="41">
        <v>253.98366903454902</v>
      </c>
      <c r="C38" s="41">
        <v>1.1340251397736405</v>
      </c>
      <c r="E38" s="49"/>
      <c r="J38" s="53"/>
    </row>
    <row r="39" spans="1:10" ht="42.75">
      <c r="A39" s="40" t="s">
        <v>76</v>
      </c>
      <c r="B39" s="41">
        <v>254.86511607652514</v>
      </c>
      <c r="C39" s="41">
        <v>1.2411167767550781</v>
      </c>
      <c r="E39" s="49"/>
      <c r="F39" s="1" t="s">
        <v>116</v>
      </c>
      <c r="G39" s="1" t="s">
        <v>115</v>
      </c>
      <c r="H39" s="1" t="s">
        <v>117</v>
      </c>
      <c r="I39" s="1" t="s">
        <v>104</v>
      </c>
      <c r="J39" s="62" t="s">
        <v>105</v>
      </c>
    </row>
    <row r="40" spans="1:10">
      <c r="A40" s="40" t="s">
        <v>77</v>
      </c>
      <c r="B40" s="41">
        <v>255.68136770017699</v>
      </c>
      <c r="C40" s="41">
        <v>1.3326368023858421</v>
      </c>
      <c r="E40" s="49" t="s">
        <v>107</v>
      </c>
      <c r="F40" s="23">
        <f>ROUNDUP(G32,0)</f>
        <v>4257</v>
      </c>
      <c r="G40" s="42">
        <f>ROUNDUP(H32,0)</f>
        <v>511</v>
      </c>
      <c r="H40" s="54">
        <f>F32/F40</f>
        <v>235156.00377369719</v>
      </c>
      <c r="I40" s="16">
        <f>1314.5-7</f>
        <v>1307.5</v>
      </c>
      <c r="J40" s="68">
        <f>I40*G40</f>
        <v>668132.5</v>
      </c>
    </row>
    <row r="41" spans="1:10">
      <c r="A41" s="40" t="s">
        <v>78</v>
      </c>
      <c r="B41" s="41">
        <v>256.44079944406411</v>
      </c>
      <c r="C41" s="41">
        <v>1.3078972741047685</v>
      </c>
      <c r="E41" s="49" t="s">
        <v>108</v>
      </c>
      <c r="F41" s="23">
        <f t="shared" ref="F41:G44" si="6">ROUNDUP(G33,0)</f>
        <v>5502</v>
      </c>
      <c r="G41" s="42">
        <f t="shared" si="6"/>
        <v>661</v>
      </c>
      <c r="H41" s="54">
        <f t="shared" ref="H41:H44" si="7">F33/F41</f>
        <v>235201.14679126331</v>
      </c>
      <c r="I41" s="16">
        <f t="shared" ref="I41:I44" si="8">1314.5-7</f>
        <v>1307.5</v>
      </c>
      <c r="J41" s="68">
        <f t="shared" ref="J41:J43" si="9">I41*G41</f>
        <v>864257.5</v>
      </c>
    </row>
    <row r="42" spans="1:10">
      <c r="A42" s="40" t="s">
        <v>79</v>
      </c>
      <c r="B42" s="41">
        <v>257.18417855139137</v>
      </c>
      <c r="C42" s="41">
        <v>1.2946559853364346</v>
      </c>
      <c r="E42" s="49" t="s">
        <v>109</v>
      </c>
      <c r="F42" s="23">
        <f t="shared" si="6"/>
        <v>5888</v>
      </c>
      <c r="G42" s="42">
        <f t="shared" si="6"/>
        <v>707</v>
      </c>
      <c r="H42" s="54">
        <f t="shared" si="7"/>
        <v>235187.65567960209</v>
      </c>
      <c r="I42" s="16">
        <f t="shared" si="8"/>
        <v>1307.5</v>
      </c>
      <c r="J42" s="68">
        <f t="shared" si="9"/>
        <v>924402.5</v>
      </c>
    </row>
    <row r="43" spans="1:10">
      <c r="A43" s="40" t="s">
        <v>80</v>
      </c>
      <c r="B43" s="41">
        <v>257.96216376779097</v>
      </c>
      <c r="C43" s="41">
        <v>1.3256300487306381</v>
      </c>
      <c r="E43" s="49" t="s">
        <v>110</v>
      </c>
      <c r="F43" s="23">
        <f t="shared" si="6"/>
        <v>6576</v>
      </c>
      <c r="G43" s="42">
        <f t="shared" si="6"/>
        <v>790</v>
      </c>
      <c r="H43" s="54">
        <f t="shared" si="7"/>
        <v>235190.08263865707</v>
      </c>
      <c r="I43" s="16">
        <f t="shared" si="8"/>
        <v>1307.5</v>
      </c>
      <c r="J43" s="68">
        <f t="shared" si="9"/>
        <v>1032925</v>
      </c>
    </row>
    <row r="44" spans="1:10" ht="14.65" thickBot="1">
      <c r="A44" s="40" t="s">
        <v>81</v>
      </c>
      <c r="B44" s="41">
        <v>258.73408102964555</v>
      </c>
      <c r="C44" s="41">
        <v>1.3404782369336929</v>
      </c>
      <c r="E44" s="55" t="s">
        <v>111</v>
      </c>
      <c r="F44" s="56">
        <f t="shared" si="6"/>
        <v>7469</v>
      </c>
      <c r="G44" s="63">
        <f t="shared" si="6"/>
        <v>897</v>
      </c>
      <c r="H44" s="58">
        <f t="shared" si="7"/>
        <v>235204.63101752181</v>
      </c>
      <c r="I44" s="64">
        <f t="shared" si="8"/>
        <v>1307.5</v>
      </c>
      <c r="J44" s="69">
        <f>I44*G44</f>
        <v>1172827.5</v>
      </c>
    </row>
    <row r="45" spans="1:10">
      <c r="A45" s="40" t="s">
        <v>82</v>
      </c>
      <c r="B45" s="41">
        <v>259.43398450674425</v>
      </c>
      <c r="C45" s="41">
        <v>1.4106151339263839</v>
      </c>
    </row>
    <row r="46" spans="1:10">
      <c r="A46" s="40" t="s">
        <v>83</v>
      </c>
      <c r="B46" s="41">
        <v>260.16607465485214</v>
      </c>
      <c r="C46" s="41">
        <v>1.4624162469752737</v>
      </c>
    </row>
    <row r="47" spans="1:10">
      <c r="A47" s="40" t="s">
        <v>84</v>
      </c>
      <c r="B47" s="41">
        <v>260.93925704078237</v>
      </c>
      <c r="C47" s="41">
        <v>1.5093995230998032</v>
      </c>
    </row>
    <row r="48" spans="1:10">
      <c r="A48" s="40" t="s">
        <v>85</v>
      </c>
      <c r="B48" s="41">
        <v>261.72195792831621</v>
      </c>
      <c r="C48" s="41">
        <v>1.5421679648247075</v>
      </c>
    </row>
    <row r="49" spans="1:3">
      <c r="A49" s="40" t="s">
        <v>86</v>
      </c>
      <c r="B49" s="41">
        <v>262.50319952428174</v>
      </c>
      <c r="C49" s="41">
        <v>1.5764082439443909</v>
      </c>
    </row>
    <row r="50" spans="1:3">
      <c r="A50" s="40" t="s">
        <v>87</v>
      </c>
      <c r="B50" s="41">
        <v>263.27705795697528</v>
      </c>
      <c r="C50" s="41">
        <v>1.5584642018583348</v>
      </c>
    </row>
    <row r="51" spans="1:3">
      <c r="A51" s="40" t="s">
        <v>88</v>
      </c>
      <c r="B51" s="41">
        <v>264.04679526937605</v>
      </c>
      <c r="C51" s="41">
        <v>1.6545965319025142</v>
      </c>
    </row>
    <row r="52" spans="1:3">
      <c r="A52" s="40" t="s">
        <v>89</v>
      </c>
      <c r="B52" s="41">
        <v>264.80595329862473</v>
      </c>
      <c r="C52" s="41">
        <v>1.7073881669858109</v>
      </c>
    </row>
    <row r="53" spans="1:3">
      <c r="A53" s="40" t="s">
        <v>90</v>
      </c>
      <c r="B53" s="41">
        <v>265.55565713712593</v>
      </c>
      <c r="C53" s="41">
        <v>1.798746970387296</v>
      </c>
    </row>
    <row r="54" spans="1:3">
      <c r="A54" s="40" t="s">
        <v>91</v>
      </c>
      <c r="B54" s="41">
        <v>266.30277405878672</v>
      </c>
      <c r="C54" s="41">
        <v>1.8662418870038608</v>
      </c>
    </row>
    <row r="55" spans="1:3">
      <c r="A55" s="40" t="s">
        <v>92</v>
      </c>
      <c r="B55" s="41">
        <v>267.04619410432377</v>
      </c>
      <c r="C55" s="41">
        <v>1.9476812754963291</v>
      </c>
    </row>
    <row r="56" spans="1:3">
      <c r="A56" s="40" t="s">
        <v>93</v>
      </c>
      <c r="B56" s="41">
        <v>267.79074617660751</v>
      </c>
      <c r="C56" s="41">
        <v>2.1153497984688476</v>
      </c>
    </row>
    <row r="57" spans="1:3">
      <c r="A57" s="40" t="s">
        <v>94</v>
      </c>
      <c r="B57" s="41">
        <v>268.53672406023367</v>
      </c>
      <c r="C57" s="41">
        <v>2.2952491513257569</v>
      </c>
    </row>
    <row r="58" spans="1:3">
      <c r="A58" s="40" t="s">
        <v>95</v>
      </c>
      <c r="B58" s="41">
        <v>269.28594622986509</v>
      </c>
      <c r="C58" s="41">
        <v>2.3918950689934615</v>
      </c>
    </row>
    <row r="59" spans="1:3">
      <c r="A59" s="40" t="s">
        <v>96</v>
      </c>
      <c r="B59" s="41">
        <v>270.04219286975547</v>
      </c>
      <c r="C59" s="41">
        <v>2.4620402977922242</v>
      </c>
    </row>
    <row r="60" spans="1:3">
      <c r="A60" s="40" t="s">
        <v>97</v>
      </c>
      <c r="B60" s="41">
        <v>270.80196573282967</v>
      </c>
      <c r="C60" s="41">
        <v>2.5914591834971934</v>
      </c>
    </row>
  </sheetData>
  <mergeCells count="3">
    <mergeCell ref="A10:F10"/>
    <mergeCell ref="E30:J30"/>
    <mergeCell ref="I22:K24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26A77-DD3C-40A7-908C-89DB3F2364A7}">
  <dimension ref="A1:M10"/>
  <sheetViews>
    <sheetView workbookViewId="0">
      <selection activeCell="D45" sqref="D45"/>
    </sheetView>
  </sheetViews>
  <sheetFormatPr defaultRowHeight="14.25"/>
  <cols>
    <col min="1" max="1" width="13.53125" bestFit="1" customWidth="1"/>
    <col min="2" max="2" width="13.3984375" bestFit="1" customWidth="1"/>
    <col min="3" max="3" width="11.86328125" bestFit="1" customWidth="1"/>
    <col min="7" max="7" width="10.6640625" customWidth="1"/>
    <col min="8" max="13" width="11.9296875" customWidth="1"/>
  </cols>
  <sheetData>
    <row r="1" spans="1:13">
      <c r="A1" t="s">
        <v>128</v>
      </c>
      <c r="B1" s="74">
        <f>B2/2</f>
        <v>413319</v>
      </c>
    </row>
    <row r="2" spans="1:13">
      <c r="A2">
        <v>2026</v>
      </c>
      <c r="B2" s="7">
        <f>(Calculos!J14/12)*6</f>
        <v>826638</v>
      </c>
    </row>
    <row r="3" spans="1:13">
      <c r="A3">
        <v>2027</v>
      </c>
      <c r="B3" s="74">
        <f>Calculos!J15</f>
        <v>1659001.5</v>
      </c>
    </row>
    <row r="4" spans="1:13">
      <c r="A4">
        <v>2028</v>
      </c>
      <c r="B4" s="74">
        <f>Calculos!J16</f>
        <v>1677984</v>
      </c>
    </row>
    <row r="5" spans="1:13">
      <c r="A5">
        <v>2029</v>
      </c>
      <c r="B5" s="74">
        <f>Calculos!J17</f>
        <v>1705204.5</v>
      </c>
    </row>
    <row r="6" spans="1:13">
      <c r="A6">
        <v>2030</v>
      </c>
      <c r="B6" s="74">
        <f>Calculos!J18</f>
        <v>1714643</v>
      </c>
      <c r="C6" s="70">
        <f>B6/2</f>
        <v>857321.5</v>
      </c>
    </row>
    <row r="7" spans="1:13">
      <c r="A7">
        <v>2031</v>
      </c>
      <c r="B7" s="7">
        <f>Calculos!E26</f>
        <v>1805959</v>
      </c>
    </row>
    <row r="8" spans="1:13">
      <c r="A8" t="s">
        <v>129</v>
      </c>
      <c r="B8" s="74">
        <f>B7/2</f>
        <v>902979.5</v>
      </c>
    </row>
    <row r="9" spans="1:13" ht="30" customHeight="1">
      <c r="G9" s="86" t="s">
        <v>130</v>
      </c>
      <c r="H9" s="76" t="s">
        <v>132</v>
      </c>
      <c r="I9" s="76">
        <v>2027</v>
      </c>
      <c r="J9" s="76">
        <v>2028</v>
      </c>
      <c r="K9" s="76">
        <v>2029</v>
      </c>
      <c r="L9" s="76">
        <v>2030</v>
      </c>
      <c r="M9" s="76" t="s">
        <v>131</v>
      </c>
    </row>
    <row r="10" spans="1:13" ht="30" customHeight="1">
      <c r="A10" t="s">
        <v>133</v>
      </c>
      <c r="B10" s="9">
        <f>SUM(B8,B3:B6,B1)</f>
        <v>8073131.5</v>
      </c>
      <c r="G10" s="86"/>
      <c r="H10" s="75">
        <f>(B1)/1000000</f>
        <v>0.41331899999999999</v>
      </c>
      <c r="I10" s="75">
        <f>(B3)/1000000</f>
        <v>1.6590015</v>
      </c>
      <c r="J10" s="75">
        <f>(B4)/1000000</f>
        <v>1.6779839999999999</v>
      </c>
      <c r="K10" s="75">
        <f>(B5)/1000000</f>
        <v>1.7052045</v>
      </c>
      <c r="L10" s="75">
        <f>(B6)/1000000</f>
        <v>1.7146429999999999</v>
      </c>
      <c r="M10" s="75">
        <f>(B8)/1000000</f>
        <v>0.90297950000000005</v>
      </c>
    </row>
  </sheetData>
  <mergeCells count="1">
    <mergeCell ref="G9:G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7c6bbab223543de9e4022f40afdb6721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38b5c9aff4ebdd8f42543dbd4f1e2cdd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Props1.xml><?xml version="1.0" encoding="utf-8"?>
<ds:datastoreItem xmlns:ds="http://schemas.openxmlformats.org/officeDocument/2006/customXml" ds:itemID="{790E732C-DFAD-406F-9885-AE1F9B949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F26E80-A74C-49E5-86CD-3515DF742F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007B06-6310-4740-B815-327EE37AFC39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Datos Compraventa</vt:lpstr>
      <vt:lpstr>Censo</vt:lpstr>
      <vt:lpstr>Calculos</vt:lpstr>
      <vt:lpstr>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Ortiz Ponce</dc:creator>
  <cp:lastModifiedBy>Diego Ortiz Ponce</cp:lastModifiedBy>
  <dcterms:created xsi:type="dcterms:W3CDTF">2015-06-05T18:17:20Z</dcterms:created>
  <dcterms:modified xsi:type="dcterms:W3CDTF">2026-01-08T20:54:39Z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