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ronaldrivas/Documents/El Estudio Conciente/OPAL/Informes/322 _ Proyecto del Senado 797/"/>
    </mc:Choice>
  </mc:AlternateContent>
  <xr:revisionPtr revIDLastSave="0" documentId="13_ncr:1_{ABA3F4A3-B8BD-934D-8AD0-757AEE4D5A27}" xr6:coauthVersionLast="47" xr6:coauthVersionMax="47" xr10:uidLastSave="{00000000-0000-0000-0000-000000000000}"/>
  <bookViews>
    <workbookView xWindow="0" yWindow="660" windowWidth="30240" windowHeight="18980" activeTab="2" xr2:uid="{B932896A-A92A-497C-AF27-792FA6F58BF4}"/>
  </bookViews>
  <sheets>
    <sheet name="Tabla 1" sheetId="5" r:id="rId1"/>
    <sheet name="Tabla2" sheetId="6" r:id="rId2"/>
    <sheet name="Tabla3" sheetId="8" r:id="rId3"/>
    <sheet name="Tabla4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8" l="1"/>
  <c r="F4" i="5"/>
  <c r="F5" i="5"/>
  <c r="F6" i="5"/>
  <c r="F7" i="5"/>
  <c r="F8" i="5"/>
  <c r="F9" i="5"/>
  <c r="F3" i="5"/>
  <c r="H4" i="5"/>
  <c r="G6" i="8"/>
  <c r="G8" i="8"/>
  <c r="G9" i="8"/>
  <c r="H7" i="5"/>
  <c r="F10" i="8"/>
  <c r="G10" i="8" s="1"/>
  <c r="E11" i="8"/>
  <c r="E10" i="8"/>
  <c r="F9" i="8"/>
  <c r="E9" i="8"/>
  <c r="F8" i="8"/>
  <c r="E8" i="8"/>
  <c r="F6" i="8"/>
  <c r="E6" i="8"/>
  <c r="F5" i="8"/>
  <c r="E5" i="8"/>
  <c r="G5" i="8" s="1"/>
  <c r="F4" i="8"/>
  <c r="E4" i="8"/>
  <c r="G4" i="8" s="1"/>
  <c r="F3" i="8"/>
  <c r="E3" i="8"/>
  <c r="G3" i="8" s="1"/>
  <c r="F8" i="7"/>
  <c r="E11" i="7"/>
  <c r="F5" i="7"/>
  <c r="F9" i="7"/>
  <c r="F4" i="7"/>
  <c r="F7" i="7"/>
  <c r="F6" i="7"/>
  <c r="E12" i="7"/>
  <c r="E5" i="7"/>
  <c r="E6" i="7"/>
  <c r="E7" i="7"/>
  <c r="E8" i="7"/>
  <c r="E9" i="7"/>
  <c r="E10" i="7"/>
  <c r="F10" i="7"/>
  <c r="E4" i="7"/>
  <c r="D10" i="5"/>
  <c r="D11" i="5"/>
  <c r="H11" i="5" s="1"/>
  <c r="D9" i="5"/>
  <c r="H10" i="5" s="1"/>
  <c r="D8" i="5"/>
  <c r="H8" i="5" s="1"/>
  <c r="D7" i="5"/>
  <c r="D6" i="5"/>
  <c r="H6" i="5" s="1"/>
  <c r="D5" i="5"/>
  <c r="H5" i="5" s="1"/>
  <c r="D4" i="5"/>
  <c r="E13" i="7" l="1"/>
  <c r="G4" i="7"/>
  <c r="F11" i="8"/>
  <c r="G11" i="8" s="1"/>
  <c r="E12" i="8"/>
  <c r="F11" i="7"/>
  <c r="G11" i="7" s="1"/>
  <c r="G6" i="7"/>
  <c r="G10" i="7"/>
  <c r="G5" i="7"/>
  <c r="G8" i="7"/>
  <c r="G7" i="7"/>
  <c r="G9" i="7"/>
  <c r="E12" i="5"/>
  <c r="I4" i="5" s="1"/>
  <c r="J4" i="5" s="1"/>
  <c r="H9" i="5"/>
  <c r="I8" i="5" l="1"/>
  <c r="J8" i="5" s="1"/>
  <c r="I9" i="5"/>
  <c r="F12" i="7"/>
  <c r="G12" i="7" s="1"/>
  <c r="G13" i="7" s="1"/>
  <c r="J9" i="5"/>
  <c r="I10" i="5"/>
  <c r="J10" i="5" s="1"/>
  <c r="I11" i="5"/>
  <c r="J11" i="5" s="1"/>
  <c r="I6" i="5"/>
  <c r="J6" i="5" s="1"/>
  <c r="I5" i="5"/>
  <c r="J5" i="5" s="1"/>
  <c r="J12" i="5" s="1"/>
  <c r="I7" i="5"/>
  <c r="J7" i="5" s="1"/>
  <c r="F12" i="8" l="1"/>
  <c r="G12" i="8" s="1"/>
  <c r="F13" i="7"/>
  <c r="B13" i="7" s="1"/>
  <c r="B12" i="8" l="1"/>
</calcChain>
</file>

<file path=xl/sharedStrings.xml><?xml version="1.0" encoding="utf-8"?>
<sst xmlns="http://schemas.openxmlformats.org/spreadsheetml/2006/main" count="30" uniqueCount="22">
  <si>
    <t>Año Fiscal</t>
  </si>
  <si>
    <t>JSAF: Plan Fiscal</t>
  </si>
  <si>
    <t>Apoyo del Gobierno Central</t>
  </si>
  <si>
    <t>Transferencia del ELA</t>
  </si>
  <si>
    <t xml:space="preserve">Prohibido </t>
  </si>
  <si>
    <t>Contratación de servicios profesionales o nombramientos de asesoría</t>
  </si>
  <si>
    <t>Festivales, eventos culturales, fiestas de temporada, actos de juramentación, etc</t>
  </si>
  <si>
    <t>Viajes oficiales</t>
  </si>
  <si>
    <t>Bonificación, dietas y millaje</t>
  </si>
  <si>
    <t>Monumentos, plazas u obras de arte urbano</t>
  </si>
  <si>
    <t>Publicidad en medios de comunicación o redes sociales</t>
  </si>
  <si>
    <t>Gatos de representación y relaciones públicas</t>
  </si>
  <si>
    <t>Nómina o aumentos salariales a empleados de confianza</t>
  </si>
  <si>
    <t xml:space="preserve">Adquisición de vehículos de motor para alcaldes o empleados de confianza </t>
  </si>
  <si>
    <t>JSAF | OGP</t>
  </si>
  <si>
    <t xml:space="preserve">Presupuestado </t>
  </si>
  <si>
    <t>Gastado</t>
  </si>
  <si>
    <t>Año fiscal</t>
  </si>
  <si>
    <t>Promedio</t>
  </si>
  <si>
    <t>Discrepancia</t>
  </si>
  <si>
    <t>Proporción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</si>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</sst>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"/>
    <numFmt numFmtId="165" formatCode="0.0%"/>
    <numFmt numFmtId="166" formatCode="&quot;$&quot;#,##0.00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0"/>
      <name val="Myriad Pro Condensed"/>
    </font>
    <font>
      <sz val="12"/>
      <color theme="1"/>
      <name val="Myriad Pro Condensed"/>
    </font>
    <font>
      <b/>
      <sz val="12"/>
      <color theme="0"/>
      <name val="MyriadPro-Cond"/>
    </font>
    <font>
      <sz val="12"/>
      <color theme="1"/>
      <name val="MyriadPro-Cond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194A6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44" fontId="0" fillId="0" borderId="0" xfId="1" applyFont="1"/>
    <xf numFmtId="164" fontId="0" fillId="0" borderId="0" xfId="0" applyNumberFormat="1" applyAlignment="1">
      <alignment horizontal="center"/>
    </xf>
    <xf numFmtId="165" fontId="0" fillId="0" borderId="0" xfId="2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166" fontId="0" fillId="0" borderId="0" xfId="0" applyNumberFormat="1"/>
    <xf numFmtId="0" fontId="3" fillId="0" borderId="0" xfId="0" applyFont="1" applyAlignment="1">
      <alignment horizontal="center" vertical="center" wrapText="1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4" fillId="4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/>
    </xf>
    <xf numFmtId="165" fontId="5" fillId="0" borderId="4" xfId="2" applyNumberFormat="1" applyFont="1" applyFill="1" applyBorder="1" applyAlignment="1">
      <alignment horizontal="center" vertical="center" wrapText="1"/>
    </xf>
    <xf numFmtId="9" fontId="5" fillId="0" borderId="4" xfId="2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80BCF-5F4E-45C7-BB4D-B879DD683B8E}">
  <dimension ref="A1:J12"/>
  <sheetViews>
    <sheetView workbookViewId="0">
      <selection activeCell="L11" sqref="L11"/>
    </sheetView>
  </sheetViews>
  <sheetFormatPr baseColWidth="10" defaultRowHeight="15"/>
  <cols>
    <col min="3" max="3" width="7.1640625" bestFit="1" customWidth="1"/>
    <col min="4" max="4" width="11" bestFit="1" customWidth="1"/>
    <col min="5" max="5" width="15" bestFit="1" customWidth="1"/>
    <col min="6" max="6" width="12.1640625" bestFit="1" customWidth="1"/>
    <col min="9" max="9" width="7.6640625" customWidth="1"/>
  </cols>
  <sheetData>
    <row r="1" spans="1:10" ht="16" thickBot="1">
      <c r="A1" s="12" t="s">
        <v>1</v>
      </c>
      <c r="B1" s="13"/>
    </row>
    <row r="2" spans="1:10" ht="51">
      <c r="C2" s="14" t="s">
        <v>0</v>
      </c>
      <c r="D2" s="14" t="s">
        <v>2</v>
      </c>
      <c r="E2" s="14" t="s">
        <v>3</v>
      </c>
      <c r="F2" s="14" t="s">
        <v>20</v>
      </c>
    </row>
    <row r="3" spans="1:10" ht="16">
      <c r="C3" s="15">
        <v>2018</v>
      </c>
      <c r="D3" s="16">
        <v>256</v>
      </c>
      <c r="E3" s="17">
        <v>219.7</v>
      </c>
      <c r="F3" s="18">
        <f>E3/D3</f>
        <v>0.85820312499999996</v>
      </c>
    </row>
    <row r="4" spans="1:10" ht="16">
      <c r="C4" s="15">
        <v>2019</v>
      </c>
      <c r="D4" s="16">
        <f>176+55</f>
        <v>231</v>
      </c>
      <c r="E4" s="17">
        <v>176</v>
      </c>
      <c r="F4" s="18">
        <f t="shared" ref="F4:F11" si="0">E4/D4</f>
        <v>0.76190476190476186</v>
      </c>
      <c r="H4" s="6">
        <f t="shared" ref="H4:H11" si="1">(D4-D3)/D3</f>
        <v>-9.765625E-2</v>
      </c>
      <c r="I4" s="6">
        <f t="shared" ref="I4:I11" si="2">D4/E$12</f>
        <v>0.15365172276174005</v>
      </c>
      <c r="J4" s="6">
        <f>H4*I4</f>
        <v>-1.5005051050951177E-2</v>
      </c>
    </row>
    <row r="5" spans="1:10" ht="16">
      <c r="C5" s="15">
        <v>2020</v>
      </c>
      <c r="D5" s="16">
        <f>132+17</f>
        <v>149</v>
      </c>
      <c r="E5" s="17">
        <v>132</v>
      </c>
      <c r="F5" s="18">
        <f t="shared" si="0"/>
        <v>0.88590604026845643</v>
      </c>
      <c r="H5" s="6">
        <f t="shared" si="1"/>
        <v>-0.354978354978355</v>
      </c>
      <c r="I5" s="6">
        <f t="shared" si="2"/>
        <v>9.9108686976187299E-2</v>
      </c>
      <c r="J5" s="6">
        <f t="shared" ref="J5:J11" si="3">H5*I5</f>
        <v>-3.5181438666871685E-2</v>
      </c>
    </row>
    <row r="6" spans="1:10" ht="16">
      <c r="C6" s="15">
        <v>2021</v>
      </c>
      <c r="D6" s="16">
        <f>132+47</f>
        <v>179</v>
      </c>
      <c r="E6" s="17">
        <v>132</v>
      </c>
      <c r="F6" s="18">
        <f t="shared" si="0"/>
        <v>0.73743016759776536</v>
      </c>
      <c r="H6" s="6">
        <f t="shared" si="1"/>
        <v>0.20134228187919462</v>
      </c>
      <c r="I6" s="6">
        <f t="shared" si="2"/>
        <v>0.11906345616602368</v>
      </c>
      <c r="J6" s="6">
        <f>H6*I6</f>
        <v>2.3972507952890673E-2</v>
      </c>
    </row>
    <row r="7" spans="1:10" ht="16">
      <c r="C7" s="15">
        <v>2022</v>
      </c>
      <c r="D7" s="16">
        <f>88+51</f>
        <v>139</v>
      </c>
      <c r="E7" s="17">
        <v>88</v>
      </c>
      <c r="F7" s="18">
        <f t="shared" si="0"/>
        <v>0.63309352517985606</v>
      </c>
      <c r="H7" s="6">
        <f t="shared" si="1"/>
        <v>-0.22346368715083798</v>
      </c>
      <c r="I7" s="6">
        <f t="shared" si="2"/>
        <v>9.2457097246241848E-2</v>
      </c>
      <c r="J7" s="6">
        <f t="shared" si="3"/>
        <v>-2.0660803853908793E-2</v>
      </c>
    </row>
    <row r="8" spans="1:10" ht="16">
      <c r="C8" s="15">
        <v>2023</v>
      </c>
      <c r="D8" s="16">
        <f>44+57+55</f>
        <v>156</v>
      </c>
      <c r="E8" s="17">
        <v>44</v>
      </c>
      <c r="F8" s="18">
        <f t="shared" si="0"/>
        <v>0.28205128205128205</v>
      </c>
      <c r="H8" s="6">
        <f t="shared" si="1"/>
        <v>0.1223021582733813</v>
      </c>
      <c r="I8" s="6">
        <f t="shared" si="2"/>
        <v>0.10376479978714913</v>
      </c>
      <c r="J8" s="6">
        <f t="shared" si="3"/>
        <v>1.2690658966773634E-2</v>
      </c>
    </row>
    <row r="9" spans="1:10" ht="16">
      <c r="C9" s="15">
        <v>2024</v>
      </c>
      <c r="D9" s="16">
        <f>44+62+55</f>
        <v>161</v>
      </c>
      <c r="E9" s="17">
        <v>44</v>
      </c>
      <c r="F9" s="18">
        <f t="shared" si="0"/>
        <v>0.27329192546583853</v>
      </c>
      <c r="H9" s="6">
        <f t="shared" si="1"/>
        <v>3.2051282051282048E-2</v>
      </c>
      <c r="I9" s="6">
        <f t="shared" si="2"/>
        <v>0.10709059465212185</v>
      </c>
      <c r="J9" s="6">
        <f t="shared" si="3"/>
        <v>3.4323908542346743E-3</v>
      </c>
    </row>
    <row r="10" spans="1:10" ht="16">
      <c r="C10" s="15">
        <v>2025</v>
      </c>
      <c r="D10" s="16">
        <f>60+62</f>
        <v>122</v>
      </c>
      <c r="E10" s="17" t="s">
        <v>21</v>
      </c>
      <c r="F10" s="19">
        <v>0</v>
      </c>
      <c r="H10" s="6">
        <f t="shared" si="1"/>
        <v>-0.24223602484472051</v>
      </c>
      <c r="I10" s="6">
        <f t="shared" si="2"/>
        <v>8.1149394705334568E-2</v>
      </c>
      <c r="J10" s="6">
        <f t="shared" si="3"/>
        <v>-1.9657306791975457E-2</v>
      </c>
    </row>
    <row r="11" spans="1:10" ht="16">
      <c r="C11" s="15">
        <v>2026</v>
      </c>
      <c r="D11" s="16">
        <f>(58560+51840)/1000</f>
        <v>110.4</v>
      </c>
      <c r="E11" s="17" t="s">
        <v>21</v>
      </c>
      <c r="F11" s="19">
        <v>0</v>
      </c>
      <c r="H11" s="6">
        <f t="shared" si="1"/>
        <v>-9.508196721311471E-2</v>
      </c>
      <c r="I11" s="6">
        <f t="shared" si="2"/>
        <v>7.343355061859784E-2</v>
      </c>
      <c r="J11" s="6">
        <f t="shared" si="3"/>
        <v>-6.9822064522601195E-3</v>
      </c>
    </row>
    <row r="12" spans="1:10">
      <c r="E12" s="5">
        <f>SUM(D3:D11)</f>
        <v>1503.4</v>
      </c>
      <c r="J12" s="7">
        <f>SUM(J4:J11)</f>
        <v>-5.7391249042068257E-2</v>
      </c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210BB-4DAF-4113-8E33-509F7518A33D}">
  <dimension ref="A1:E11"/>
  <sheetViews>
    <sheetView workbookViewId="0">
      <selection activeCell="E22" sqref="E22"/>
    </sheetView>
  </sheetViews>
  <sheetFormatPr baseColWidth="10" defaultRowHeight="15"/>
  <cols>
    <col min="5" max="5" width="76" customWidth="1"/>
  </cols>
  <sheetData>
    <row r="1" spans="1:5" ht="16" thickBot="1">
      <c r="A1" s="12" t="s">
        <v>1</v>
      </c>
      <c r="B1" s="13"/>
    </row>
    <row r="2" spans="1:5" ht="16">
      <c r="E2" s="20" t="s">
        <v>4</v>
      </c>
    </row>
    <row r="3" spans="1:5" ht="16">
      <c r="E3" s="21" t="s">
        <v>5</v>
      </c>
    </row>
    <row r="4" spans="1:5" ht="16">
      <c r="E4" s="21" t="s">
        <v>6</v>
      </c>
    </row>
    <row r="5" spans="1:5" ht="16">
      <c r="E5" s="21" t="s">
        <v>12</v>
      </c>
    </row>
    <row r="6" spans="1:5" ht="16">
      <c r="E6" s="21" t="s">
        <v>7</v>
      </c>
    </row>
    <row r="7" spans="1:5" ht="16">
      <c r="E7" s="21" t="s">
        <v>8</v>
      </c>
    </row>
    <row r="8" spans="1:5" ht="16">
      <c r="E8" s="21" t="s">
        <v>9</v>
      </c>
    </row>
    <row r="9" spans="1:5" ht="16">
      <c r="E9" s="21" t="s">
        <v>10</v>
      </c>
    </row>
    <row r="10" spans="1:5" ht="16">
      <c r="E10" s="21" t="s">
        <v>11</v>
      </c>
    </row>
    <row r="11" spans="1:5" ht="16">
      <c r="E11" s="21" t="s">
        <v>13</v>
      </c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7FF4C-FB4C-4623-A687-977B86C31326}">
  <dimension ref="A1:I12"/>
  <sheetViews>
    <sheetView tabSelected="1" workbookViewId="0">
      <selection activeCell="H7" sqref="H7"/>
    </sheetView>
  </sheetViews>
  <sheetFormatPr baseColWidth="10" defaultRowHeight="15"/>
  <cols>
    <col min="4" max="4" width="11.1640625" bestFit="1" customWidth="1"/>
    <col min="5" max="5" width="16.83203125" bestFit="1" customWidth="1"/>
    <col min="6" max="6" width="10.5" bestFit="1" customWidth="1"/>
    <col min="7" max="7" width="14.33203125" bestFit="1" customWidth="1"/>
    <col min="8" max="8" width="8.33203125" bestFit="1" customWidth="1"/>
  </cols>
  <sheetData>
    <row r="1" spans="1:9" ht="16" thickBot="1">
      <c r="A1" s="12" t="s">
        <v>14</v>
      </c>
      <c r="B1" s="13"/>
    </row>
    <row r="2" spans="1:9" ht="16">
      <c r="D2" s="1" t="s">
        <v>17</v>
      </c>
      <c r="E2" s="1" t="s">
        <v>15</v>
      </c>
      <c r="F2" s="1" t="s">
        <v>16</v>
      </c>
      <c r="G2" s="1" t="s">
        <v>19</v>
      </c>
    </row>
    <row r="3" spans="1:9" ht="16">
      <c r="D3" s="2">
        <v>2018</v>
      </c>
      <c r="E3" s="3">
        <f>7447134000/1000000</f>
        <v>7447.134</v>
      </c>
      <c r="F3" s="3">
        <f>9235697000/1000000</f>
        <v>9235.6970000000001</v>
      </c>
      <c r="G3" s="3">
        <f t="shared" ref="G3:G12" si="0">E3-F3</f>
        <v>-1788.5630000000001</v>
      </c>
    </row>
    <row r="4" spans="1:9" ht="16">
      <c r="D4" s="2">
        <v>2019</v>
      </c>
      <c r="E4" s="3">
        <f>8757524000/1000000</f>
        <v>8757.5239999999994</v>
      </c>
      <c r="F4" s="3">
        <f>8790966000/1000000</f>
        <v>8790.9660000000003</v>
      </c>
      <c r="G4" s="3">
        <f t="shared" si="0"/>
        <v>-33.442000000000917</v>
      </c>
    </row>
    <row r="5" spans="1:9" ht="16">
      <c r="D5" s="2">
        <v>2020</v>
      </c>
      <c r="E5" s="3">
        <f>9051118000/1000000</f>
        <v>9051.1180000000004</v>
      </c>
      <c r="F5" s="3">
        <f>8756248000/1000000</f>
        <v>8756.2479999999996</v>
      </c>
      <c r="G5" s="3">
        <f t="shared" si="0"/>
        <v>294.8700000000008</v>
      </c>
    </row>
    <row r="6" spans="1:9" ht="16">
      <c r="D6" s="2">
        <v>2021</v>
      </c>
      <c r="E6" s="3">
        <f>10045190000/1000000</f>
        <v>10045.19</v>
      </c>
      <c r="F6" s="3">
        <f>10172210000/1000000</f>
        <v>10172.209999999999</v>
      </c>
      <c r="G6" s="3">
        <f t="shared" si="0"/>
        <v>-127.01999999999862</v>
      </c>
    </row>
    <row r="7" spans="1:9" ht="16">
      <c r="D7" s="2">
        <v>2022</v>
      </c>
      <c r="E7" s="3">
        <v>10112.4</v>
      </c>
      <c r="F7" s="3">
        <v>22789.5</v>
      </c>
      <c r="G7" s="3">
        <f t="shared" si="0"/>
        <v>-12677.1</v>
      </c>
    </row>
    <row r="8" spans="1:9" ht="16">
      <c r="D8" s="2">
        <v>2023</v>
      </c>
      <c r="E8" s="3">
        <f>12426459000/1000000</f>
        <v>12426.459000000001</v>
      </c>
      <c r="F8" s="3">
        <f>11681077000/1000000</f>
        <v>11681.076999999999</v>
      </c>
      <c r="G8" s="3">
        <f t="shared" si="0"/>
        <v>745.38200000000143</v>
      </c>
    </row>
    <row r="9" spans="1:9" ht="16">
      <c r="D9" s="2">
        <v>2024</v>
      </c>
      <c r="E9" s="3">
        <f>12739879000/1000000</f>
        <v>12739.879000000001</v>
      </c>
      <c r="F9" s="3">
        <f>13729807000/1000000</f>
        <v>13729.807000000001</v>
      </c>
      <c r="G9" s="3">
        <f t="shared" si="0"/>
        <v>-989.92799999999988</v>
      </c>
    </row>
    <row r="10" spans="1:9" ht="16">
      <c r="D10" s="2">
        <v>2025</v>
      </c>
      <c r="E10" s="3">
        <f>13062302000/1000000</f>
        <v>13062.302</v>
      </c>
      <c r="F10" s="3">
        <f>AVERAGE(F3:F6,F8:F9)</f>
        <v>10394.334166666666</v>
      </c>
      <c r="G10" s="3">
        <f t="shared" si="0"/>
        <v>2667.9678333333341</v>
      </c>
    </row>
    <row r="11" spans="1:9" ht="16">
      <c r="D11" s="2">
        <v>2026</v>
      </c>
      <c r="E11" s="3">
        <f>13095315000/1000000</f>
        <v>13095.315000000001</v>
      </c>
      <c r="F11" s="3">
        <f>AVERAGE(F3:F6,F8:F10)</f>
        <v>10394.334166666666</v>
      </c>
      <c r="G11" s="3">
        <f t="shared" si="0"/>
        <v>2700.9808333333349</v>
      </c>
    </row>
    <row r="12" spans="1:9" ht="17">
      <c r="B12" s="9">
        <f>E12-F12</f>
        <v>-1022.9835925925945</v>
      </c>
      <c r="D12" s="2" t="s">
        <v>18</v>
      </c>
      <c r="E12" s="3">
        <f>AVERAGE(E3:E11)</f>
        <v>10748.591222222221</v>
      </c>
      <c r="F12" s="3">
        <f>AVERAGE(F3:F11)</f>
        <v>11771.574814814816</v>
      </c>
      <c r="G12" s="3">
        <f t="shared" si="0"/>
        <v>-1022.9835925925945</v>
      </c>
      <c r="I12" s="9"/>
    </row>
  </sheetData>
  <mergeCells count="1">
    <mergeCell ref="A1:B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F6863-87DF-406D-9BFE-51314EAAE3C6}">
  <dimension ref="A1:K27"/>
  <sheetViews>
    <sheetView topLeftCell="C1" workbookViewId="0">
      <selection activeCell="D15" sqref="D15"/>
    </sheetView>
  </sheetViews>
  <sheetFormatPr baseColWidth="10" defaultRowHeight="15"/>
  <cols>
    <col min="4" max="4" width="11.1640625" bestFit="1" customWidth="1"/>
    <col min="5" max="5" width="16.83203125" bestFit="1" customWidth="1"/>
    <col min="6" max="6" width="10.5" bestFit="1" customWidth="1"/>
    <col min="7" max="7" width="9.33203125" bestFit="1" customWidth="1"/>
    <col min="8" max="8" width="16.5" bestFit="1" customWidth="1"/>
    <col min="10" max="10" width="17.1640625" bestFit="1" customWidth="1"/>
  </cols>
  <sheetData>
    <row r="1" spans="1:9" ht="16" thickBot="1">
      <c r="A1" s="12" t="s">
        <v>14</v>
      </c>
      <c r="B1" s="13"/>
    </row>
    <row r="3" spans="1:9" ht="16">
      <c r="D3" s="1" t="s">
        <v>17</v>
      </c>
      <c r="E3" s="1" t="s">
        <v>15</v>
      </c>
      <c r="F3" s="1" t="s">
        <v>16</v>
      </c>
      <c r="G3" s="1" t="s">
        <v>19</v>
      </c>
    </row>
    <row r="4" spans="1:9" ht="16">
      <c r="D4" s="2">
        <v>2018</v>
      </c>
      <c r="E4" s="3">
        <f>7447134000/1000000</f>
        <v>7447.134</v>
      </c>
      <c r="F4" s="3">
        <f>9235697000/1000000</f>
        <v>9235.6970000000001</v>
      </c>
      <c r="G4" s="3">
        <f t="shared" ref="G4:G12" si="0">E4-F4</f>
        <v>-1788.5630000000001</v>
      </c>
    </row>
    <row r="5" spans="1:9" ht="16">
      <c r="D5" s="2">
        <v>2019</v>
      </c>
      <c r="E5" s="3">
        <f>8757524000/1000000</f>
        <v>8757.5239999999994</v>
      </c>
      <c r="F5" s="3">
        <f>8790966000/1000000</f>
        <v>8790.9660000000003</v>
      </c>
      <c r="G5" s="3">
        <f t="shared" si="0"/>
        <v>-33.442000000000917</v>
      </c>
    </row>
    <row r="6" spans="1:9" ht="16">
      <c r="D6" s="2">
        <v>2020</v>
      </c>
      <c r="E6" s="3">
        <f>9051118000/1000000</f>
        <v>9051.1180000000004</v>
      </c>
      <c r="F6" s="3">
        <f>8756248000/1000000</f>
        <v>8756.2479999999996</v>
      </c>
      <c r="G6" s="3">
        <f t="shared" si="0"/>
        <v>294.8700000000008</v>
      </c>
    </row>
    <row r="7" spans="1:9" ht="16">
      <c r="D7" s="2">
        <v>2021</v>
      </c>
      <c r="E7" s="3">
        <f>10045190000/1000000</f>
        <v>10045.19</v>
      </c>
      <c r="F7" s="3">
        <f>10172210000/1000000</f>
        <v>10172.209999999999</v>
      </c>
      <c r="G7" s="3">
        <f t="shared" si="0"/>
        <v>-127.01999999999862</v>
      </c>
    </row>
    <row r="8" spans="1:9" ht="16">
      <c r="D8" s="2">
        <v>2022</v>
      </c>
      <c r="E8" s="3">
        <f>10112390000/1000000</f>
        <v>10112.39</v>
      </c>
      <c r="F8" s="3">
        <f>22789533000/1000000</f>
        <v>22789.532999999999</v>
      </c>
      <c r="G8" s="3">
        <f t="shared" si="0"/>
        <v>-12677.143</v>
      </c>
    </row>
    <row r="9" spans="1:9" ht="16">
      <c r="D9" s="2">
        <v>2023</v>
      </c>
      <c r="E9" s="3">
        <f>12426459000/1000000</f>
        <v>12426.459000000001</v>
      </c>
      <c r="F9" s="3">
        <f>11681077000/1000000</f>
        <v>11681.076999999999</v>
      </c>
      <c r="G9" s="3">
        <f t="shared" si="0"/>
        <v>745.38200000000143</v>
      </c>
    </row>
    <row r="10" spans="1:9" ht="16">
      <c r="D10" s="2">
        <v>2024</v>
      </c>
      <c r="E10" s="3">
        <f>12739879000/1000000</f>
        <v>12739.879000000001</v>
      </c>
      <c r="F10" s="3">
        <f>13729807000/1000000</f>
        <v>13729.807000000001</v>
      </c>
      <c r="G10" s="3">
        <f t="shared" si="0"/>
        <v>-989.92799999999988</v>
      </c>
      <c r="I10" s="9"/>
    </row>
    <row r="11" spans="1:9" ht="16">
      <c r="C11" s="8"/>
      <c r="D11" s="2">
        <v>2025</v>
      </c>
      <c r="E11" s="3">
        <f>13062302000/1000000</f>
        <v>13062.302</v>
      </c>
      <c r="F11" s="3">
        <f>AVERAGE(F4:F10)</f>
        <v>12165.076857142858</v>
      </c>
      <c r="G11" s="3">
        <f t="shared" si="0"/>
        <v>897.22514285714169</v>
      </c>
      <c r="I11" s="10"/>
    </row>
    <row r="12" spans="1:9" ht="16">
      <c r="C12" s="8"/>
      <c r="D12" s="2">
        <v>2026</v>
      </c>
      <c r="E12" s="3">
        <f>13095315000/1000000</f>
        <v>13095.315000000001</v>
      </c>
      <c r="F12" s="3">
        <f>AVERAGE(F4:F11)</f>
        <v>12165.076857142858</v>
      </c>
      <c r="G12" s="3">
        <f t="shared" si="0"/>
        <v>930.23814285714252</v>
      </c>
      <c r="I12" s="9"/>
    </row>
    <row r="13" spans="1:9" ht="17">
      <c r="B13" s="9">
        <f>E13-F13</f>
        <v>-1416.4867460317473</v>
      </c>
      <c r="D13" s="2" t="s">
        <v>18</v>
      </c>
      <c r="E13" s="3">
        <f>AVERAGE(E4:E12)</f>
        <v>10748.590111111111</v>
      </c>
      <c r="F13" s="3">
        <f>AVERAGE(F4:F12)</f>
        <v>12165.076857142858</v>
      </c>
      <c r="G13" s="3">
        <f>AVERAGE(G4:G12)</f>
        <v>-1416.486746031746</v>
      </c>
      <c r="H13" s="4"/>
      <c r="I13" s="10"/>
    </row>
    <row r="14" spans="1:9" ht="16">
      <c r="D14" s="11"/>
      <c r="E14" s="5"/>
      <c r="F14" s="5"/>
    </row>
    <row r="16" spans="1:9">
      <c r="D16" s="8"/>
      <c r="E16" s="5"/>
      <c r="F16" s="5"/>
    </row>
    <row r="17" spans="4:11">
      <c r="H17" s="9"/>
      <c r="I17" s="9"/>
      <c r="J17" s="9"/>
      <c r="K17" s="9"/>
    </row>
    <row r="27" spans="4:11" ht="16">
      <c r="D27" s="11"/>
      <c r="E27" s="5"/>
      <c r="F27" s="5"/>
    </row>
  </sheetData>
  <mergeCells count="1">
    <mergeCell ref="A1:B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23fbc9-fed8-4fe5-aa4f-ed739643a384">
      <Terms xmlns="http://schemas.microsoft.com/office/infopath/2007/PartnerControls"/>
    </lcf76f155ced4ddcb4097134ff3c332f>
    <TaxCatchAll xmlns="a09e65a3-c7c6-46c4-8cad-d2b1e4cef29c" xsi:nil="true"/>
    <SharedWithUsers xmlns="a09e65a3-c7c6-46c4-8cad-d2b1e4cef29c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01ACFC58A9B741966E24964F98E401" ma:contentTypeVersion="13" ma:contentTypeDescription="Create a new document." ma:contentTypeScope="" ma:versionID="7c6bbab223543de9e4022f40afdb6721">
  <xsd:schema xmlns:xsd="http://www.w3.org/2001/XMLSchema" xmlns:xs="http://www.w3.org/2001/XMLSchema" xmlns:p="http://schemas.microsoft.com/office/2006/metadata/properties" xmlns:ns2="1f23fbc9-fed8-4fe5-aa4f-ed739643a384" xmlns:ns3="a09e65a3-c7c6-46c4-8cad-d2b1e4cef29c" targetNamespace="http://schemas.microsoft.com/office/2006/metadata/properties" ma:root="true" ma:fieldsID="38b5c9aff4ebdd8f42543dbd4f1e2cdd" ns2:_="" ns3:_="">
    <xsd:import namespace="1f23fbc9-fed8-4fe5-aa4f-ed739643a384"/>
    <xsd:import namespace="a09e65a3-c7c6-46c4-8cad-d2b1e4cef2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3fbc9-fed8-4fe5-aa4f-ed739643a3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ea84bf1-a941-4ccc-bbe9-6e1a58d22e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e65a3-c7c6-46c4-8cad-d2b1e4cef29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e8b396a-6396-4d81-8fef-45dc7c2f2882}" ma:internalName="TaxCatchAll" ma:showField="CatchAllData" ma:web="a09e65a3-c7c6-46c4-8cad-d2b1e4cef2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6820B2-492C-4F63-BC8B-6142C41BCACD}">
  <ds:schemaRefs>
    <ds:schemaRef ds:uri="http://schemas.microsoft.com/office/2006/metadata/properties"/>
    <ds:schemaRef ds:uri="http://schemas.microsoft.com/office/infopath/2007/PartnerControls"/>
    <ds:schemaRef ds:uri="1f23fbc9-fed8-4fe5-aa4f-ed739643a384"/>
    <ds:schemaRef ds:uri="a09e65a3-c7c6-46c4-8cad-d2b1e4cef29c"/>
  </ds:schemaRefs>
</ds:datastoreItem>
</file>

<file path=customXml/itemProps2.xml><?xml version="1.0" encoding="utf-8"?>
<ds:datastoreItem xmlns:ds="http://schemas.openxmlformats.org/officeDocument/2006/customXml" ds:itemID="{54990ED1-7DBB-49AF-8425-7E53C2241B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23fbc9-fed8-4fe5-aa4f-ed739643a384"/>
    <ds:schemaRef ds:uri="a09e65a3-c7c6-46c4-8cad-d2b1e4cef2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D7387C0-41BF-498C-8455-F389BECC51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Tabla 1</vt:lpstr>
      <vt:lpstr>Tabla2</vt:lpstr>
      <vt:lpstr>Tabla3</vt:lpstr>
      <vt:lpstr>Tabla4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Fabian A. Otero Maldonado</dc:creator>
  <cp:lastModifiedBy>Ronald Rivas</cp:lastModifiedBy>
  <dcterms:created xsi:type="dcterms:W3CDTF">2025-10-30T19:12:00Z</dcterms:created>
  <dcterms:modified xsi:type="dcterms:W3CDTF">2026-02-03T20:15:12Z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0x0101009401ACFC58A9B741966E24964F98E401</vt:lpwstr>
  </property>
  <property fmtid="{D5CDD505-2E9C-101B-9397-08002B2CF9AE}" pid="3" name="MediaServiceImageTags">
    <vt:lpwstr/>
  </property>
  <property fmtid="{D5CDD505-2E9C-101B-9397-08002B2CF9AE}" pid="4" name="Order">
    <vt:r8>15794300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