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opalpr.sharepoint.com/sites/InformesAF2024/Shared Documents/👷‍♂️Informes Preliminares/PC 304/1. Datos/"/>
    </mc:Choice>
  </mc:AlternateContent>
  <xr:revisionPtr revIDLastSave="1061" documentId="8_{31E6AB6F-F47D-42B9-BBC8-CD6493FFC516}" xr6:coauthVersionLast="47" xr6:coauthVersionMax="47" xr10:uidLastSave="{D5D57450-1F64-4BD9-9D33-0ED4EE8F6942}"/>
  <bookViews>
    <workbookView xWindow="-4305" yWindow="-21600" windowWidth="26010" windowHeight="20985" firstSheet="3" activeTab="7" xr2:uid="{77BB7B5D-5A33-423C-BE97-AAF9DD734079}"/>
    <workbookView xWindow="21495" yWindow="-21600" windowWidth="26010" windowHeight="20985" firstSheet="3" activeTab="4" xr2:uid="{BD977783-C940-419B-B4D1-910CA39BFE62}"/>
  </bookViews>
  <sheets>
    <sheet name="Cash Balance GobPR" sheetId="2" r:id="rId1"/>
    <sheet name="Time Series Cash Balance GPR" sheetId="6" r:id="rId2"/>
    <sheet name="Estimado Preliminar" sheetId="5" r:id="rId3"/>
    <sheet name="FED Funds" sheetId="10" r:id="rId4"/>
    <sheet name="Estimado Efecto Fiscal " sheetId="11" r:id="rId5"/>
    <sheet name="ASSETS-GNP" sheetId="8" r:id="rId6"/>
    <sheet name="Grafica 1" sheetId="1" r:id="rId7"/>
    <sheet name="AVG CASH BALANCE" sheetId="12" r:id="rId8"/>
    <sheet name="Tabla 1" sheetId="3" r:id="rId9"/>
    <sheet name="Sheet1" sheetId="7" r:id="rId10"/>
    <sheet name="Grafica 2" sheetId="4" r:id="rId11"/>
    <sheet name="Sheet3" sheetId="9" r:id="rId12"/>
  </sheets>
  <definedNames>
    <definedName name="_xlnm._FilterDatabase" localSheetId="8" hidden="1">'Tabla 1'!$I$1:$J$13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1" l="1"/>
  <c r="B2" i="11"/>
  <c r="J17" i="12"/>
  <c r="I17" i="12"/>
  <c r="H17" i="12"/>
  <c r="J15" i="12"/>
  <c r="I15" i="12"/>
  <c r="H15" i="12"/>
  <c r="J14" i="12"/>
  <c r="J13" i="12"/>
  <c r="J12" i="12"/>
  <c r="J11" i="12"/>
  <c r="J10" i="12"/>
  <c r="J9" i="12"/>
  <c r="J8" i="12"/>
  <c r="J7" i="12"/>
  <c r="J6" i="12"/>
  <c r="J5" i="12"/>
  <c r="J4" i="12"/>
  <c r="J3" i="12"/>
  <c r="D15" i="12"/>
  <c r="C15" i="12"/>
  <c r="C17" i="12" s="1"/>
  <c r="E4" i="12"/>
  <c r="E15" i="12" s="1"/>
  <c r="E5" i="12"/>
  <c r="E6" i="12"/>
  <c r="E7" i="12"/>
  <c r="E8" i="12"/>
  <c r="E9" i="12"/>
  <c r="E10" i="12"/>
  <c r="E11" i="12"/>
  <c r="E3" i="12"/>
  <c r="C9" i="1"/>
  <c r="F6" i="11" l="1"/>
  <c r="F4" i="11"/>
  <c r="G4" i="11" s="1"/>
  <c r="I6" i="11" s="1"/>
  <c r="J6" i="11" s="1"/>
  <c r="F2" i="11"/>
  <c r="G3" i="11" s="1"/>
  <c r="I3" i="11" s="1"/>
  <c r="J3" i="11" s="1"/>
  <c r="E19" i="9"/>
  <c r="G2" i="11" l="1"/>
  <c r="I2" i="11"/>
  <c r="J2" i="11" s="1"/>
  <c r="G7" i="11" l="1"/>
  <c r="G6" i="11"/>
  <c r="G5" i="11"/>
  <c r="I7" i="11" s="1"/>
  <c r="J7" i="11" s="1"/>
  <c r="Q36" i="6"/>
  <c r="M2" i="11" l="1"/>
  <c r="M3" i="11" s="1"/>
  <c r="O2" i="11" s="1"/>
  <c r="Q2" i="11" s="1"/>
  <c r="I8" i="11"/>
  <c r="J8" i="11" s="1"/>
  <c r="I9" i="11"/>
  <c r="J9" i="11" s="1"/>
  <c r="M4" i="11"/>
  <c r="M5" i="11" s="1"/>
  <c r="O4" i="11" s="1"/>
  <c r="Q4" i="11" s="1"/>
  <c r="I10" i="11"/>
  <c r="J10" i="11" s="1"/>
  <c r="I4" i="11"/>
  <c r="J4" i="11" s="1"/>
  <c r="I11" i="11"/>
  <c r="J11" i="11" s="1"/>
  <c r="M6" i="11"/>
  <c r="M7" i="11" s="1"/>
  <c r="O6" i="11" s="1"/>
  <c r="Q6" i="11" s="1"/>
  <c r="I5" i="11"/>
  <c r="J5" i="11" s="1"/>
  <c r="I12" i="11"/>
  <c r="J12" i="11" s="1"/>
  <c r="I13" i="11"/>
  <c r="J13" i="11" s="1"/>
  <c r="L2" i="11"/>
  <c r="L3" i="11" s="1"/>
  <c r="N2" i="11" s="1"/>
  <c r="P2" i="11" s="1"/>
  <c r="L6" i="11"/>
  <c r="L7" i="11" s="1"/>
  <c r="N6" i="11" s="1"/>
  <c r="P6" i="11" s="1"/>
  <c r="L4" i="11"/>
  <c r="L5" i="11" s="1"/>
  <c r="Q38" i="6"/>
  <c r="D68" i="8"/>
  <c r="D69" i="8"/>
  <c r="D70" i="8"/>
  <c r="D71" i="8"/>
  <c r="D72" i="8"/>
  <c r="D73" i="8"/>
  <c r="D74" i="8"/>
  <c r="D75" i="8"/>
  <c r="D76" i="8"/>
  <c r="D67" i="8"/>
  <c r="H76" i="8"/>
  <c r="F76" i="8"/>
  <c r="G76" i="8" s="1"/>
  <c r="F75" i="8"/>
  <c r="H75" i="8" s="1"/>
  <c r="F74" i="8"/>
  <c r="H74" i="8" s="1"/>
  <c r="F73" i="8"/>
  <c r="H73" i="8" s="1"/>
  <c r="F72" i="8"/>
  <c r="H72" i="8" s="1"/>
  <c r="F71" i="8"/>
  <c r="G71" i="8" s="1"/>
  <c r="F70" i="8"/>
  <c r="G70" i="8" s="1"/>
  <c r="F69" i="8"/>
  <c r="G69" i="8" s="1"/>
  <c r="H68" i="8"/>
  <c r="G68" i="8"/>
  <c r="F68" i="8"/>
  <c r="G67" i="8"/>
  <c r="E8" i="7"/>
  <c r="D8" i="7"/>
  <c r="F8" i="7"/>
  <c r="C8" i="7"/>
  <c r="E17" i="11" l="1"/>
  <c r="D19" i="11"/>
  <c r="C19" i="11"/>
  <c r="D17" i="11"/>
  <c r="C17" i="11"/>
  <c r="E18" i="11"/>
  <c r="F18" i="11"/>
  <c r="E19" i="11"/>
  <c r="F19" i="11"/>
  <c r="F17" i="11"/>
  <c r="N4" i="11"/>
  <c r="P4" i="11" s="1"/>
  <c r="G72" i="8"/>
  <c r="G73" i="8"/>
  <c r="G74" i="8"/>
  <c r="G75" i="8"/>
  <c r="H71" i="8"/>
  <c r="H69" i="8"/>
  <c r="H70" i="8"/>
  <c r="Q14" i="6"/>
  <c r="Q16" i="6"/>
  <c r="O16" i="6"/>
  <c r="B5" i="5"/>
  <c r="B6" i="5"/>
  <c r="D12" i="4"/>
  <c r="D13" i="4"/>
  <c r="C13" i="4"/>
  <c r="C12" i="4"/>
  <c r="D18" i="11" l="1"/>
  <c r="C18" i="11"/>
  <c r="S4" i="6"/>
  <c r="S5" i="6"/>
  <c r="S6" i="6"/>
  <c r="S7" i="6"/>
  <c r="S8" i="6"/>
  <c r="S2" i="6"/>
  <c r="S9" i="6"/>
  <c r="S3" i="6"/>
  <c r="D6" i="5"/>
  <c r="D5" i="5"/>
  <c r="D4" i="5"/>
  <c r="C6" i="5"/>
  <c r="C7" i="5"/>
  <c r="C5" i="5"/>
  <c r="C3" i="5"/>
  <c r="B10" i="5"/>
  <c r="B12" i="5" s="1"/>
  <c r="B13" i="5" s="1"/>
  <c r="B14" i="5" s="1"/>
  <c r="B9" i="5"/>
  <c r="B7" i="5"/>
  <c r="B3" i="5"/>
  <c r="E11" i="4" l="1"/>
  <c r="D4" i="4"/>
  <c r="D5" i="4"/>
  <c r="D6" i="4"/>
  <c r="D7" i="4"/>
  <c r="D8" i="4"/>
  <c r="D9" i="4"/>
  <c r="D10" i="4"/>
  <c r="D11" i="4"/>
  <c r="D3" i="4"/>
</calcChain>
</file>

<file path=xl/sharedStrings.xml><?xml version="1.0" encoding="utf-8"?>
<sst xmlns="http://schemas.openxmlformats.org/spreadsheetml/2006/main" count="243" uniqueCount="136">
  <si>
    <t>Balance de Efectivo al 31 de diciembre</t>
  </si>
  <si>
    <t>Summary of Bank Account Balances for the Government of Puerto Rico and its Instrumentalities Information as of February 28, 2019 March 29, 2019</t>
  </si>
  <si>
    <t>Fuente</t>
  </si>
  <si>
    <t>Balance Efectivo</t>
  </si>
  <si>
    <t>Año</t>
  </si>
  <si>
    <t>Categoría</t>
  </si>
  <si>
    <t>Treasury Single Account (G5)</t>
  </si>
  <si>
    <t>Public Corporations and Legally Separate Entities (G4)</t>
  </si>
  <si>
    <t>Pension Related (G3)</t>
  </si>
  <si>
    <t>Non-TSA Central Gov’t (G2)</t>
  </si>
  <si>
    <t>Restricted Accounts/Subject to Title III Proceeding (G1)</t>
  </si>
  <si>
    <t>Total</t>
  </si>
  <si>
    <t>https://docs.pr.gov/files/AAFAF/Financial_Documents/Summary%20of%20Bank%20Account%20Balances/2024/December/Summary-of-Bank-Account-Balances-Report-FY25-Dec-24.pdf</t>
  </si>
  <si>
    <t>Fuentes:</t>
  </si>
  <si>
    <t>TSA (G5)</t>
  </si>
  <si>
    <t>ID</t>
  </si>
  <si>
    <t>Deposit Products1</t>
  </si>
  <si>
    <t>National Deposit Rates2</t>
  </si>
  <si>
    <t>National Deposit Rates</t>
  </si>
  <si>
    <t>Rate Cap Adjusted</t>
  </si>
  <si>
    <t>Treasury Yield3</t>
  </si>
  <si>
    <t>Treasury Yield</t>
  </si>
  <si>
    <t>National Rate Cap</t>
  </si>
  <si>
    <t>Savings</t>
  </si>
  <si>
    <t>Interest Checking</t>
  </si>
  <si>
    <t>Money Market</t>
  </si>
  <si>
    <t>1 month CD</t>
  </si>
  <si>
    <t>3 month CD</t>
  </si>
  <si>
    <t>6 month CD</t>
  </si>
  <si>
    <t>12 month CD</t>
  </si>
  <si>
    <t>24 month CD</t>
  </si>
  <si>
    <t>36 month CD</t>
  </si>
  <si>
    <t>48 month CD</t>
  </si>
  <si>
    <t>60 month CD</t>
  </si>
  <si>
    <t>Fuente:</t>
  </si>
  <si>
    <t>Monthly Update – February 2025 | FDIC.gov</t>
  </si>
  <si>
    <t>If an institution seeks to offer a product with an off-tenor maturity that is not offered by another institution within its local market area, or for which the FDIC does not publish the national rate cap, the institution will be required to use the rate offered on the next lower on-tenor maturity for that deposit product when determining its applicable national or local rate cap, respectively. For example, an institution seeking to offer a 26-month certificate of deposit must use the rate offered for a 24-month CD to determine the applicable national or local rate cap.</t>
  </si>
  <si>
    <t>Source: S&amp;P Capital IQ Pro; SNL Financial Data. Calculations: FDIC. Savings and interest checking account rates are based on the $2,500 product tier, while money market and certificate of deposit rates represent an average of the $10,000 and $100,000 product tiers. Account types and maturities published in these tables are those most commonly offered by the banks and branches for which we have data (on-tenor maturities).</t>
  </si>
  <si>
    <t>The Final Rule defines a maturity of 48 months as an on-tenor maturity. Since the U.S. Treasury does not publish a rate for a 48-month Treasury obligation the applicable Treasury Yield is the 36-month Treasury; see footnote 3.</t>
  </si>
  <si>
    <t>Last Updated: February 24, 2025</t>
  </si>
  <si>
    <r>
      <t>As noted above, in determining the National Rate Cap for a particular on-tenor maturity, the Final Rule requires the FDIC to calculate 120 percent of the current yield on similar maturity U.S. Treasury obligations plus 75 basis points. For on-tenor maturities for which the U.S. Treasury publishes a yield, the </t>
    </r>
    <r>
      <rPr>
        <u/>
        <sz val="9.9"/>
        <color rgb="FF444343"/>
        <rFont val="Myriad Pro Condensed"/>
      </rPr>
      <t>treasury yields </t>
    </r>
    <r>
      <rPr>
        <sz val="9.9"/>
        <color rgb="FF444343"/>
        <rFont val="Myriad Pro Condensed"/>
      </rPr>
      <t>(treasury.gov) in this column are those that are published by the U.S. Treasury for the corresponding obligation with the same maturity. For on-tenor maturities for which the U.S. Treasury does not publish a yield, the treasury yields in this column are the published Treasury yields for the obligation with next lowest maturity, which is viewed as a similar rate, as provided for in the Final Rule. For non-maturity deposits, where there is no comparable treasury yield, the yield used is the </t>
    </r>
    <r>
      <rPr>
        <u/>
        <sz val="9.9"/>
        <color rgb="FF444343"/>
        <rFont val="Myriad Pro Condensed"/>
      </rPr>
      <t>effective federal funds</t>
    </r>
    <r>
      <rPr>
        <sz val="9.9"/>
        <color rgb="FF444343"/>
        <rFont val="Myriad Pro Condensed"/>
      </rPr>
      <t> (newyorkfed.org) rate published by the Federal Reserve Bank of New York.</t>
    </r>
  </si>
  <si>
    <t>12 meses CD</t>
  </si>
  <si>
    <t>6 meses CD</t>
  </si>
  <si>
    <t>3 meses CD</t>
  </si>
  <si>
    <t>24 meses CD</t>
  </si>
  <si>
    <t>36 meses CD</t>
  </si>
  <si>
    <t>60 meses CD</t>
  </si>
  <si>
    <t>48 meses CD</t>
  </si>
  <si>
    <t>1 meses CD</t>
  </si>
  <si>
    <t>Ahorros</t>
  </si>
  <si>
    <t>Deposits ($)</t>
  </si>
  <si>
    <t>Cash Balance</t>
  </si>
  <si>
    <t>31/12/2024</t>
  </si>
  <si>
    <t>Interés</t>
  </si>
  <si>
    <t>Periodo (mensual)</t>
  </si>
  <si>
    <t>Interés generado (mensual)</t>
  </si>
  <si>
    <t>Anual</t>
  </si>
  <si>
    <t>Datos</t>
  </si>
  <si>
    <t>Efecto Fiscal</t>
  </si>
  <si>
    <t>Cash balance</t>
  </si>
  <si>
    <t>Actual</t>
  </si>
  <si>
    <t>Propuesto</t>
  </si>
  <si>
    <t>-</t>
  </si>
  <si>
    <t>As of the date of this report, the TSA has received $264.6M in net interest income in FY25 from earnings on the TSA cash balance</t>
  </si>
  <si>
    <t>AAFAF</t>
  </si>
  <si>
    <t>fy25-weeklytsacashflow-02-14-25.pdf</t>
  </si>
  <si>
    <t>Time Series</t>
  </si>
  <si>
    <t>Net Interest Income (FY2025)</t>
  </si>
  <si>
    <t>SEPT</t>
  </si>
  <si>
    <t>OCT</t>
  </si>
  <si>
    <t>NOV</t>
  </si>
  <si>
    <t>FEB</t>
  </si>
  <si>
    <t>JUL</t>
  </si>
  <si>
    <t>FY 2025</t>
  </si>
  <si>
    <t>Average of Bank Cash Balance</t>
  </si>
  <si>
    <t>Bank Cash Position (millions $)</t>
  </si>
  <si>
    <t>Interest Rate - Checking</t>
  </si>
  <si>
    <t>According to AAFAF 
(as of Feb 14,2025)</t>
  </si>
  <si>
    <t>DIC</t>
  </si>
  <si>
    <t>ENE</t>
  </si>
  <si>
    <t>AGO</t>
  </si>
  <si>
    <t>Q3-2025</t>
  </si>
  <si>
    <t>MAR</t>
  </si>
  <si>
    <t>ABR</t>
  </si>
  <si>
    <t>MAY</t>
  </si>
  <si>
    <t>JUN</t>
  </si>
  <si>
    <t>According to PRDT 
(as of  June FY2025)</t>
  </si>
  <si>
    <t>1(A) FY25 TSA Cash Flow_June_2025_CAA_v2.xlsx</t>
  </si>
  <si>
    <t>3.81.4</t>
  </si>
  <si>
    <t>Banco Popular PR</t>
  </si>
  <si>
    <t>FirstBank PR</t>
  </si>
  <si>
    <t>Oriental Bank PR</t>
  </si>
  <si>
    <t>Banco Cooperativo PR</t>
  </si>
  <si>
    <t>Banesco USA</t>
  </si>
  <si>
    <t>Nave Bank</t>
  </si>
  <si>
    <t>Activos</t>
  </si>
  <si>
    <t>Depósitos</t>
  </si>
  <si>
    <t>Capital</t>
  </si>
  <si>
    <t>Bancos Comerciales en Puerto Rico</t>
  </si>
  <si>
    <r>
      <t xml:space="preserve">Préstamos &amp; </t>
    </r>
    <r>
      <rPr>
        <b/>
        <i/>
        <sz val="12"/>
        <color theme="0"/>
        <rFont val="Myriad Pro Condensed"/>
      </rPr>
      <t>Leases</t>
    </r>
    <r>
      <rPr>
        <b/>
        <sz val="12"/>
        <color theme="0"/>
        <rFont val="Myriad Pro Condensed"/>
      </rPr>
      <t xml:space="preserve"> (Neto)</t>
    </r>
  </si>
  <si>
    <t>Totales</t>
  </si>
  <si>
    <t>PERIODO 
AF</t>
  </si>
  <si>
    <t>ASSETS</t>
  </si>
  <si>
    <t>ASSETS (FY)</t>
  </si>
  <si>
    <t>Activos/PNB</t>
  </si>
  <si>
    <t>Activos/PIB</t>
  </si>
  <si>
    <t>PNB</t>
  </si>
  <si>
    <t>PIB</t>
  </si>
  <si>
    <t>Préstamos</t>
  </si>
  <si>
    <t>Préstamos/Depósitos</t>
  </si>
  <si>
    <t>FY 2026</t>
  </si>
  <si>
    <t>Proyección</t>
  </si>
  <si>
    <t>Tasa de Fondos Federales</t>
  </si>
  <si>
    <t>Depósito de Efectivo</t>
  </si>
  <si>
    <t>Tasa de fondos federales</t>
  </si>
  <si>
    <t>Ingresos por concepto de Interés</t>
  </si>
  <si>
    <t>AF</t>
  </si>
  <si>
    <t>Cargos por Servicios Bancarios y Comercios</t>
  </si>
  <si>
    <t>Supuesto de Tasa de Interés por Depósitos</t>
  </si>
  <si>
    <t>VN</t>
  </si>
  <si>
    <t>Precio</t>
  </si>
  <si>
    <t>Ingresos por concepto de rbey</t>
  </si>
  <si>
    <t>Ingresos por Concepto de Intereses Netos por Depósitos en la Banca Local</t>
  </si>
  <si>
    <t>Año Fiscal</t>
  </si>
  <si>
    <t>Tasa de Rendimiento 
(T-Bill 3 meses)</t>
  </si>
  <si>
    <t>Min.</t>
  </si>
  <si>
    <t>Máx.</t>
  </si>
  <si>
    <t>Con respecto al balance promedio del TSA</t>
  </si>
  <si>
    <t>Balance de Efectivo al 30 de enero de 2026</t>
  </si>
  <si>
    <t>2026Q1</t>
  </si>
  <si>
    <t>TSA</t>
  </si>
  <si>
    <t>NON-TSA</t>
  </si>
  <si>
    <t>Promedio de los FY 2025 y 2026</t>
  </si>
  <si>
    <t>Tipo de Cuenta</t>
  </si>
  <si>
    <t>Non-TSA</t>
  </si>
  <si>
    <t>Con respecto al Balance de Depósito Efectivo 
(Non-TSA)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</si>
</sst>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quot;$&quot;#,##0.0"/>
    <numFmt numFmtId="167" formatCode="&quot;$&quot;#,##0.00"/>
    <numFmt numFmtId="168" formatCode="#,##0.0"/>
    <numFmt numFmtId="169" formatCode="_(&quot;$&quot;* #,##0_);_(&quot;$&quot;* \(#,##0\);_(&quot;$&quot;* &quot;-&quot;??_);_(@_)"/>
    <numFmt numFmtId="170" formatCode="&quot;$&quot;#,##0.0_);\(&quot;$&quot;#,##0.0\)"/>
  </numFmts>
  <fonts count="2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2"/>
      <color theme="1"/>
      <name val="Myriad Pro Condensed"/>
    </font>
    <font>
      <u/>
      <sz val="12"/>
      <color theme="10"/>
      <name val="Myriad Pro Condensed"/>
    </font>
    <font>
      <sz val="12"/>
      <color rgb="FF444343"/>
      <name val="Myriad Pro Condensed"/>
    </font>
    <font>
      <b/>
      <sz val="12"/>
      <color rgb="FF444343"/>
      <name val="Myriad Pro Condensed"/>
    </font>
    <font>
      <sz val="6"/>
      <color rgb="FF444343"/>
      <name val="Var(--font-family-paragraph)"/>
    </font>
    <font>
      <sz val="9.9"/>
      <color rgb="FF444343"/>
      <name val="Myriad Pro Condensed"/>
    </font>
    <font>
      <u/>
      <sz val="9.9"/>
      <color rgb="FF444343"/>
      <name val="Myriad Pro Condensed"/>
    </font>
    <font>
      <i/>
      <sz val="12"/>
      <color rgb="FF444343"/>
      <name val="Myriad Pro Condensed"/>
    </font>
    <font>
      <b/>
      <sz val="12"/>
      <color theme="1"/>
      <name val="Myriad Pro Condensed"/>
    </font>
    <font>
      <sz val="6"/>
      <color rgb="FFFFFFFF"/>
      <name val="Georgia"/>
      <family val="1"/>
    </font>
    <font>
      <b/>
      <sz val="12"/>
      <color theme="0"/>
      <name val="Myriad Pro Condensed"/>
    </font>
    <font>
      <b/>
      <i/>
      <sz val="12"/>
      <color theme="0"/>
      <name val="Myriad Pro Condensed"/>
    </font>
    <font>
      <b/>
      <sz val="12"/>
      <color indexed="8"/>
      <name val="Myriad Pro Condensed"/>
    </font>
    <font>
      <sz val="12"/>
      <color indexed="8"/>
      <name val="Myriad Pro Condensed"/>
    </font>
    <font>
      <sz val="10"/>
      <name val="Arial"/>
      <family val="2"/>
    </font>
    <font>
      <sz val="12"/>
      <name val="Myriad Pro Condensed"/>
    </font>
    <font>
      <sz val="11"/>
      <name val="Calibri"/>
      <family val="2"/>
    </font>
  </fonts>
  <fills count="7">
    <fill>
      <patternFill patternType="none"/>
    </fill>
    <fill>
      <patternFill patternType="gray125"/>
    </fill>
    <fill>
      <patternFill patternType="solid">
        <fgColor rgb="FFFFFFFF"/>
        <bgColor indexed="64"/>
      </patternFill>
    </fill>
    <fill>
      <patternFill patternType="solid">
        <fgColor rgb="FF003256"/>
        <bgColor indexed="64"/>
      </patternFill>
    </fill>
    <fill>
      <patternFill patternType="solid">
        <fgColor rgb="FF194A65"/>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8" fillId="0" borderId="0"/>
    <xf numFmtId="43" fontId="18" fillId="0" borderId="0" applyFont="0" applyFill="0" applyBorder="0" applyAlignment="0" applyProtection="0"/>
    <xf numFmtId="44" fontId="1" fillId="0" borderId="0" applyFont="0" applyFill="0" applyBorder="0" applyAlignment="0" applyProtection="0"/>
    <xf numFmtId="2" fontId="20" fillId="0" borderId="0"/>
  </cellStyleXfs>
  <cellXfs count="107">
    <xf numFmtId="0" fontId="0" fillId="0" borderId="0" xfId="0"/>
    <xf numFmtId="6" fontId="0" fillId="0" borderId="0" xfId="0" applyNumberFormat="1"/>
    <xf numFmtId="0" fontId="3" fillId="0" borderId="0" xfId="2"/>
    <xf numFmtId="6" fontId="0" fillId="0" borderId="0" xfId="0" applyNumberFormat="1" applyAlignment="1">
      <alignment horizontal="center" vertical="center"/>
    </xf>
    <xf numFmtId="0" fontId="4" fillId="0" borderId="0" xfId="0" applyFont="1" applyAlignment="1">
      <alignment horizontal="center" vertical="center"/>
    </xf>
    <xf numFmtId="6" fontId="4" fillId="0" borderId="0" xfId="0" applyNumberFormat="1" applyFon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vertical="center" wrapText="1"/>
    </xf>
    <xf numFmtId="4" fontId="0" fillId="0" borderId="0" xfId="0" applyNumberFormat="1" applyAlignment="1">
      <alignment vertical="center" wrapText="1"/>
    </xf>
    <xf numFmtId="6" fontId="2" fillId="0" borderId="0" xfId="0" applyNumberFormat="1" applyFont="1" applyAlignment="1">
      <alignment vertical="center" wrapText="1"/>
    </xf>
    <xf numFmtId="0" fontId="3" fillId="0" borderId="0" xfId="2" applyAlignment="1">
      <alignment wrapText="1"/>
    </xf>
    <xf numFmtId="0" fontId="0" fillId="0" borderId="0" xfId="0" applyAlignment="1">
      <alignment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0" xfId="2" applyAlignment="1">
      <alignment horizontal="left" vertical="center" wrapText="1" indent="1"/>
    </xf>
    <xf numFmtId="0" fontId="8" fillId="0" borderId="0" xfId="0" applyFont="1" applyAlignment="1">
      <alignment horizontal="right" vertical="center" wrapText="1"/>
    </xf>
    <xf numFmtId="0" fontId="11" fillId="2" borderId="1" xfId="0" applyFont="1" applyFill="1" applyBorder="1" applyAlignment="1">
      <alignment horizontal="center" vertical="center" wrapText="1"/>
    </xf>
    <xf numFmtId="164" fontId="0" fillId="0" borderId="0" xfId="0" applyNumberFormat="1"/>
    <xf numFmtId="165" fontId="0" fillId="0" borderId="0" xfId="1" applyNumberFormat="1" applyFont="1"/>
    <xf numFmtId="10" fontId="0" fillId="0" borderId="0" xfId="0" applyNumberFormat="1"/>
    <xf numFmtId="10" fontId="0" fillId="0" borderId="0" xfId="0" applyNumberFormat="1" applyAlignment="1">
      <alignment horizontal="center" vertical="center"/>
    </xf>
    <xf numFmtId="0" fontId="2" fillId="0" borderId="0" xfId="0" applyFont="1"/>
    <xf numFmtId="6" fontId="2" fillId="0" borderId="0" xfId="0" applyNumberFormat="1" applyFont="1" applyAlignment="1">
      <alignment horizontal="center" vertical="center"/>
    </xf>
    <xf numFmtId="10" fontId="0" fillId="0" borderId="0" xfId="1" applyNumberFormat="1" applyFont="1"/>
    <xf numFmtId="14" fontId="1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2" fillId="0" borderId="1" xfId="0" applyFont="1" applyBorder="1" applyAlignment="1">
      <alignment horizontal="center" vertical="center" wrapText="1"/>
    </xf>
    <xf numFmtId="14" fontId="4" fillId="0" borderId="1" xfId="0" applyNumberFormat="1"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12" fillId="0" borderId="1" xfId="0" applyFont="1" applyBorder="1" applyAlignment="1">
      <alignment horizontal="left" vertical="center" wrapText="1"/>
    </xf>
    <xf numFmtId="166" fontId="12" fillId="0" borderId="1" xfId="0" applyNumberFormat="1" applyFont="1" applyBorder="1" applyAlignment="1">
      <alignment horizontal="center" vertical="center"/>
    </xf>
    <xf numFmtId="14" fontId="12" fillId="0" borderId="1" xfId="0" applyNumberFormat="1" applyFont="1" applyBorder="1" applyAlignment="1">
      <alignment horizontal="left" vertical="center" wrapText="1"/>
    </xf>
    <xf numFmtId="10" fontId="12" fillId="0" borderId="1" xfId="1" applyNumberFormat="1" applyFont="1" applyBorder="1" applyAlignment="1">
      <alignment horizontal="center" vertical="center"/>
    </xf>
    <xf numFmtId="0" fontId="2" fillId="0" borderId="0" xfId="0" applyFont="1" applyAlignment="1">
      <alignment horizontal="center" wrapText="1"/>
    </xf>
    <xf numFmtId="167" fontId="0" fillId="0" borderId="0" xfId="0" applyNumberFormat="1"/>
    <xf numFmtId="3" fontId="0" fillId="0" borderId="0" xfId="0" applyNumberFormat="1"/>
    <xf numFmtId="0" fontId="13" fillId="3" borderId="0" xfId="0" applyFont="1" applyFill="1" applyAlignment="1">
      <alignment horizontal="left" vertical="center" wrapText="1"/>
    </xf>
    <xf numFmtId="2" fontId="6"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14" fillId="4" borderId="1" xfId="0" applyFont="1" applyFill="1" applyBorder="1" applyAlignment="1">
      <alignment horizontal="center" vertical="center" wrapText="1"/>
    </xf>
    <xf numFmtId="166" fontId="4" fillId="0" borderId="1" xfId="0" applyNumberFormat="1" applyFont="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horizontal="left" vertical="center" indent="1"/>
    </xf>
    <xf numFmtId="0" fontId="16" fillId="5" borderId="1"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4" xfId="0" applyFont="1" applyFill="1" applyBorder="1" applyAlignment="1">
      <alignment horizontal="center"/>
    </xf>
    <xf numFmtId="168" fontId="17" fillId="5" borderId="5" xfId="0" applyNumberFormat="1" applyFont="1" applyFill="1" applyBorder="1"/>
    <xf numFmtId="168" fontId="17" fillId="5" borderId="0" xfId="0" applyNumberFormat="1" applyFont="1" applyFill="1"/>
    <xf numFmtId="168" fontId="17" fillId="5" borderId="6" xfId="0" applyNumberFormat="1" applyFont="1" applyFill="1" applyBorder="1"/>
    <xf numFmtId="168" fontId="17" fillId="5" borderId="6" xfId="0" applyNumberFormat="1" applyFont="1" applyFill="1" applyBorder="1" applyAlignment="1" applyProtection="1">
      <alignment horizontal="right"/>
      <protection locked="0"/>
    </xf>
    <xf numFmtId="168" fontId="17" fillId="5" borderId="0" xfId="0" applyNumberFormat="1" applyFont="1" applyFill="1" applyAlignment="1" applyProtection="1">
      <alignment horizontal="right"/>
      <protection locked="0"/>
    </xf>
    <xf numFmtId="168" fontId="19" fillId="5" borderId="6" xfId="3" applyNumberFormat="1" applyFont="1" applyFill="1" applyBorder="1"/>
    <xf numFmtId="168" fontId="19" fillId="5" borderId="0" xfId="3" applyNumberFormat="1" applyFont="1" applyFill="1"/>
    <xf numFmtId="168" fontId="19" fillId="5" borderId="6" xfId="4" applyNumberFormat="1" applyFont="1" applyFill="1" applyBorder="1" applyAlignment="1"/>
    <xf numFmtId="168" fontId="19" fillId="5" borderId="0" xfId="4" applyNumberFormat="1" applyFont="1" applyFill="1" applyBorder="1" applyAlignment="1"/>
    <xf numFmtId="168" fontId="19" fillId="5" borderId="7" xfId="4" applyNumberFormat="1" applyFont="1" applyFill="1" applyBorder="1" applyAlignment="1"/>
    <xf numFmtId="168" fontId="4" fillId="0" borderId="0" xfId="0" applyNumberFormat="1" applyFont="1"/>
    <xf numFmtId="0" fontId="1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xf numFmtId="169" fontId="4" fillId="0" borderId="1" xfId="5" applyNumberFormat="1" applyFont="1" applyBorder="1"/>
    <xf numFmtId="10" fontId="4" fillId="0" borderId="1" xfId="0" applyNumberFormat="1" applyFont="1" applyBorder="1" applyAlignment="1">
      <alignment horizontal="center" vertical="center"/>
    </xf>
    <xf numFmtId="10" fontId="4" fillId="0" borderId="0" xfId="0" applyNumberFormat="1" applyFont="1" applyAlignment="1">
      <alignment horizontal="center" vertical="center"/>
    </xf>
    <xf numFmtId="170" fontId="4" fillId="0" borderId="0" xfId="0" applyNumberFormat="1" applyFont="1"/>
    <xf numFmtId="170" fontId="4" fillId="0" borderId="1" xfId="0" applyNumberFormat="1" applyFont="1" applyBorder="1" applyAlignment="1">
      <alignment horizontal="center" vertical="center"/>
    </xf>
    <xf numFmtId="44" fontId="4" fillId="0" borderId="0" xfId="0" applyNumberFormat="1" applyFont="1" applyAlignment="1">
      <alignment horizontal="center" vertical="center"/>
    </xf>
    <xf numFmtId="165" fontId="4" fillId="0" borderId="0" xfId="1" applyNumberFormat="1" applyFont="1" applyAlignment="1">
      <alignment horizontal="center" vertical="center"/>
    </xf>
    <xf numFmtId="170" fontId="4" fillId="6" borderId="1" xfId="0" applyNumberFormat="1" applyFont="1" applyFill="1" applyBorder="1" applyAlignment="1">
      <alignment horizontal="center" vertical="center"/>
    </xf>
    <xf numFmtId="0" fontId="14" fillId="4" borderId="1" xfId="0" applyFont="1" applyFill="1" applyBorder="1" applyAlignment="1">
      <alignment horizontal="center" wrapText="1"/>
    </xf>
    <xf numFmtId="2" fontId="20" fillId="0" borderId="0" xfId="6"/>
    <xf numFmtId="2" fontId="4" fillId="0" borderId="1" xfId="0" applyNumberFormat="1" applyFont="1" applyBorder="1" applyAlignment="1">
      <alignment horizontal="center" vertical="center"/>
    </xf>
    <xf numFmtId="0" fontId="2" fillId="0" borderId="0" xfId="0" applyFont="1" applyAlignment="1">
      <alignment horizontal="center" vertical="center"/>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14" fillId="4"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0" fontId="9" fillId="0" borderId="0" xfId="0" applyFont="1" applyAlignment="1">
      <alignment horizontal="left" vertical="center" wrapText="1"/>
    </xf>
    <xf numFmtId="0" fontId="5" fillId="2" borderId="1" xfId="2" applyFont="1" applyFill="1" applyBorder="1" applyAlignment="1">
      <alignment horizontal="center" vertical="center" wrapText="1"/>
    </xf>
    <xf numFmtId="0" fontId="3" fillId="3" borderId="0" xfId="2" applyFill="1" applyAlignment="1">
      <alignment horizontal="left" vertical="center" wrapText="1"/>
    </xf>
    <xf numFmtId="0" fontId="3" fillId="3" borderId="3" xfId="2" applyFill="1" applyBorder="1" applyAlignment="1">
      <alignment horizontal="left" vertical="center" wrapText="1"/>
    </xf>
    <xf numFmtId="0" fontId="13" fillId="3" borderId="0" xfId="0" applyFont="1" applyFill="1" applyAlignment="1">
      <alignment horizontal="left" vertical="center" wrapText="1"/>
    </xf>
    <xf numFmtId="0" fontId="13" fillId="3" borderId="3" xfId="0" applyFont="1" applyFill="1" applyBorder="1" applyAlignment="1">
      <alignment horizontal="left" vertical="center" wrapText="1"/>
    </xf>
    <xf numFmtId="0" fontId="12" fillId="0" borderId="0" xfId="0" applyFont="1" applyAlignment="1">
      <alignment horizontal="center" vertical="center"/>
    </xf>
    <xf numFmtId="6" fontId="12" fillId="0" borderId="0" xfId="0" applyNumberFormat="1" applyFont="1" applyAlignment="1">
      <alignment horizontal="center" vertical="center"/>
    </xf>
    <xf numFmtId="6" fontId="4" fillId="0" borderId="0" xfId="0" applyNumberFormat="1" applyFont="1" applyAlignment="1">
      <alignment horizontal="right" vertical="center"/>
    </xf>
    <xf numFmtId="164" fontId="12" fillId="0" borderId="1" xfId="0" applyNumberFormat="1" applyFont="1" applyBorder="1" applyAlignment="1">
      <alignment horizontal="center" vertical="center"/>
    </xf>
    <xf numFmtId="166" fontId="4" fillId="0" borderId="1" xfId="0" applyNumberFormat="1" applyFont="1" applyBorder="1" applyAlignment="1">
      <alignment horizontal="center" vertical="center" wrapText="1"/>
    </xf>
    <xf numFmtId="0" fontId="0" fillId="0" borderId="1" xfId="0" applyBorder="1" applyAlignment="1">
      <alignment horizontal="center" vertical="center"/>
    </xf>
    <xf numFmtId="167" fontId="0" fillId="0" borderId="1" xfId="0" applyNumberFormat="1" applyBorder="1" applyAlignment="1">
      <alignment horizontal="center" vertical="center"/>
    </xf>
    <xf numFmtId="164" fontId="12" fillId="0" borderId="0" xfId="0" applyNumberFormat="1" applyFont="1" applyAlignment="1">
      <alignment horizontal="center" vertical="center"/>
    </xf>
    <xf numFmtId="164" fontId="12" fillId="0" borderId="0" xfId="0" applyNumberFormat="1" applyFont="1" applyAlignment="1">
      <alignment vertical="center" wrapText="1"/>
    </xf>
    <xf numFmtId="0" fontId="4" fillId="0" borderId="0" xfId="0" applyFont="1" applyAlignment="1">
      <alignment wrapText="1"/>
    </xf>
  </cellXfs>
  <cellStyles count="7">
    <cellStyle name="BuffetValue2" xfId="6" xr:uid="{7473E000-17B3-4D1C-9EE6-CC5683FA52CF}"/>
    <cellStyle name="Comma 2 2" xfId="4" xr:uid="{3202218E-3E2D-4C97-98C7-FE498476EFAA}"/>
    <cellStyle name="Currency" xfId="5" builtinId="4"/>
    <cellStyle name="Hyperlink" xfId="2" builtinId="8"/>
    <cellStyle name="Normal" xfId="0" builtinId="0"/>
    <cellStyle name="Normal 2" xfId="3" xr:uid="{2565514B-63E2-4CD2-B5F3-A9CC51E66D76}"/>
    <cellStyle name="Percent" xfId="1" builtinId="5"/>
  </cellStyles>
  <dxfs count="0"/>
  <tableStyles count="0" defaultTableStyle="TableStyleMedium2" defaultPivotStyle="PivotStyleLight16"/>
  <colors>
    <mruColors>
      <color rgb="FFFF8502"/>
      <color rgb="FF194A65"/>
      <color rgb="FF498507"/>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94A65"/>
            </a:solidFill>
            <a:ln>
              <a:noFill/>
            </a:ln>
            <a:effectLst/>
          </c:spPr>
          <c:invertIfNegative val="0"/>
          <c:dPt>
            <c:idx val="6"/>
            <c:invertIfNegative val="0"/>
            <c:bubble3D val="0"/>
            <c:spPr>
              <a:solidFill>
                <a:srgbClr val="194A65"/>
              </a:solidFill>
              <a:ln>
                <a:noFill/>
              </a:ln>
              <a:effectLst/>
            </c:spPr>
            <c:extLst>
              <c:ext xmlns:c16="http://schemas.microsoft.com/office/drawing/2014/chart" uri="{C3380CC4-5D6E-409C-BE32-E72D297353CC}">
                <c16:uniqueId val="{00000001-A401-47BC-88F3-EE7536A513CD}"/>
              </c:ext>
            </c:extLst>
          </c:dPt>
          <c:dPt>
            <c:idx val="11"/>
            <c:invertIfNegative val="0"/>
            <c:bubble3D val="0"/>
            <c:spPr>
              <a:solidFill>
                <a:srgbClr val="FF8502"/>
              </a:solidFill>
              <a:ln>
                <a:noFill/>
              </a:ln>
              <a:effectLst/>
            </c:spPr>
            <c:extLst>
              <c:ext xmlns:c16="http://schemas.microsoft.com/office/drawing/2014/chart" uri="{C3380CC4-5D6E-409C-BE32-E72D297353CC}">
                <c16:uniqueId val="{00000002-745E-4432-A3ED-37EC9A56B0EA}"/>
              </c:ext>
            </c:extLst>
          </c:dPt>
          <c:dLbls>
            <c:dLbl>
              <c:idx val="1"/>
              <c:delete val="1"/>
              <c:extLst>
                <c:ext xmlns:c15="http://schemas.microsoft.com/office/drawing/2012/chart" uri="{CE6537A1-D6FC-4f65-9D91-7224C49458BB}"/>
                <c:ext xmlns:c16="http://schemas.microsoft.com/office/drawing/2014/chart" uri="{C3380CC4-5D6E-409C-BE32-E72D297353CC}">
                  <c16:uniqueId val="{00000003-745E-4432-A3ED-37EC9A56B0EA}"/>
                </c:ext>
              </c:extLst>
            </c:dLbl>
            <c:dLbl>
              <c:idx val="2"/>
              <c:delete val="1"/>
              <c:extLst>
                <c:ext xmlns:c15="http://schemas.microsoft.com/office/drawing/2012/chart" uri="{CE6537A1-D6FC-4f65-9D91-7224C49458BB}"/>
                <c:ext xmlns:c16="http://schemas.microsoft.com/office/drawing/2014/chart" uri="{C3380CC4-5D6E-409C-BE32-E72D297353CC}">
                  <c16:uniqueId val="{00000004-745E-4432-A3ED-37EC9A56B0EA}"/>
                </c:ext>
              </c:extLst>
            </c:dLbl>
            <c:dLbl>
              <c:idx val="3"/>
              <c:delete val="1"/>
              <c:extLst>
                <c:ext xmlns:c15="http://schemas.microsoft.com/office/drawing/2012/chart" uri="{CE6537A1-D6FC-4f65-9D91-7224C49458BB}"/>
                <c:ext xmlns:c16="http://schemas.microsoft.com/office/drawing/2014/chart" uri="{C3380CC4-5D6E-409C-BE32-E72D297353CC}">
                  <c16:uniqueId val="{00000005-745E-4432-A3ED-37EC9A56B0EA}"/>
                </c:ext>
              </c:extLst>
            </c:dLbl>
            <c:dLbl>
              <c:idx val="5"/>
              <c:delete val="1"/>
              <c:extLst>
                <c:ext xmlns:c15="http://schemas.microsoft.com/office/drawing/2012/chart" uri="{CE6537A1-D6FC-4f65-9D91-7224C49458BB}"/>
                <c:ext xmlns:c16="http://schemas.microsoft.com/office/drawing/2014/chart" uri="{C3380CC4-5D6E-409C-BE32-E72D297353CC}">
                  <c16:uniqueId val="{00000006-745E-4432-A3ED-37EC9A56B0EA}"/>
                </c:ext>
              </c:extLst>
            </c:dLbl>
            <c:dLbl>
              <c:idx val="7"/>
              <c:delete val="1"/>
              <c:extLst>
                <c:ext xmlns:c15="http://schemas.microsoft.com/office/drawing/2012/chart" uri="{CE6537A1-D6FC-4f65-9D91-7224C49458BB}"/>
                <c:ext xmlns:c16="http://schemas.microsoft.com/office/drawing/2014/chart" uri="{C3380CC4-5D6E-409C-BE32-E72D297353CC}">
                  <c16:uniqueId val="{00000007-745E-4432-A3ED-37EC9A56B0E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yriad Pro Condensed"/>
                    <a:ea typeface="+mn-ea"/>
                    <a:cs typeface="Myanmar Text"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'Time Series Cash Balance GPR'!$P$2:$P$13</c:f>
              <c:strCache>
                <c:ptCount val="12"/>
                <c:pt idx="0">
                  <c:v>JUL</c:v>
                </c:pt>
                <c:pt idx="1">
                  <c:v>AGO</c:v>
                </c:pt>
                <c:pt idx="2">
                  <c:v>SEPT</c:v>
                </c:pt>
                <c:pt idx="3">
                  <c:v>OCT</c:v>
                </c:pt>
                <c:pt idx="4">
                  <c:v>NOV</c:v>
                </c:pt>
                <c:pt idx="5">
                  <c:v>DIC</c:v>
                </c:pt>
                <c:pt idx="6">
                  <c:v>ENE</c:v>
                </c:pt>
                <c:pt idx="7">
                  <c:v>FEB</c:v>
                </c:pt>
                <c:pt idx="8">
                  <c:v>MAR</c:v>
                </c:pt>
                <c:pt idx="9">
                  <c:v>ABR</c:v>
                </c:pt>
                <c:pt idx="10">
                  <c:v>MAY</c:v>
                </c:pt>
                <c:pt idx="11">
                  <c:v>JUN</c:v>
                </c:pt>
              </c:strCache>
            </c:strRef>
          </c:cat>
          <c:val>
            <c:numRef>
              <c:f>'Time Series Cash Balance GPR'!$Q$2:$Q$13</c:f>
              <c:numCache>
                <c:formatCode>"$"#,##0</c:formatCode>
                <c:ptCount val="12"/>
                <c:pt idx="0">
                  <c:v>9969</c:v>
                </c:pt>
                <c:pt idx="1">
                  <c:v>9728</c:v>
                </c:pt>
                <c:pt idx="2">
                  <c:v>9265</c:v>
                </c:pt>
                <c:pt idx="3">
                  <c:v>9124</c:v>
                </c:pt>
                <c:pt idx="4">
                  <c:v>9053</c:v>
                </c:pt>
                <c:pt idx="5">
                  <c:v>9748</c:v>
                </c:pt>
                <c:pt idx="6">
                  <c:v>10294</c:v>
                </c:pt>
                <c:pt idx="7">
                  <c:v>10052</c:v>
                </c:pt>
                <c:pt idx="8">
                  <c:v>10006</c:v>
                </c:pt>
                <c:pt idx="9">
                  <c:v>10584</c:v>
                </c:pt>
                <c:pt idx="10">
                  <c:v>10299</c:v>
                </c:pt>
                <c:pt idx="11">
                  <c:v>11362</c:v>
                </c:pt>
              </c:numCache>
            </c:numRef>
          </c:val>
          <c:extLst>
            <c:ext xmlns:c16="http://schemas.microsoft.com/office/drawing/2014/chart" uri="{C3380CC4-5D6E-409C-BE32-E72D297353CC}">
              <c16:uniqueId val="{00000000-A401-47BC-88F3-EE7536A513CD}"/>
            </c:ext>
          </c:extLst>
        </c:ser>
        <c:dLbls>
          <c:showLegendKey val="0"/>
          <c:showVal val="0"/>
          <c:showCatName val="0"/>
          <c:showSerName val="0"/>
          <c:showPercent val="0"/>
          <c:showBubbleSize val="0"/>
        </c:dLbls>
        <c:gapWidth val="150"/>
        <c:overlap val="-100"/>
        <c:axId val="480195632"/>
        <c:axId val="480192272"/>
      </c:barChart>
      <c:catAx>
        <c:axId val="480195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yriad Pro Condensed"/>
                <a:ea typeface="+mn-ea"/>
                <a:cs typeface="+mn-cs"/>
              </a:defRPr>
            </a:pPr>
            <a:endParaRPr lang="en-US"/>
          </a:p>
        </c:txPr>
        <c:crossAx val="480192272"/>
        <c:crosses val="autoZero"/>
        <c:auto val="1"/>
        <c:lblAlgn val="ctr"/>
        <c:lblOffset val="100"/>
        <c:noMultiLvlLbl val="0"/>
      </c:catAx>
      <c:valAx>
        <c:axId val="480192272"/>
        <c:scaling>
          <c:orientation val="minMax"/>
        </c:scaling>
        <c:delete val="1"/>
        <c:axPos val="l"/>
        <c:numFmt formatCode="&quot;$&quot;#,##0" sourceLinked="1"/>
        <c:majorTickMark val="none"/>
        <c:minorTickMark val="none"/>
        <c:tickLblPos val="nextTo"/>
        <c:crossAx val="480195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'ASSETS-GNP'!$G$1</c:f>
              <c:strCache>
                <c:ptCount val="1"/>
                <c:pt idx="0">
                  <c:v>Activos/PNB</c:v>
                </c:pt>
              </c:strCache>
            </c:strRef>
          </c:tx>
          <c:spPr>
            <a:solidFill>
              <a:srgbClr val="194A65"/>
            </a:solidFill>
            <a:ln>
              <a:noFill/>
            </a:ln>
            <a:effectLst/>
          </c:spPr>
          <c:invertIfNegative val="0"/>
          <c:cat>
            <c:numRef>
              <c:f>'ASSETS-GNP'!$A$68:$A$76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'ASSETS-GNP'!$G$68:$G$76</c:f>
              <c:numCache>
                <c:formatCode>0.0%</c:formatCode>
                <c:ptCount val="9"/>
                <c:pt idx="0">
                  <c:v>0.76535281030846525</c:v>
                </c:pt>
                <c:pt idx="1">
                  <c:v>0.81466269419241066</c:v>
                </c:pt>
                <c:pt idx="2">
                  <c:v>0.89075892995824024</c:v>
                </c:pt>
                <c:pt idx="3">
                  <c:v>0.8947569140720496</c:v>
                </c:pt>
                <c:pt idx="4">
                  <c:v>1.0263019289784558</c:v>
                </c:pt>
                <c:pt idx="5">
                  <c:v>1.156061278155003</c:v>
                </c:pt>
                <c:pt idx="6">
                  <c:v>1.0717423110522226</c:v>
                </c:pt>
                <c:pt idx="7">
                  <c:v>0.97853356459160767</c:v>
                </c:pt>
                <c:pt idx="8">
                  <c:v>0.96953762993811554</c:v>
                </c:pt>
              </c:numCache>
            </c:numRef>
          </c:val>
          <c:extLst>
            <c:ext xmlns:c16="http://schemas.microsoft.com/office/drawing/2014/chart" uri="{C3380CC4-5D6E-409C-BE32-E72D297353CC}">
              <c16:uniqueId val="{00000000-1E57-4060-9B73-13D353D6778D}"/>
            </c:ext>
          </c:extLst>
        </c:ser>
        <c:ser>
          <c:idx val="1"/>
          <c:order val="1"/>
          <c:tx>
            <c:strRef>
              <c:f>'ASSETS-GNP'!$H$1</c:f>
              <c:strCache>
                <c:ptCount val="1"/>
                <c:pt idx="0">
                  <c:v>Activos/PIB</c:v>
                </c:pt>
              </c:strCache>
            </c:strRef>
          </c:tx>
          <c:spPr>
            <a:solidFill>
              <a:srgbClr val="FF8502"/>
            </a:solidFill>
            <a:ln>
              <a:noFill/>
            </a:ln>
            <a:effectLst/>
          </c:spPr>
          <c:invertIfNegative val="0"/>
          <c:cat>
            <c:numRef>
              <c:f>'ASSETS-GNP'!$A$68:$A$76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'ASSETS-GNP'!$H$68:$H$76</c:f>
              <c:numCache>
                <c:formatCode>0.0%</c:formatCode>
                <c:ptCount val="9"/>
                <c:pt idx="0">
                  <c:v>0.51337036248990053</c:v>
                </c:pt>
                <c:pt idx="1">
                  <c:v>0.54378436954724951</c:v>
                </c:pt>
                <c:pt idx="2">
                  <c:v>0.59644826418088293</c:v>
                </c:pt>
                <c:pt idx="3">
                  <c:v>0.60229935106690613</c:v>
                </c:pt>
                <c:pt idx="4">
                  <c:v>0.70011730237979108</c:v>
                </c:pt>
                <c:pt idx="5">
                  <c:v>0.79684528116091269</c:v>
                </c:pt>
                <c:pt idx="6">
                  <c:v>0.74034896968387365</c:v>
                </c:pt>
                <c:pt idx="7">
                  <c:v>0.67725351636747622</c:v>
                </c:pt>
                <c:pt idx="8">
                  <c:v>0.65970994862585086</c:v>
                </c:pt>
              </c:numCache>
            </c:numRef>
          </c:val>
          <c:extLst>
            <c:ext xmlns:c16="http://schemas.microsoft.com/office/drawing/2014/chart" uri="{C3380CC4-5D6E-409C-BE32-E72D297353CC}">
              <c16:uniqueId val="{00000001-1E57-4060-9B73-13D353D6778D}"/>
            </c:ext>
          </c:extLst>
        </c:ser>
        <c:dLbls>
          <c:showLegendKey val="0"/>
          <c:showVal val="0"/>
          <c:showCatName val="0"/>
          <c:showSerName val="0"/>
          <c:showPercent val="0"/>
          <c:showBubbleSize val="0"/>
        </c:dLbls>
        <c:gapWidth val="85"/>
        <c:overlap val="-6"/>
        <c:axId val="99489760"/>
        <c:axId val="99492160"/>
      </c:barChart>
      <c:catAx>
        <c:axId val="99489760"/>
        <c:scaling>
          <c:orientation val="minMax"/>
        </c:scaling>
        <c:delete val="0"/>
        <c:axPos val="b"/>
        <c:numFmt formatCode="General" sourceLinked="1"/>
        <c:majorTickMark val="none"/>
        <c:minorTickMark val="none"/>
        <c:tickLblPos val="nextTo"/>
        <c:spPr>
          <a:noFill/>
          <a:ln w="9525" cap="flat" cmpd="sng" algn="ctr">
            <a:solidFill>
              <a:srgbClr val="A9A9A9"/>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yriad Pro Condensed"/>
                <a:ea typeface="+mn-ea"/>
                <a:cs typeface="+mn-cs"/>
              </a:defRPr>
            </a:pPr>
            <a:endParaRPr lang="en-US"/>
          </a:p>
        </c:txPr>
        <c:crossAx val="99492160"/>
        <c:crosses val="autoZero"/>
        <c:auto val="1"/>
        <c:lblAlgn val="ctr"/>
        <c:lblOffset val="100"/>
        <c:noMultiLvlLbl val="0"/>
      </c:catAx>
      <c:valAx>
        <c:axId val="99492160"/>
        <c:scaling>
          <c:orientation val="minMax"/>
        </c:scaling>
        <c:delete val="0"/>
        <c:axPos val="l"/>
        <c:majorGridlines>
          <c:spPr>
            <a:ln w="9525" cap="flat" cmpd="sng" algn="ctr">
              <a:solidFill>
                <a:srgbClr val="A9A9A9"/>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yriad Pro Condensed"/>
                <a:ea typeface="+mn-ea"/>
                <a:cs typeface="+mn-cs"/>
              </a:defRPr>
            </a:pPr>
            <a:endParaRPr lang="en-US"/>
          </a:p>
        </c:txPr>
        <c:crossAx val="99489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yriad Pro Condensed"/>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'ASSETS-GNP'!$B$1</c:f>
              <c:strCache>
                <c:ptCount val="1"/>
                <c:pt idx="0">
                  <c:v>PNB</c:v>
                </c:pt>
              </c:strCache>
            </c:strRef>
          </c:tx>
          <c:spPr>
            <a:ln w="28575" cap="rnd">
              <a:solidFill>
                <a:schemeClr val="accent1"/>
              </a:solidFill>
              <a:round/>
            </a:ln>
            <a:effectLst/>
          </c:spPr>
          <c:marker>
            <c:symbol val="none"/>
          </c:marker>
          <c:cat>
            <c:numRef>
              <c:f>'ASSETS-GNP'!$A$67:$A$76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'ASSETS-GNP'!$B$67:$B$76</c:f>
              <c:numCache>
                <c:formatCode>#,##0.0</c:formatCode>
                <c:ptCount val="10"/>
                <c:pt idx="0">
                  <c:v>69602</c:v>
                </c:pt>
                <c:pt idx="1">
                  <c:v>69985.2</c:v>
                </c:pt>
                <c:pt idx="2">
                  <c:v>69049.493000000002</c:v>
                </c:pt>
                <c:pt idx="3">
                  <c:v>67601.100000000006</c:v>
                </c:pt>
                <c:pt idx="4">
                  <c:v>70765.100000000006</c:v>
                </c:pt>
                <c:pt idx="5">
                  <c:v>70353.3</c:v>
                </c:pt>
                <c:pt idx="6">
                  <c:v>73357.3</c:v>
                </c:pt>
                <c:pt idx="7">
                  <c:v>78642.100000000006</c:v>
                </c:pt>
                <c:pt idx="8">
                  <c:v>81928.600000000006</c:v>
                </c:pt>
                <c:pt idx="9">
                  <c:v>85627.3</c:v>
                </c:pt>
              </c:numCache>
            </c:numRef>
          </c:val>
          <c:smooth val="0"/>
          <c:extLst>
            <c:ext xmlns:c16="http://schemas.microsoft.com/office/drawing/2014/chart" uri="{C3380CC4-5D6E-409C-BE32-E72D297353CC}">
              <c16:uniqueId val="{00000000-7262-4868-8549-72593750842D}"/>
            </c:ext>
          </c:extLst>
        </c:ser>
        <c:ser>
          <c:idx val="1"/>
          <c:order val="1"/>
          <c:tx>
            <c:strRef>
              <c:f>'ASSETS-GNP'!$C$1</c:f>
              <c:strCache>
                <c:ptCount val="1"/>
                <c:pt idx="0">
                  <c:v>PIB</c:v>
                </c:pt>
              </c:strCache>
            </c:strRef>
          </c:tx>
          <c:spPr>
            <a:ln w="28575" cap="rnd">
              <a:solidFill>
                <a:schemeClr val="accent2"/>
              </a:solidFill>
              <a:round/>
            </a:ln>
            <a:effectLst/>
          </c:spPr>
          <c:marker>
            <c:symbol val="none"/>
          </c:marker>
          <c:cat>
            <c:numRef>
              <c:f>'ASSETS-GNP'!$A$67:$A$76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'ASSETS-GNP'!$C$67:$C$76</c:f>
              <c:numCache>
                <c:formatCode>#,##0.0</c:formatCode>
                <c:ptCount val="10"/>
                <c:pt idx="0" formatCode="#,##0">
                  <c:v>103375.5</c:v>
                </c:pt>
                <c:pt idx="1">
                  <c:v>104336.7</c:v>
                </c:pt>
                <c:pt idx="2">
                  <c:v>103445.5</c:v>
                </c:pt>
                <c:pt idx="3">
                  <c:v>100958.1</c:v>
                </c:pt>
                <c:pt idx="4">
                  <c:v>105126.39999999999</c:v>
                </c:pt>
                <c:pt idx="5">
                  <c:v>103130.9</c:v>
                </c:pt>
                <c:pt idx="6">
                  <c:v>106426.6</c:v>
                </c:pt>
                <c:pt idx="7">
                  <c:v>113843.7</c:v>
                </c:pt>
                <c:pt idx="8">
                  <c:v>118375</c:v>
                </c:pt>
                <c:pt idx="9">
                  <c:v>125841.5</c:v>
                </c:pt>
              </c:numCache>
            </c:numRef>
          </c:val>
          <c:smooth val="0"/>
          <c:extLst>
            <c:ext xmlns:c16="http://schemas.microsoft.com/office/drawing/2014/chart" uri="{C3380CC4-5D6E-409C-BE32-E72D297353CC}">
              <c16:uniqueId val="{00000001-7262-4868-8549-72593750842D}"/>
            </c:ext>
          </c:extLst>
        </c:ser>
        <c:ser>
          <c:idx val="2"/>
          <c:order val="2"/>
          <c:tx>
            <c:strRef>
              <c:f>'ASSETS-GNP'!$D$1</c:f>
              <c:strCache>
                <c:ptCount val="1"/>
                <c:pt idx="0">
                  <c:v>Activos</c:v>
                </c:pt>
              </c:strCache>
            </c:strRef>
          </c:tx>
          <c:spPr>
            <a:ln w="28575" cap="rnd">
              <a:solidFill>
                <a:schemeClr val="accent3"/>
              </a:solidFill>
              <a:round/>
            </a:ln>
            <a:effectLst/>
          </c:spPr>
          <c:marker>
            <c:symbol val="none"/>
          </c:marker>
          <c:cat>
            <c:numRef>
              <c:f>'ASSETS-GNP'!$A$67:$A$76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'ASSETS-GNP'!$D$67:$D$76</c:f>
              <c:numCache>
                <c:formatCode>#,##0</c:formatCode>
                <c:ptCount val="10"/>
                <c:pt idx="0">
                  <c:v>53252.362999999998</c:v>
                </c:pt>
                <c:pt idx="1">
                  <c:v>53874.375999999997</c:v>
                </c:pt>
                <c:pt idx="2">
                  <c:v>58629.716</c:v>
                </c:pt>
                <c:pt idx="3">
                  <c:v>61802.851000000002</c:v>
                </c:pt>
                <c:pt idx="4">
                  <c:v>64832.273999999998</c:v>
                </c:pt>
                <c:pt idx="5">
                  <c:v>79575.180999999997</c:v>
                </c:pt>
                <c:pt idx="6">
                  <c:v>90035.887000000002</c:v>
                </c:pt>
                <c:pt idx="7">
                  <c:v>78532.244999999995</c:v>
                </c:pt>
                <c:pt idx="8">
                  <c:v>81807.524999999994</c:v>
                </c:pt>
                <c:pt idx="9">
                  <c:v>84230.254000000001</c:v>
                </c:pt>
              </c:numCache>
            </c:numRef>
          </c:val>
          <c:smooth val="0"/>
          <c:extLst>
            <c:ext xmlns:c16="http://schemas.microsoft.com/office/drawing/2014/chart" uri="{C3380CC4-5D6E-409C-BE32-E72D297353CC}">
              <c16:uniqueId val="{00000002-7262-4868-8549-72593750842D}"/>
            </c:ext>
          </c:extLst>
        </c:ser>
        <c:dLbls>
          <c:showLegendKey val="0"/>
          <c:showVal val="0"/>
          <c:showCatName val="0"/>
          <c:showSerName val="0"/>
          <c:showPercent val="0"/>
          <c:showBubbleSize val="0"/>
        </c:dLbls>
        <c:smooth val="0"/>
        <c:axId val="226009904"/>
        <c:axId val="226007984"/>
      </c:lineChart>
      <c:catAx>
        <c:axId val="226009904"/>
        <c:scaling>
          <c:orientation val="minMax"/>
        </c:scaling>
        <c:delete val="0"/>
        <c:axPos val="b"/>
        <c:numFmt formatCode="General" sourceLinked="1"/>
        <c:majorTickMark val="none"/>
        <c:minorTickMark val="none"/>
        <c:tickLblPos val="nextTo"/>
        <c:spPr>
          <a:noFill/>
          <a:ln w="9525" cap="flat" cmpd="sng" algn="ctr">
            <a:solidFill>
              <a:srgbClr val="A9A9A9"/>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yriad Pro Condensed"/>
                <a:ea typeface="+mn-ea"/>
                <a:cs typeface="+mn-cs"/>
              </a:defRPr>
            </a:pPr>
            <a:endParaRPr lang="en-US"/>
          </a:p>
        </c:txPr>
        <c:crossAx val="226007984"/>
        <c:crosses val="autoZero"/>
        <c:auto val="1"/>
        <c:lblAlgn val="ctr"/>
        <c:lblOffset val="100"/>
        <c:noMultiLvlLbl val="0"/>
      </c:catAx>
      <c:valAx>
        <c:axId val="226007984"/>
        <c:scaling>
          <c:orientation val="minMax"/>
        </c:scaling>
        <c:delete val="0"/>
        <c:axPos val="l"/>
        <c:majorGridlines>
          <c:spPr>
            <a:ln w="9525" cap="flat" cmpd="sng" algn="ctr">
              <a:solidFill>
                <a:srgbClr val="A9A9A9"/>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yriad Pro Condensed"/>
                <a:ea typeface="+mn-ea"/>
                <a:cs typeface="+mn-cs"/>
              </a:defRPr>
            </a:pPr>
            <a:endParaRPr lang="en-US"/>
          </a:p>
        </c:txPr>
        <c:crossAx val="22600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yriad Pro Condensed"/>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'ASSETS-GNP'!$B$68:$B$76</c:f>
              <c:numCache>
                <c:formatCode>#,##0.0</c:formatCode>
                <c:ptCount val="9"/>
                <c:pt idx="0">
                  <c:v>69985.2</c:v>
                </c:pt>
                <c:pt idx="1">
                  <c:v>69049.493000000002</c:v>
                </c:pt>
                <c:pt idx="2">
                  <c:v>67601.100000000006</c:v>
                </c:pt>
                <c:pt idx="3">
                  <c:v>70765.100000000006</c:v>
                </c:pt>
                <c:pt idx="4">
                  <c:v>70353.3</c:v>
                </c:pt>
                <c:pt idx="5">
                  <c:v>73357.3</c:v>
                </c:pt>
                <c:pt idx="6">
                  <c:v>78642.100000000006</c:v>
                </c:pt>
                <c:pt idx="7">
                  <c:v>81928.600000000006</c:v>
                </c:pt>
                <c:pt idx="8">
                  <c:v>85627.3</c:v>
                </c:pt>
              </c:numCache>
            </c:numRef>
          </c:val>
          <c:extLst>
            <c:ext xmlns:c16="http://schemas.microsoft.com/office/drawing/2014/chart" uri="{C3380CC4-5D6E-409C-BE32-E72D297353CC}">
              <c16:uniqueId val="{00000000-113E-4D70-A43C-FBF7F7D33E2C}"/>
            </c:ext>
          </c:extLst>
        </c:ser>
        <c:dLbls>
          <c:showLegendKey val="0"/>
          <c:showVal val="0"/>
          <c:showCatName val="0"/>
          <c:showSerName val="0"/>
          <c:showPercent val="0"/>
          <c:showBubbleSize val="0"/>
        </c:dLbls>
        <c:gapWidth val="219"/>
        <c:overlap val="-27"/>
        <c:axId val="506140383"/>
        <c:axId val="506139903"/>
      </c:barChart>
      <c:lineChart>
        <c:grouping val="standard"/>
        <c:varyColors val="0"/>
        <c:ser>
          <c:idx val="1"/>
          <c:order val="1"/>
          <c:spPr>
            <a:ln w="28575" cap="rnd">
              <a:solidFill>
                <a:schemeClr val="accent2"/>
              </a:solidFill>
              <a:round/>
            </a:ln>
            <a:effectLst/>
          </c:spPr>
          <c:marker>
            <c:symbol val="none"/>
          </c:marker>
          <c:val>
            <c:numRef>
              <c:f>'ASSETS-GNP'!$G$68:$G$76</c:f>
              <c:numCache>
                <c:formatCode>0.0%</c:formatCode>
                <c:ptCount val="9"/>
                <c:pt idx="0">
                  <c:v>0.76535281030846525</c:v>
                </c:pt>
                <c:pt idx="1">
                  <c:v>0.81466269419241066</c:v>
                </c:pt>
                <c:pt idx="2">
                  <c:v>0.89075892995824024</c:v>
                </c:pt>
                <c:pt idx="3">
                  <c:v>0.8947569140720496</c:v>
                </c:pt>
                <c:pt idx="4">
                  <c:v>1.0263019289784558</c:v>
                </c:pt>
                <c:pt idx="5">
                  <c:v>1.156061278155003</c:v>
                </c:pt>
                <c:pt idx="6">
                  <c:v>1.0717423110522226</c:v>
                </c:pt>
                <c:pt idx="7">
                  <c:v>0.97853356459160767</c:v>
                </c:pt>
                <c:pt idx="8">
                  <c:v>0.96953762993811554</c:v>
                </c:pt>
              </c:numCache>
            </c:numRef>
          </c:val>
          <c:smooth val="0"/>
          <c:extLst>
            <c:ext xmlns:c16="http://schemas.microsoft.com/office/drawing/2014/chart" uri="{C3380CC4-5D6E-409C-BE32-E72D297353CC}">
              <c16:uniqueId val="{00000001-113E-4D70-A43C-FBF7F7D33E2C}"/>
            </c:ext>
          </c:extLst>
        </c:ser>
        <c:dLbls>
          <c:showLegendKey val="0"/>
          <c:showVal val="0"/>
          <c:showCatName val="0"/>
          <c:showSerName val="0"/>
          <c:showPercent val="0"/>
          <c:showBubbleSize val="0"/>
        </c:dLbls>
        <c:marker val="1"/>
        <c:smooth val="0"/>
        <c:axId val="506129823"/>
        <c:axId val="506120703"/>
      </c:lineChart>
      <c:catAx>
        <c:axId val="50612982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120703"/>
        <c:crosses val="autoZero"/>
        <c:auto val="1"/>
        <c:lblAlgn val="ctr"/>
        <c:lblOffset val="100"/>
        <c:noMultiLvlLbl val="0"/>
      </c:catAx>
      <c:valAx>
        <c:axId val="50612070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129823"/>
        <c:crosses val="autoZero"/>
        <c:crossBetween val="between"/>
      </c:valAx>
      <c:valAx>
        <c:axId val="506139903"/>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140383"/>
        <c:crosses val="max"/>
        <c:crossBetween val="between"/>
      </c:valAx>
      <c:catAx>
        <c:axId val="506140383"/>
        <c:scaling>
          <c:orientation val="minMax"/>
        </c:scaling>
        <c:delete val="1"/>
        <c:axPos val="b"/>
        <c:majorTickMark val="out"/>
        <c:minorTickMark val="none"/>
        <c:tickLblPos val="nextTo"/>
        <c:crossAx val="5061399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'ASSETS-GNP'!$C$68:$C$76</c:f>
              <c:numCache>
                <c:formatCode>#,##0.0</c:formatCode>
                <c:ptCount val="9"/>
                <c:pt idx="0">
                  <c:v>104336.7</c:v>
                </c:pt>
                <c:pt idx="1">
                  <c:v>103445.5</c:v>
                </c:pt>
                <c:pt idx="2">
                  <c:v>100958.1</c:v>
                </c:pt>
                <c:pt idx="3">
                  <c:v>105126.39999999999</c:v>
                </c:pt>
                <c:pt idx="4">
                  <c:v>103130.9</c:v>
                </c:pt>
                <c:pt idx="5">
                  <c:v>106426.6</c:v>
                </c:pt>
                <c:pt idx="6">
                  <c:v>113843.7</c:v>
                </c:pt>
                <c:pt idx="7">
                  <c:v>118375</c:v>
                </c:pt>
                <c:pt idx="8">
                  <c:v>125841.5</c:v>
                </c:pt>
              </c:numCache>
            </c:numRef>
          </c:val>
          <c:extLst>
            <c:ext xmlns:c16="http://schemas.microsoft.com/office/drawing/2014/chart" uri="{C3380CC4-5D6E-409C-BE32-E72D297353CC}">
              <c16:uniqueId val="{00000000-5B48-48CC-BC25-30A98C203BBA}"/>
            </c:ext>
          </c:extLst>
        </c:ser>
        <c:dLbls>
          <c:showLegendKey val="0"/>
          <c:showVal val="0"/>
          <c:showCatName val="0"/>
          <c:showSerName val="0"/>
          <c:showPercent val="0"/>
          <c:showBubbleSize val="0"/>
        </c:dLbls>
        <c:gapWidth val="219"/>
        <c:overlap val="-27"/>
        <c:axId val="480979071"/>
        <c:axId val="480968991"/>
      </c:barChart>
      <c:lineChart>
        <c:grouping val="standard"/>
        <c:varyColors val="0"/>
        <c:ser>
          <c:idx val="1"/>
          <c:order val="1"/>
          <c:spPr>
            <a:ln w="28575" cap="rnd">
              <a:solidFill>
                <a:schemeClr val="accent2"/>
              </a:solidFill>
              <a:round/>
            </a:ln>
            <a:effectLst/>
          </c:spPr>
          <c:marker>
            <c:symbol val="none"/>
          </c:marker>
          <c:val>
            <c:numRef>
              <c:f>'ASSETS-GNP'!$H$68:$H$76</c:f>
              <c:numCache>
                <c:formatCode>0.0%</c:formatCode>
                <c:ptCount val="9"/>
                <c:pt idx="0">
                  <c:v>0.51337036248990053</c:v>
                </c:pt>
                <c:pt idx="1">
                  <c:v>0.54378436954724951</c:v>
                </c:pt>
                <c:pt idx="2">
                  <c:v>0.59644826418088293</c:v>
                </c:pt>
                <c:pt idx="3">
                  <c:v>0.60229935106690613</c:v>
                </c:pt>
                <c:pt idx="4">
                  <c:v>0.70011730237979108</c:v>
                </c:pt>
                <c:pt idx="5">
                  <c:v>0.79684528116091269</c:v>
                </c:pt>
                <c:pt idx="6">
                  <c:v>0.74034896968387365</c:v>
                </c:pt>
                <c:pt idx="7">
                  <c:v>0.67725351636747622</c:v>
                </c:pt>
                <c:pt idx="8">
                  <c:v>0.65970994862585086</c:v>
                </c:pt>
              </c:numCache>
            </c:numRef>
          </c:val>
          <c:smooth val="0"/>
          <c:extLst>
            <c:ext xmlns:c16="http://schemas.microsoft.com/office/drawing/2014/chart" uri="{C3380CC4-5D6E-409C-BE32-E72D297353CC}">
              <c16:uniqueId val="{00000001-5B48-48CC-BC25-30A98C203BBA}"/>
            </c:ext>
          </c:extLst>
        </c:ser>
        <c:dLbls>
          <c:showLegendKey val="0"/>
          <c:showVal val="0"/>
          <c:showCatName val="0"/>
          <c:showSerName val="0"/>
          <c:showPercent val="0"/>
          <c:showBubbleSize val="0"/>
        </c:dLbls>
        <c:marker val="1"/>
        <c:smooth val="0"/>
        <c:axId val="480973311"/>
        <c:axId val="480978111"/>
      </c:lineChart>
      <c:catAx>
        <c:axId val="48097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68991"/>
        <c:crosses val="autoZero"/>
        <c:auto val="1"/>
        <c:lblAlgn val="ctr"/>
        <c:lblOffset val="100"/>
        <c:noMultiLvlLbl val="0"/>
      </c:catAx>
      <c:valAx>
        <c:axId val="48096899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79071"/>
        <c:crosses val="autoZero"/>
        <c:crossBetween val="between"/>
      </c:valAx>
      <c:valAx>
        <c:axId val="480978111"/>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973311"/>
        <c:crosses val="max"/>
        <c:crossBetween val="between"/>
      </c:valAx>
      <c:catAx>
        <c:axId val="480973311"/>
        <c:scaling>
          <c:orientation val="minMax"/>
        </c:scaling>
        <c:delete val="1"/>
        <c:axPos val="b"/>
        <c:majorTickMark val="none"/>
        <c:minorTickMark val="none"/>
        <c:tickLblPos val="nextTo"/>
        <c:crossAx val="48097811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94A65"/>
            </a:solidFill>
            <a:ln>
              <a:noFill/>
            </a:ln>
            <a:effectLst/>
          </c:spPr>
          <c:invertIfNegative val="0"/>
          <c:dPt>
            <c:idx val="0"/>
            <c:invertIfNegative val="0"/>
            <c:bubble3D val="0"/>
            <c:spPr>
              <a:solidFill>
                <a:srgbClr val="194A65"/>
              </a:solidFill>
              <a:ln>
                <a:noFill/>
              </a:ln>
              <a:effectLst/>
            </c:spPr>
            <c:extLst>
              <c:ext xmlns:c16="http://schemas.microsoft.com/office/drawing/2014/chart" uri="{C3380CC4-5D6E-409C-BE32-E72D297353CC}">
                <c16:uniqueId val="{00000004-9D8B-435A-9142-CA949015E048}"/>
              </c:ext>
            </c:extLst>
          </c:dPt>
          <c:dPt>
            <c:idx val="1"/>
            <c:invertIfNegative val="0"/>
            <c:bubble3D val="0"/>
            <c:spPr>
              <a:solidFill>
                <a:srgbClr val="194A65"/>
              </a:solidFill>
              <a:ln>
                <a:noFill/>
              </a:ln>
              <a:effectLst/>
            </c:spPr>
            <c:extLst>
              <c:ext xmlns:c16="http://schemas.microsoft.com/office/drawing/2014/chart" uri="{C3380CC4-5D6E-409C-BE32-E72D297353CC}">
                <c16:uniqueId val="{00000003-9D8B-435A-9142-CA949015E048}"/>
              </c:ext>
            </c:extLst>
          </c:dPt>
          <c:dPt>
            <c:idx val="2"/>
            <c:invertIfNegative val="0"/>
            <c:bubble3D val="0"/>
            <c:spPr>
              <a:solidFill>
                <a:srgbClr val="194A65"/>
              </a:solidFill>
              <a:ln>
                <a:noFill/>
              </a:ln>
              <a:effectLst/>
            </c:spPr>
            <c:extLst>
              <c:ext xmlns:c16="http://schemas.microsoft.com/office/drawing/2014/chart" uri="{C3380CC4-5D6E-409C-BE32-E72D297353CC}">
                <c16:uniqueId val="{00000002-9D8B-435A-9142-CA949015E048}"/>
              </c:ext>
            </c:extLst>
          </c:dPt>
          <c:dPt>
            <c:idx val="3"/>
            <c:invertIfNegative val="0"/>
            <c:bubble3D val="0"/>
            <c:spPr>
              <a:solidFill>
                <a:srgbClr val="FF8502"/>
              </a:solidFill>
              <a:ln>
                <a:noFill/>
              </a:ln>
              <a:effectLst/>
            </c:spPr>
            <c:extLst>
              <c:ext xmlns:c16="http://schemas.microsoft.com/office/drawing/2014/chart" uri="{C3380CC4-5D6E-409C-BE32-E72D297353CC}">
                <c16:uniqueId val="{00000006-7129-4259-8D6B-57D25476E54D}"/>
              </c:ext>
            </c:extLst>
          </c:dPt>
          <c:dLbls>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yriad Pro Condesed"/>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6-7129-4259-8D6B-57D25476E54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yriad Pro Condesed"/>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'Grafica 1'!$B$2:$B$5</c:f>
              <c:numCache>
                <c:formatCode>General</c:formatCode>
                <c:ptCount val="4"/>
                <c:pt idx="0">
                  <c:v>2022</c:v>
                </c:pt>
                <c:pt idx="1">
                  <c:v>2023</c:v>
                </c:pt>
                <c:pt idx="2">
                  <c:v>2024</c:v>
                </c:pt>
                <c:pt idx="3">
                  <c:v>2025</c:v>
                </c:pt>
              </c:numCache>
            </c:numRef>
          </c:cat>
          <c:val>
            <c:numRef>
              <c:f>'Grafica 1'!$C$2:$C$5</c:f>
              <c:numCache>
                <c:formatCode>"$"#,##0_);[Red]\("$"#,##0\)</c:formatCode>
                <c:ptCount val="4"/>
                <c:pt idx="0">
                  <c:v>18169</c:v>
                </c:pt>
                <c:pt idx="1">
                  <c:v>22173</c:v>
                </c:pt>
                <c:pt idx="2">
                  <c:v>24623</c:v>
                </c:pt>
                <c:pt idx="3">
                  <c:v>24433</c:v>
                </c:pt>
              </c:numCache>
            </c:numRef>
          </c:val>
          <c:extLst>
            <c:ext xmlns:c16="http://schemas.microsoft.com/office/drawing/2014/chart" uri="{C3380CC4-5D6E-409C-BE32-E72D297353CC}">
              <c16:uniqueId val="{00000000-9D8B-435A-9142-CA949015E048}"/>
            </c:ext>
          </c:extLst>
        </c:ser>
        <c:dLbls>
          <c:dLblPos val="outEnd"/>
          <c:showLegendKey val="0"/>
          <c:showVal val="1"/>
          <c:showCatName val="0"/>
          <c:showSerName val="0"/>
          <c:showPercent val="0"/>
          <c:showBubbleSize val="0"/>
        </c:dLbls>
        <c:gapWidth val="219"/>
        <c:overlap val="-27"/>
        <c:axId val="47575968"/>
        <c:axId val="47574528"/>
      </c:barChart>
      <c:catAx>
        <c:axId val="475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yriad Pro Condesed"/>
                <a:ea typeface="+mn-ea"/>
                <a:cs typeface="+mn-cs"/>
              </a:defRPr>
            </a:pPr>
            <a:endParaRPr lang="en-US"/>
          </a:p>
        </c:txPr>
        <c:crossAx val="47574528"/>
        <c:crosses val="autoZero"/>
        <c:auto val="1"/>
        <c:lblAlgn val="ctr"/>
        <c:lblOffset val="100"/>
        <c:noMultiLvlLbl val="0"/>
      </c:catAx>
      <c:valAx>
        <c:axId val="47574528"/>
        <c:scaling>
          <c:orientation val="minMax"/>
        </c:scaling>
        <c:delete val="1"/>
        <c:axPos val="l"/>
        <c:numFmt formatCode="&quot;$&quot;#,##0_);[Red]\(&quot;$&quot;#,##0\)" sourceLinked="1"/>
        <c:majorTickMark val="none"/>
        <c:minorTickMark val="none"/>
        <c:tickLblPos val="nextTo"/>
        <c:crossAx val="47575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194A65"/>
            </a:solidFill>
            <a:ln>
              <a:noFill/>
            </a:ln>
            <a:effectLst/>
          </c:spPr>
          <c:invertIfNegative val="0"/>
          <c:dPt>
            <c:idx val="10"/>
            <c:invertIfNegative val="0"/>
            <c:bubble3D val="0"/>
            <c:spPr>
              <a:solidFill>
                <a:srgbClr val="FF8502"/>
              </a:solidFill>
              <a:ln>
                <a:noFill/>
              </a:ln>
              <a:effectLst/>
            </c:spPr>
            <c:extLst>
              <c:ext xmlns:c16="http://schemas.microsoft.com/office/drawing/2014/chart" uri="{C3380CC4-5D6E-409C-BE32-E72D297353CC}">
                <c16:uniqueId val="{00000001-3EE4-4874-8F8B-B2745F96AC1E}"/>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E4-4874-8F8B-B2745F96AC1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E4-4874-8F8B-B2745F96AC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yriad Pro Condesed"/>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'Tabla 1'!$I$3:$I$13</c:f>
              <c:strCache>
                <c:ptCount val="11"/>
                <c:pt idx="0">
                  <c:v>12 meses CD</c:v>
                </c:pt>
                <c:pt idx="1">
                  <c:v>6 meses CD</c:v>
                </c:pt>
                <c:pt idx="2">
                  <c:v>3 meses CD</c:v>
                </c:pt>
                <c:pt idx="3">
                  <c:v>24 meses CD</c:v>
                </c:pt>
                <c:pt idx="4">
                  <c:v>36 meses CD</c:v>
                </c:pt>
                <c:pt idx="5">
                  <c:v>60 meses CD</c:v>
                </c:pt>
                <c:pt idx="6">
                  <c:v>48 meses CD</c:v>
                </c:pt>
                <c:pt idx="7">
                  <c:v>Money Market</c:v>
                </c:pt>
                <c:pt idx="8">
                  <c:v>Ahorros</c:v>
                </c:pt>
                <c:pt idx="9">
                  <c:v>1 meses CD</c:v>
                </c:pt>
                <c:pt idx="10">
                  <c:v>Interest Checking</c:v>
                </c:pt>
              </c:strCache>
            </c:strRef>
          </c:cat>
          <c:val>
            <c:numRef>
              <c:f>'Tabla 1'!$J$3:$J$13</c:f>
              <c:numCache>
                <c:formatCode>General</c:formatCode>
                <c:ptCount val="11"/>
                <c:pt idx="0">
                  <c:v>1.8</c:v>
                </c:pt>
                <c:pt idx="1">
                  <c:v>1.63</c:v>
                </c:pt>
                <c:pt idx="2">
                  <c:v>1.45</c:v>
                </c:pt>
                <c:pt idx="3">
                  <c:v>1.45</c:v>
                </c:pt>
                <c:pt idx="4">
                  <c:v>1.31</c:v>
                </c:pt>
                <c:pt idx="5">
                  <c:v>1.31</c:v>
                </c:pt>
                <c:pt idx="6">
                  <c:v>1.23</c:v>
                </c:pt>
                <c:pt idx="7">
                  <c:v>0.64</c:v>
                </c:pt>
                <c:pt idx="8">
                  <c:v>0.41</c:v>
                </c:pt>
                <c:pt idx="9">
                  <c:v>0.22</c:v>
                </c:pt>
                <c:pt idx="10">
                  <c:v>7.0000000000000007E-2</c:v>
                </c:pt>
              </c:numCache>
            </c:numRef>
          </c:val>
          <c:extLst>
            <c:ext xmlns:c16="http://schemas.microsoft.com/office/drawing/2014/chart" uri="{C3380CC4-5D6E-409C-BE32-E72D297353CC}">
              <c16:uniqueId val="{00000000-3EE4-4874-8F8B-B2745F96AC1E}"/>
            </c:ext>
          </c:extLst>
        </c:ser>
        <c:dLbls>
          <c:showLegendKey val="0"/>
          <c:showVal val="0"/>
          <c:showCatName val="0"/>
          <c:showSerName val="0"/>
          <c:showPercent val="0"/>
          <c:showBubbleSize val="0"/>
        </c:dLbls>
        <c:gapWidth val="182"/>
        <c:axId val="1050040447"/>
        <c:axId val="1050040927"/>
      </c:barChart>
      <c:catAx>
        <c:axId val="10500404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yriad Pro Condesed"/>
                <a:ea typeface="+mn-ea"/>
                <a:cs typeface="+mn-cs"/>
              </a:defRPr>
            </a:pPr>
            <a:endParaRPr lang="en-US"/>
          </a:p>
        </c:txPr>
        <c:crossAx val="1050040927"/>
        <c:crosses val="autoZero"/>
        <c:auto val="1"/>
        <c:lblAlgn val="ctr"/>
        <c:lblOffset val="100"/>
        <c:noMultiLvlLbl val="0"/>
      </c:catAx>
      <c:valAx>
        <c:axId val="105004092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yriad Pro Condesed"/>
                <a:ea typeface="+mn-ea"/>
                <a:cs typeface="+mn-cs"/>
              </a:defRPr>
            </a:pPr>
            <a:endParaRPr lang="en-US"/>
          </a:p>
        </c:txPr>
        <c:crossAx val="105004044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'Grafica 2'!$C$1</c:f>
              <c:strCache>
                <c:ptCount val="1"/>
                <c:pt idx="0">
                  <c:v>Deposits ($)</c:v>
                </c:pt>
              </c:strCache>
            </c:strRef>
          </c:tx>
          <c:spPr>
            <a:solidFill>
              <a:srgbClr val="194A65"/>
            </a:solidFill>
            <a:ln>
              <a:noFill/>
            </a:ln>
            <a:effectLst/>
          </c:spPr>
          <c:invertIfNegative val="0"/>
          <c:dPt>
            <c:idx val="6"/>
            <c:invertIfNegative val="0"/>
            <c:bubble3D val="0"/>
            <c:spPr>
              <a:solidFill>
                <a:srgbClr val="A9A9A9"/>
              </a:solidFill>
              <a:ln>
                <a:noFill/>
              </a:ln>
              <a:effectLst/>
            </c:spPr>
            <c:extLst>
              <c:ext xmlns:c16="http://schemas.microsoft.com/office/drawing/2014/chart" uri="{C3380CC4-5D6E-409C-BE32-E72D297353CC}">
                <c16:uniqueId val="{00000001-0914-4CBF-83A6-744A1DBCA713}"/>
              </c:ext>
            </c:extLst>
          </c:dPt>
          <c:dPt>
            <c:idx val="9"/>
            <c:invertIfNegative val="0"/>
            <c:bubble3D val="0"/>
            <c:spPr>
              <a:solidFill>
                <a:srgbClr val="194A65"/>
              </a:solidFill>
              <a:ln>
                <a:noFill/>
              </a:ln>
              <a:effectLst/>
            </c:spPr>
            <c:extLst>
              <c:ext xmlns:c16="http://schemas.microsoft.com/office/drawing/2014/chart" uri="{C3380CC4-5D6E-409C-BE32-E72D297353CC}">
                <c16:uniqueId val="{00000003-0914-4CBF-83A6-744A1DBCA713}"/>
              </c:ext>
            </c:extLst>
          </c:dPt>
          <c:dPt>
            <c:idx val="10"/>
            <c:invertIfNegative val="0"/>
            <c:bubble3D val="0"/>
            <c:spPr>
              <a:solidFill>
                <a:srgbClr val="FF8502"/>
              </a:solidFill>
              <a:ln>
                <a:noFill/>
              </a:ln>
              <a:effectLst/>
            </c:spPr>
            <c:extLst>
              <c:ext xmlns:c16="http://schemas.microsoft.com/office/drawing/2014/chart" uri="{C3380CC4-5D6E-409C-BE32-E72D297353CC}">
                <c16:uniqueId val="{00000001-0EA3-4636-8806-0B3EE931B107}"/>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14-4CBF-83A6-744A1DBCA71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14-4CBF-83A6-744A1DBCA71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3-4636-8806-0B3EE931B10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yriad Pro Condesed"/>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2'!$B$3:$B$13</c:f>
              <c:strCache>
                <c:ptCount val="11"/>
                <c:pt idx="0">
                  <c:v>2015</c:v>
                </c:pt>
                <c:pt idx="1">
                  <c:v>2016</c:v>
                </c:pt>
                <c:pt idx="2">
                  <c:v>2017</c:v>
                </c:pt>
                <c:pt idx="3">
                  <c:v>2018</c:v>
                </c:pt>
                <c:pt idx="4">
                  <c:v>2019</c:v>
                </c:pt>
                <c:pt idx="5">
                  <c:v>2020</c:v>
                </c:pt>
                <c:pt idx="6">
                  <c:v>2021</c:v>
                </c:pt>
                <c:pt idx="7">
                  <c:v>2022</c:v>
                </c:pt>
                <c:pt idx="8">
                  <c:v>2023</c:v>
                </c:pt>
                <c:pt idx="9">
                  <c:v>2024</c:v>
                </c:pt>
                <c:pt idx="10">
                  <c:v>Q3-2025</c:v>
                </c:pt>
              </c:strCache>
            </c:strRef>
          </c:cat>
          <c:val>
            <c:numRef>
              <c:f>'Grafica 2'!$C$3:$C$13</c:f>
              <c:numCache>
                <c:formatCode>"$"#,##0</c:formatCode>
                <c:ptCount val="11"/>
                <c:pt idx="0">
                  <c:v>41571</c:v>
                </c:pt>
                <c:pt idx="1">
                  <c:v>42869</c:v>
                </c:pt>
                <c:pt idx="2">
                  <c:v>47110</c:v>
                </c:pt>
                <c:pt idx="3">
                  <c:v>50481</c:v>
                </c:pt>
                <c:pt idx="4">
                  <c:v>54430</c:v>
                </c:pt>
                <c:pt idx="5">
                  <c:v>69504</c:v>
                </c:pt>
                <c:pt idx="6">
                  <c:v>81399</c:v>
                </c:pt>
                <c:pt idx="7">
                  <c:v>73606</c:v>
                </c:pt>
                <c:pt idx="8">
                  <c:v>75988</c:v>
                </c:pt>
                <c:pt idx="9">
                  <c:v>77516.551000000007</c:v>
                </c:pt>
                <c:pt idx="10">
                  <c:v>78694.042000000001</c:v>
                </c:pt>
              </c:numCache>
            </c:numRef>
          </c:val>
          <c:extLst>
            <c:ext xmlns:c16="http://schemas.microsoft.com/office/drawing/2014/chart" uri="{C3380CC4-5D6E-409C-BE32-E72D297353CC}">
              <c16:uniqueId val="{00000000-0EA3-4636-8806-0B3EE931B107}"/>
            </c:ext>
          </c:extLst>
        </c:ser>
        <c:dLbls>
          <c:showLegendKey val="0"/>
          <c:showVal val="0"/>
          <c:showCatName val="0"/>
          <c:showSerName val="0"/>
          <c:showPercent val="0"/>
          <c:showBubbleSize val="0"/>
        </c:dLbls>
        <c:gapWidth val="130"/>
        <c:overlap val="-27"/>
        <c:axId val="1701322623"/>
        <c:axId val="1701324063"/>
      </c:barChart>
      <c:catAx>
        <c:axId val="17013226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1200" b="0" i="0" u="none" strike="noStrike" kern="1200" baseline="0">
                <a:solidFill>
                  <a:sysClr val="windowText" lastClr="000000"/>
                </a:solidFill>
                <a:latin typeface="Myriad Pro Condesed"/>
                <a:ea typeface="+mn-ea"/>
                <a:cs typeface="+mn-cs"/>
              </a:defRPr>
            </a:pPr>
            <a:endParaRPr lang="en-US"/>
          </a:p>
        </c:txPr>
        <c:crossAx val="1701324063"/>
        <c:crosses val="autoZero"/>
        <c:auto val="1"/>
        <c:lblAlgn val="ctr"/>
        <c:lblOffset val="100"/>
        <c:noMultiLvlLbl val="0"/>
      </c:catAx>
      <c:valAx>
        <c:axId val="1701324063"/>
        <c:scaling>
          <c:orientation val="minMax"/>
        </c:scaling>
        <c:delete val="1"/>
        <c:axPos val="l"/>
        <c:numFmt formatCode="&quot;$&quot;#,##0" sourceLinked="1"/>
        <c:majorTickMark val="none"/>
        <c:minorTickMark val="none"/>
        <c:tickLblPos val="nextTo"/>
        <c:crossAx val="170132262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94A65"/>
            </a:solidFill>
            <a:ln>
              <a:noFill/>
            </a:ln>
            <a:effectLst/>
          </c:spPr>
          <c:invertIfNegative val="0"/>
          <c:dPt>
            <c:idx val="0"/>
            <c:invertIfNegative val="0"/>
            <c:bubble3D val="0"/>
            <c:spPr>
              <a:solidFill>
                <a:srgbClr val="FF8502"/>
              </a:solidFill>
              <a:ln>
                <a:noFill/>
              </a:ln>
              <a:effectLst/>
            </c:spPr>
            <c:extLst>
              <c:ext xmlns:c16="http://schemas.microsoft.com/office/drawing/2014/chart" uri="{C3380CC4-5D6E-409C-BE32-E72D297353CC}">
                <c16:uniqueId val="{00000002-8509-42B4-9F77-7573CF286D3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yriad Pro Condensed"/>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Sheet3!$A$8:$A$14</c:f>
              <c:numCache>
                <c:formatCode>General</c:formatCode>
                <c:ptCount val="7"/>
                <c:pt idx="0">
                  <c:v>2025</c:v>
                </c:pt>
                <c:pt idx="1">
                  <c:v>2026</c:v>
                </c:pt>
                <c:pt idx="2">
                  <c:v>2027</c:v>
                </c:pt>
                <c:pt idx="3">
                  <c:v>2028</c:v>
                </c:pt>
                <c:pt idx="4">
                  <c:v>2029</c:v>
                </c:pt>
                <c:pt idx="5">
                  <c:v>2030</c:v>
                </c:pt>
                <c:pt idx="6">
                  <c:v>2031</c:v>
                </c:pt>
              </c:numCache>
            </c:numRef>
          </c:cat>
          <c:val>
            <c:numRef>
              <c:f>Sheet3!$B$8:$B$14</c:f>
              <c:numCache>
                <c:formatCode>0.00</c:formatCode>
                <c:ptCount val="7"/>
                <c:pt idx="0">
                  <c:v>4.5729920220147111</c:v>
                </c:pt>
                <c:pt idx="1">
                  <c:v>3.8371306738576729</c:v>
                </c:pt>
                <c:pt idx="2">
                  <c:v>3.3818014574618998</c:v>
                </c:pt>
                <c:pt idx="3">
                  <c:v>3.0446617319710132</c:v>
                </c:pt>
                <c:pt idx="4">
                  <c:v>3.0285441463983021</c:v>
                </c:pt>
                <c:pt idx="5">
                  <c:v>2.9476417551788328</c:v>
                </c:pt>
                <c:pt idx="6">
                  <c:v>2.9135263606989525</c:v>
                </c:pt>
              </c:numCache>
            </c:numRef>
          </c:val>
          <c:extLst>
            <c:ext xmlns:c16="http://schemas.microsoft.com/office/drawing/2014/chart" uri="{C3380CC4-5D6E-409C-BE32-E72D297353CC}">
              <c16:uniqueId val="{00000000-8509-42B4-9F77-7573CF286D37}"/>
            </c:ext>
          </c:extLst>
        </c:ser>
        <c:dLbls>
          <c:dLblPos val="outEnd"/>
          <c:showLegendKey val="0"/>
          <c:showVal val="1"/>
          <c:showCatName val="0"/>
          <c:showSerName val="0"/>
          <c:showPercent val="0"/>
          <c:showBubbleSize val="0"/>
        </c:dLbls>
        <c:gapWidth val="219"/>
        <c:overlap val="-27"/>
        <c:axId val="1173612079"/>
        <c:axId val="1173611599"/>
      </c:barChart>
      <c:catAx>
        <c:axId val="1173612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yriad Pro Condensed"/>
                <a:ea typeface="+mn-ea"/>
                <a:cs typeface="+mn-cs"/>
              </a:defRPr>
            </a:pPr>
            <a:endParaRPr lang="en-US"/>
          </a:p>
        </c:txPr>
        <c:crossAx val="1173611599"/>
        <c:crosses val="autoZero"/>
        <c:auto val="1"/>
        <c:lblAlgn val="ctr"/>
        <c:lblOffset val="100"/>
        <c:noMultiLvlLbl val="0"/>
      </c:catAx>
      <c:valAx>
        <c:axId val="1173611599"/>
        <c:scaling>
          <c:orientation val="minMax"/>
        </c:scaling>
        <c:delete val="1"/>
        <c:axPos val="l"/>
        <c:numFmt formatCode="0.00" sourceLinked="1"/>
        <c:majorTickMark val="none"/>
        <c:minorTickMark val="none"/>
        <c:tickLblPos val="nextTo"/>
        <c:crossAx val="117361207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22</xdr:col>
      <xdr:colOff>714375</xdr:colOff>
      <xdr:row>0</xdr:row>
      <xdr:rowOff>376916</xdr:rowOff>
    </xdr:from>
    <xdr:to>
      <xdr:col>35</xdr:col>
      <xdr:colOff>13607</xdr:colOff>
      <xdr:row>20</xdr:row>
      <xdr:rowOff>163286</xdr:rowOff>
    </xdr:to>
    <xdr:graphicFrame macro="">
      <xdr:nvGraphicFramePr>
        <xdr:cNvPr id="2" name="Chart 1">
          <a:extLst>
            <a:ext uri="{FF2B5EF4-FFF2-40B4-BE49-F238E27FC236}">
              <a16:creationId xmlns:a16="http://schemas.microsoft.com/office/drawing/2014/main" id="{2FFADE74-DE0D-EAE2-0E02-BA0EFDC472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2379</xdr:colOff>
      <xdr:row>66</xdr:row>
      <xdr:rowOff>19050</xdr:rowOff>
    </xdr:from>
    <xdr:to>
      <xdr:col>22</xdr:col>
      <xdr:colOff>638174</xdr:colOff>
      <xdr:row>85</xdr:row>
      <xdr:rowOff>171450</xdr:rowOff>
    </xdr:to>
    <xdr:graphicFrame macro="">
      <xdr:nvGraphicFramePr>
        <xdr:cNvPr id="2" name="Chart 1">
          <a:extLst>
            <a:ext uri="{FF2B5EF4-FFF2-40B4-BE49-F238E27FC236}">
              <a16:creationId xmlns:a16="http://schemas.microsoft.com/office/drawing/2014/main" id="{48AC9939-ADFE-4BED-B88A-C2D53F170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647698</xdr:colOff>
      <xdr:row>0</xdr:row>
      <xdr:rowOff>380998</xdr:rowOff>
    </xdr:from>
    <xdr:to>
      <xdr:col>33</xdr:col>
      <xdr:colOff>19049</xdr:colOff>
      <xdr:row>85</xdr:row>
      <xdr:rowOff>142874</xdr:rowOff>
    </xdr:to>
    <xdr:graphicFrame macro="">
      <xdr:nvGraphicFramePr>
        <xdr:cNvPr id="4" name="Chart 3">
          <a:extLst>
            <a:ext uri="{FF2B5EF4-FFF2-40B4-BE49-F238E27FC236}">
              <a16:creationId xmlns:a16="http://schemas.microsoft.com/office/drawing/2014/main" id="{841E95F9-3C17-A545-2F87-FDA90DFEDA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90487</xdr:colOff>
      <xdr:row>80</xdr:row>
      <xdr:rowOff>152400</xdr:rowOff>
    </xdr:from>
    <xdr:to>
      <xdr:col>14</xdr:col>
      <xdr:colOff>128587</xdr:colOff>
      <xdr:row>96</xdr:row>
      <xdr:rowOff>0</xdr:rowOff>
    </xdr:to>
    <xdr:graphicFrame macro="">
      <xdr:nvGraphicFramePr>
        <xdr:cNvPr id="3" name="Chart 2">
          <a:extLst>
            <a:ext uri="{FF2B5EF4-FFF2-40B4-BE49-F238E27FC236}">
              <a16:creationId xmlns:a16="http://schemas.microsoft.com/office/drawing/2014/main" id="{14457AE8-62CD-62BE-EF74-D2E44DEFD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838199</xdr:colOff>
      <xdr:row>89</xdr:row>
      <xdr:rowOff>85725</xdr:rowOff>
    </xdr:from>
    <xdr:to>
      <xdr:col>6</xdr:col>
      <xdr:colOff>619124</xdr:colOff>
      <xdr:row>104</xdr:row>
      <xdr:rowOff>114300</xdr:rowOff>
    </xdr:to>
    <xdr:graphicFrame macro="">
      <xdr:nvGraphicFramePr>
        <xdr:cNvPr id="5" name="Chart 4">
          <a:extLst>
            <a:ext uri="{FF2B5EF4-FFF2-40B4-BE49-F238E27FC236}">
              <a16:creationId xmlns:a16="http://schemas.microsoft.com/office/drawing/2014/main" id="{855B648E-6B37-2194-C074-6C4D156B3B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22801</xdr:colOff>
      <xdr:row>7</xdr:row>
      <xdr:rowOff>46470</xdr:rowOff>
    </xdr:from>
    <xdr:to>
      <xdr:col>13</xdr:col>
      <xdr:colOff>22802</xdr:colOff>
      <xdr:row>28</xdr:row>
      <xdr:rowOff>36946</xdr:rowOff>
    </xdr:to>
    <xdr:graphicFrame macro="">
      <xdr:nvGraphicFramePr>
        <xdr:cNvPr id="2" name="Chart 1">
          <a:extLst>
            <a:ext uri="{FF2B5EF4-FFF2-40B4-BE49-F238E27FC236}">
              <a16:creationId xmlns:a16="http://schemas.microsoft.com/office/drawing/2014/main" id="{286A9A58-D9C2-AA9A-9ECE-0B0DF5DF1E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626269</xdr:colOff>
      <xdr:row>14</xdr:row>
      <xdr:rowOff>176212</xdr:rowOff>
    </xdr:from>
    <xdr:to>
      <xdr:col>13</xdr:col>
      <xdr:colOff>638175</xdr:colOff>
      <xdr:row>20</xdr:row>
      <xdr:rowOff>19050</xdr:rowOff>
    </xdr:to>
    <xdr:graphicFrame macro="">
      <xdr:nvGraphicFramePr>
        <xdr:cNvPr id="5" name="Chart 4">
          <a:extLst>
            <a:ext uri="{FF2B5EF4-FFF2-40B4-BE49-F238E27FC236}">
              <a16:creationId xmlns:a16="http://schemas.microsoft.com/office/drawing/2014/main" id="{BACA7CD0-A42B-C1A9-9BE6-91E4DB2C28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16669</xdr:colOff>
      <xdr:row>14</xdr:row>
      <xdr:rowOff>100012</xdr:rowOff>
    </xdr:from>
    <xdr:to>
      <xdr:col>9</xdr:col>
      <xdr:colOff>166687</xdr:colOff>
      <xdr:row>31</xdr:row>
      <xdr:rowOff>138113</xdr:rowOff>
    </xdr:to>
    <xdr:graphicFrame macro="">
      <xdr:nvGraphicFramePr>
        <xdr:cNvPr id="2" name="Chart 1">
          <a:extLst>
            <a:ext uri="{FF2B5EF4-FFF2-40B4-BE49-F238E27FC236}">
              <a16:creationId xmlns:a16="http://schemas.microsoft.com/office/drawing/2014/main" id="{58F866B4-3943-4C97-490D-783942467A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342899</xdr:colOff>
      <xdr:row>6</xdr:row>
      <xdr:rowOff>190499</xdr:rowOff>
    </xdr:from>
    <xdr:to>
      <xdr:col>10</xdr:col>
      <xdr:colOff>380999</xdr:colOff>
      <xdr:row>14</xdr:row>
      <xdr:rowOff>85724</xdr:rowOff>
    </xdr:to>
    <xdr:graphicFrame macro="">
      <xdr:nvGraphicFramePr>
        <xdr:cNvPr id="2" name="Chart 1">
          <a:extLst>
            <a:ext uri="{FF2B5EF4-FFF2-40B4-BE49-F238E27FC236}">
              <a16:creationId xmlns:a16="http://schemas.microsoft.com/office/drawing/2014/main" id="{C34B6C81-6460-F1C8-18DB-4EC870C11F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pr.gov/files/AAFAF/Financial_Documents/Summary%20of%20Bank%20Account%20Balances/2022/DECEMBER/1E-Summary-of-Bank-Account-Balances-dec-2022.pdf?csf=1&amp;web=1&amp;e=Nu5aIC" TargetMode="External"/><Relationship Id="rId2" Type="http://schemas.openxmlformats.org/officeDocument/2006/relationships/hyperlink" Target="https://docs.pr.gov/files/AAFAF/Financial_Documents/Summary%20of%20Bank%20Account%20Balances/2023/DECEMBER/Summary-of-Bank-Account-Balances-Report-FY24-Dec-2023.pdf?csf=1&amp;web=1&amp;e=Sey6Jc" TargetMode="External"/><Relationship Id="rId1" Type="http://schemas.openxmlformats.org/officeDocument/2006/relationships/hyperlink" Target="https://docs.pr.gov/files/AAFAF/Financial_Documents/Summary%20of%20Bank%20Account%20Balances/2024/December/Summary-of-Bank-Account-Balances-Report-FY25-Dec-24.pdf" TargetMode="External"/><Relationship Id="rId4" Type="http://schemas.openxmlformats.org/officeDocument/2006/relationships/hyperlink" Target="https://docs.pr.gov/files/AAFAF/Financial_Documents/Treasury%20Single%20Account%20(TSA)/2025/February/fy25-weeklytsacashflow-02-14-25.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acienda.pr.gov/sites/default/files/monthly_tsa_fy25_-_cash_flow_for_the_month_of_june_2025_2.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hyperlink" Target="https://docs.pr.gov/files/AAFAF/Financial_Documents/Summary%20of%20Bank%20Account%20Balances/2024/December/Summary-of-Bank-Account-Balances-Report-FY25-Dec-24.pdf" TargetMode="External"/><Relationship Id="rId2" Type="http://schemas.openxmlformats.org/officeDocument/2006/relationships/hyperlink" Target="https://docs.pr.gov/files/AAFAF/Financial_Documents/Summary%20of%20Bank%20Account%20Balances/2023/DECEMBER/Summary-of-Bank-Account-Balances-Report-FY24-Dec-2023.pdf?csf=1&amp;web=1&amp;e=Sey6Jc" TargetMode="External"/><Relationship Id="rId1" Type="http://schemas.openxmlformats.org/officeDocument/2006/relationships/hyperlink" Target="https://docs.pr.gov/files/AAFAF/Financial_Documents/Summary%20of%20Bank%20Account%20Balances/2022/DECEMBER/1E-Summary-of-Bank-Account-Balances-dec-2022.pdf?csf=1&amp;web=1&amp;e=Nu5aIC" TargetMode="Externa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fdic.gov/national-rates-and-rate-caps" TargetMode="External"/><Relationship Id="rId3" Type="http://schemas.openxmlformats.org/officeDocument/2006/relationships/hyperlink" Target="https://www.fdic.gov/national-rates-and-rate-caps/monthly-update-february-2025" TargetMode="External"/><Relationship Id="rId7" Type="http://schemas.openxmlformats.org/officeDocument/2006/relationships/hyperlink" Target="https://www.fdic.gov/national-rates-and-rate-caps/monthly-update-february-2025" TargetMode="External"/><Relationship Id="rId12" Type="http://schemas.openxmlformats.org/officeDocument/2006/relationships/drawing" Target="../drawings/drawing4.xml"/><Relationship Id="rId2" Type="http://schemas.openxmlformats.org/officeDocument/2006/relationships/hyperlink" Target="https://www.fdic.gov/national-rates-and-rate-caps/monthly-update-february-2025" TargetMode="External"/><Relationship Id="rId1" Type="http://schemas.openxmlformats.org/officeDocument/2006/relationships/hyperlink" Target="https://www.fdic.gov/national-rates-and-rate-caps/monthly-update-february-2025" TargetMode="External"/><Relationship Id="rId6" Type="http://schemas.openxmlformats.org/officeDocument/2006/relationships/hyperlink" Target="https://www.fdic.gov/national-rates-and-rate-caps/monthly-update-february-2025" TargetMode="External"/><Relationship Id="rId11" Type="http://schemas.openxmlformats.org/officeDocument/2006/relationships/hyperlink" Target="https://www.fdic.gov/national-rates-and-rate-caps" TargetMode="External"/><Relationship Id="rId5" Type="http://schemas.openxmlformats.org/officeDocument/2006/relationships/hyperlink" Target="https://www.fdic.gov/national-rates-and-rate-caps/monthly-update-february-2025" TargetMode="External"/><Relationship Id="rId10" Type="http://schemas.openxmlformats.org/officeDocument/2006/relationships/hyperlink" Target="https://www.fdic.gov/national-rates-and-rate-caps" TargetMode="External"/><Relationship Id="rId4" Type="http://schemas.openxmlformats.org/officeDocument/2006/relationships/hyperlink" Target="https://www.fdic.gov/national-rates-and-rate-caps/monthly-update-february-2025" TargetMode="External"/><Relationship Id="rId9" Type="http://schemas.openxmlformats.org/officeDocument/2006/relationships/hyperlink" Target="https://www.fdic.gov/national-rates-and-rate-ca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4EDDE-A3E1-4E0A-BF7E-A1B678857184}">
  <dimension ref="A1:I13"/>
  <sheetViews>
    <sheetView zoomScale="60" workbookViewId="0">
      <selection activeCell="I7" sqref="A1:I7"/>
    </sheetView>
    <sheetView workbookViewId="1"/>
  </sheetViews>
  <sheetFormatPr defaultRowHeight="14.25"/>
  <cols>
    <col min="1" max="1" width="13.73046875" customWidth="1"/>
    <col min="2" max="3" width="10" bestFit="1" customWidth="1"/>
    <col min="4" max="4" width="13.73046875" customWidth="1"/>
    <col min="5" max="6" width="10" bestFit="1" customWidth="1"/>
    <col min="7" max="7" width="13.73046875" customWidth="1"/>
    <col min="8" max="9" width="10" bestFit="1" customWidth="1"/>
  </cols>
  <sheetData>
    <row r="1" spans="1:9">
      <c r="A1" s="6" t="s">
        <v>5</v>
      </c>
      <c r="B1" s="7">
        <v>45626</v>
      </c>
      <c r="C1" s="7">
        <v>45657</v>
      </c>
      <c r="D1" s="6" t="s">
        <v>5</v>
      </c>
      <c r="E1" s="7">
        <v>45260</v>
      </c>
      <c r="F1" s="7">
        <v>45291</v>
      </c>
      <c r="G1" s="6" t="s">
        <v>5</v>
      </c>
      <c r="H1" s="7">
        <v>44895</v>
      </c>
      <c r="I1" s="7">
        <v>44926</v>
      </c>
    </row>
    <row r="2" spans="1:9" ht="28.5">
      <c r="A2" s="9" t="s">
        <v>6</v>
      </c>
      <c r="B2" s="10">
        <v>9092.7000000000007</v>
      </c>
      <c r="C2" s="10">
        <v>9790.9</v>
      </c>
      <c r="D2" s="9" t="s">
        <v>6</v>
      </c>
      <c r="E2" s="10">
        <v>8205</v>
      </c>
      <c r="F2" s="10">
        <v>8967.9</v>
      </c>
      <c r="G2" s="9" t="s">
        <v>14</v>
      </c>
      <c r="H2" s="10">
        <v>6737.6</v>
      </c>
      <c r="I2" s="10">
        <v>7553.3</v>
      </c>
    </row>
    <row r="3" spans="1:9" ht="71.25">
      <c r="A3" s="9" t="s">
        <v>7</v>
      </c>
      <c r="B3" s="10">
        <v>8989.2999999999993</v>
      </c>
      <c r="C3" s="10">
        <v>8818.9</v>
      </c>
      <c r="D3" s="9" t="s">
        <v>7</v>
      </c>
      <c r="E3" s="10">
        <v>7004</v>
      </c>
      <c r="F3" s="10">
        <v>7117.6</v>
      </c>
      <c r="G3" s="9" t="s">
        <v>7</v>
      </c>
      <c r="H3" s="10">
        <v>5864.5</v>
      </c>
      <c r="I3" s="10">
        <v>6280</v>
      </c>
    </row>
    <row r="4" spans="1:9" ht="28.5">
      <c r="A4" s="9" t="s">
        <v>8</v>
      </c>
      <c r="B4" s="8">
        <v>137.6</v>
      </c>
      <c r="C4" s="8">
        <v>138.80000000000001</v>
      </c>
      <c r="D4" s="9" t="s">
        <v>8</v>
      </c>
      <c r="E4" s="8">
        <v>110.1</v>
      </c>
      <c r="F4" s="8">
        <v>102.1</v>
      </c>
      <c r="G4" s="9" t="s">
        <v>8</v>
      </c>
      <c r="H4" s="8">
        <v>70.400000000000006</v>
      </c>
      <c r="I4" s="8">
        <v>62.6</v>
      </c>
    </row>
    <row r="5" spans="1:9" ht="42.75">
      <c r="A5" s="9" t="s">
        <v>9</v>
      </c>
      <c r="B5" s="10">
        <v>2823</v>
      </c>
      <c r="C5" s="10">
        <v>2788.5</v>
      </c>
      <c r="D5" s="9" t="s">
        <v>9</v>
      </c>
      <c r="E5" s="10">
        <v>2932.6</v>
      </c>
      <c r="F5" s="10">
        <v>2926.6</v>
      </c>
      <c r="G5" s="9" t="s">
        <v>9</v>
      </c>
      <c r="H5" s="10">
        <v>3050.4</v>
      </c>
      <c r="I5" s="10">
        <v>3019</v>
      </c>
    </row>
    <row r="6" spans="1:9" ht="57">
      <c r="A6" s="9" t="s">
        <v>10</v>
      </c>
      <c r="B6" s="10">
        <v>2991.2</v>
      </c>
      <c r="C6" s="10">
        <v>3085.6</v>
      </c>
      <c r="D6" s="9" t="s">
        <v>10</v>
      </c>
      <c r="E6" s="10">
        <v>1768.9</v>
      </c>
      <c r="F6" s="10">
        <v>3058.4</v>
      </c>
      <c r="G6" s="9" t="s">
        <v>10</v>
      </c>
      <c r="H6" s="10">
        <v>1359.5</v>
      </c>
      <c r="I6" s="10">
        <v>1254.4000000000001</v>
      </c>
    </row>
    <row r="7" spans="1:9">
      <c r="A7" s="9" t="s">
        <v>11</v>
      </c>
      <c r="B7" s="11">
        <v>24034</v>
      </c>
      <c r="C7" s="11">
        <v>24623</v>
      </c>
      <c r="D7" s="9" t="s">
        <v>11</v>
      </c>
      <c r="E7" s="11">
        <v>20021</v>
      </c>
      <c r="F7" s="11">
        <v>22173</v>
      </c>
      <c r="G7" s="9" t="s">
        <v>11</v>
      </c>
      <c r="H7" s="11">
        <v>17082</v>
      </c>
      <c r="I7" s="11">
        <v>18169</v>
      </c>
    </row>
    <row r="8" spans="1:9" ht="14.25" customHeight="1">
      <c r="A8" s="9" t="s">
        <v>13</v>
      </c>
      <c r="B8" s="12" t="s">
        <v>12</v>
      </c>
      <c r="D8" s="2" t="s">
        <v>1</v>
      </c>
      <c r="G8" s="2" t="s">
        <v>1</v>
      </c>
    </row>
    <row r="9" spans="1:9">
      <c r="B9" s="13"/>
    </row>
    <row r="10" spans="1:9">
      <c r="B10" s="13"/>
    </row>
    <row r="11" spans="1:9">
      <c r="A11" s="9" t="s">
        <v>64</v>
      </c>
      <c r="B11" t="s">
        <v>63</v>
      </c>
    </row>
    <row r="12" spans="1:9">
      <c r="A12" s="2" t="s">
        <v>65</v>
      </c>
      <c r="B12" s="13"/>
    </row>
    <row r="13" spans="1:9">
      <c r="B13" s="13"/>
    </row>
  </sheetData>
  <hyperlinks>
    <hyperlink ref="B8" r:id="rId1" xr:uid="{726AFD0D-4F9A-4CCE-9445-B192D247B293}"/>
    <hyperlink ref="D8" r:id="rId2" display="https://docs.pr.gov/files/AAFAF/Financial_Documents/Summary of Bank Account Balances/2023/DECEMBER/Summary-of-Bank-Account-Balances-Report-FY24-Dec-2023.pdf?csf=1&amp;web=1&amp;e=Sey6Jc" xr:uid="{801810C2-36ED-40D7-8307-68A360CB74AE}"/>
    <hyperlink ref="G8" r:id="rId3" display="https://docs.pr.gov/files/AAFAF/Financial_Documents/Summary of Bank Account Balances/2022/DECEMBER/1E-Summary-of-Bank-Account-Balances-dec-2022.pdf?csf=1&amp;web=1&amp;e=Nu5aIC" xr:uid="{605265F7-9034-4FF4-A387-C73D67A2FF59}"/>
    <hyperlink ref="A12" r:id="rId4" display="https://docs.pr.gov/files/AAFAF/Financial_Documents/Treasury Single Account (TSA)/2025/February/fy25-weeklytsacashflow-02-14-25.pdf" xr:uid="{49D7F805-5C6E-4FBB-A066-1B943A1B40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66A4-42D0-4A6C-99F2-DEF87027D497}">
  <dimension ref="B1:F8"/>
  <sheetViews>
    <sheetView workbookViewId="0">
      <selection activeCell="B1" sqref="B1:F8"/>
    </sheetView>
    <sheetView workbookViewId="1"/>
  </sheetViews>
  <sheetFormatPr defaultRowHeight="15"/>
  <cols>
    <col min="1" max="1" width="9.06640625" style="46"/>
    <col min="2" max="2" width="23.265625" style="46" bestFit="1" customWidth="1"/>
    <col min="3" max="3" width="12.1328125" style="46" bestFit="1" customWidth="1"/>
    <col min="4" max="4" width="14.265625" style="46" customWidth="1"/>
    <col min="5" max="5" width="17.3984375" style="46" customWidth="1"/>
    <col min="6" max="7" width="11.53125" style="46" customWidth="1"/>
    <col min="8" max="16384" width="9.06640625" style="46"/>
  </cols>
  <sheetData>
    <row r="1" spans="2:6" s="45" customFormat="1" ht="41.25" customHeight="1">
      <c r="B1" s="47" t="s">
        <v>98</v>
      </c>
      <c r="C1" s="47" t="s">
        <v>95</v>
      </c>
      <c r="D1" s="47" t="s">
        <v>96</v>
      </c>
      <c r="E1" s="47" t="s">
        <v>99</v>
      </c>
      <c r="F1" s="47" t="s">
        <v>97</v>
      </c>
    </row>
    <row r="2" spans="2:6" ht="19.25" customHeight="1">
      <c r="B2" s="50" t="s">
        <v>89</v>
      </c>
      <c r="C2" s="48">
        <v>57220</v>
      </c>
      <c r="D2" s="48">
        <v>53259</v>
      </c>
      <c r="E2" s="48">
        <v>25121</v>
      </c>
      <c r="F2" s="48">
        <v>2923</v>
      </c>
    </row>
    <row r="3" spans="2:6" ht="19.25" customHeight="1">
      <c r="B3" s="50" t="s">
        <v>90</v>
      </c>
      <c r="C3" s="48">
        <v>17465.034</v>
      </c>
      <c r="D3" s="48">
        <v>14805.97</v>
      </c>
      <c r="E3" s="48">
        <v>9448.4240000000009</v>
      </c>
      <c r="F3" s="48">
        <v>1844.434</v>
      </c>
    </row>
    <row r="4" spans="2:6" ht="19.25" customHeight="1">
      <c r="B4" s="50" t="s">
        <v>91</v>
      </c>
      <c r="C4" s="48">
        <v>11798.932000000001</v>
      </c>
      <c r="D4" s="48">
        <v>9695.0390000000007</v>
      </c>
      <c r="E4" s="48">
        <v>6962.7569999999996</v>
      </c>
      <c r="F4" s="48">
        <v>1300.9880000000001</v>
      </c>
    </row>
    <row r="5" spans="2:6" ht="19.25" customHeight="1">
      <c r="B5" s="50" t="s">
        <v>92</v>
      </c>
      <c r="C5" s="48">
        <v>915.52200000000005</v>
      </c>
      <c r="D5" s="48">
        <v>702.38400000000001</v>
      </c>
      <c r="E5" s="48">
        <v>249.92699999999999</v>
      </c>
      <c r="F5" s="48">
        <v>205.41200000000001</v>
      </c>
    </row>
    <row r="6" spans="2:6" ht="19.25" customHeight="1">
      <c r="B6" s="50" t="s">
        <v>93</v>
      </c>
      <c r="C6" s="48">
        <v>1003.006</v>
      </c>
      <c r="D6" s="48">
        <v>992.60799999999995</v>
      </c>
      <c r="E6" s="48">
        <v>750.803</v>
      </c>
      <c r="F6" s="48">
        <v>7.5810000000000004</v>
      </c>
    </row>
    <row r="7" spans="2:6" ht="19.25" customHeight="1">
      <c r="B7" s="50" t="s">
        <v>94</v>
      </c>
      <c r="C7" s="48">
        <v>316.55399999999997</v>
      </c>
      <c r="D7" s="48">
        <v>231.649</v>
      </c>
      <c r="E7" s="48">
        <v>149.73500000000001</v>
      </c>
      <c r="F7" s="48">
        <v>75.921999999999997</v>
      </c>
    </row>
    <row r="8" spans="2:6" ht="17.25" customHeight="1">
      <c r="B8" s="49" t="s">
        <v>100</v>
      </c>
      <c r="C8" s="36">
        <f>SUM(C2:C7)</f>
        <v>88719.047999999995</v>
      </c>
      <c r="D8" s="36">
        <f>SUM(D2:D7)</f>
        <v>79686.650000000009</v>
      </c>
      <c r="E8" s="36">
        <f t="shared" ref="E8:F8" si="0">SUM(E2:E7)</f>
        <v>42682.646000000001</v>
      </c>
      <c r="F8" s="36">
        <f t="shared" si="0"/>
        <v>6357.3370000000004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AB95-C8EF-4FA5-B36A-844C272513E1}">
  <dimension ref="A1:E13"/>
  <sheetViews>
    <sheetView zoomScale="50" workbookViewId="0">
      <selection activeCell="G37" sqref="G37"/>
    </sheetView>
    <sheetView workbookViewId="1"/>
  </sheetViews>
  <sheetFormatPr defaultRowHeight="14.25"/>
  <cols>
    <col min="2" max="2" width="7.59765625" bestFit="1" customWidth="1"/>
  </cols>
  <sheetData>
    <row r="1" spans="1:5">
      <c r="A1" t="s">
        <v>15</v>
      </c>
      <c r="B1" t="s">
        <v>4</v>
      </c>
      <c r="C1" t="s">
        <v>50</v>
      </c>
    </row>
    <row r="2" spans="1:5">
      <c r="A2">
        <v>12</v>
      </c>
      <c r="B2">
        <v>2014</v>
      </c>
      <c r="C2" s="20">
        <v>43210</v>
      </c>
    </row>
    <row r="3" spans="1:5">
      <c r="A3">
        <v>11</v>
      </c>
      <c r="B3">
        <v>2015</v>
      </c>
      <c r="C3" s="20">
        <v>41571</v>
      </c>
      <c r="D3" s="21">
        <f>(C3-C2)/C2</f>
        <v>-3.793103448275862E-2</v>
      </c>
    </row>
    <row r="4" spans="1:5">
      <c r="A4">
        <v>10</v>
      </c>
      <c r="B4">
        <v>2016</v>
      </c>
      <c r="C4" s="20">
        <v>42869</v>
      </c>
      <c r="D4" s="21">
        <f t="shared" ref="D4:D13" si="0">(C4-C3)/C3</f>
        <v>3.1223689591301628E-2</v>
      </c>
    </row>
    <row r="5" spans="1:5">
      <c r="A5">
        <v>9</v>
      </c>
      <c r="B5">
        <v>2017</v>
      </c>
      <c r="C5" s="20">
        <v>47110</v>
      </c>
      <c r="D5" s="21">
        <f t="shared" si="0"/>
        <v>9.892929622804357E-2</v>
      </c>
    </row>
    <row r="6" spans="1:5">
      <c r="A6">
        <v>8</v>
      </c>
      <c r="B6">
        <v>2018</v>
      </c>
      <c r="C6" s="20">
        <v>50481</v>
      </c>
      <c r="D6" s="21">
        <f t="shared" si="0"/>
        <v>7.1555932922946291E-2</v>
      </c>
    </row>
    <row r="7" spans="1:5">
      <c r="A7">
        <v>7</v>
      </c>
      <c r="B7">
        <v>2019</v>
      </c>
      <c r="C7" s="20">
        <v>54430</v>
      </c>
      <c r="D7" s="21">
        <f t="shared" si="0"/>
        <v>7.8227451912600776E-2</v>
      </c>
    </row>
    <row r="8" spans="1:5">
      <c r="A8">
        <v>6</v>
      </c>
      <c r="B8">
        <v>2020</v>
      </c>
      <c r="C8" s="20">
        <v>69504</v>
      </c>
      <c r="D8" s="21">
        <f t="shared" si="0"/>
        <v>0.27694286239206323</v>
      </c>
    </row>
    <row r="9" spans="1:5">
      <c r="A9">
        <v>5</v>
      </c>
      <c r="B9">
        <v>2021</v>
      </c>
      <c r="C9" s="20">
        <v>81399</v>
      </c>
      <c r="D9" s="21">
        <f t="shared" si="0"/>
        <v>0.17114122928176795</v>
      </c>
    </row>
    <row r="10" spans="1:5">
      <c r="A10">
        <v>4</v>
      </c>
      <c r="B10">
        <v>2022</v>
      </c>
      <c r="C10" s="20">
        <v>73606</v>
      </c>
      <c r="D10" s="21">
        <f t="shared" si="0"/>
        <v>-9.5738276883008386E-2</v>
      </c>
    </row>
    <row r="11" spans="1:5">
      <c r="A11">
        <v>3</v>
      </c>
      <c r="B11">
        <v>2023</v>
      </c>
      <c r="C11" s="20">
        <v>75988</v>
      </c>
      <c r="D11" s="21">
        <f t="shared" si="0"/>
        <v>3.2361492269651931E-2</v>
      </c>
      <c r="E11" s="21">
        <f>(C11-C2)/C2</f>
        <v>0.75857440407313126</v>
      </c>
    </row>
    <row r="12" spans="1:5">
      <c r="A12">
        <v>2</v>
      </c>
      <c r="B12">
        <v>2024</v>
      </c>
      <c r="C12" s="20">
        <f>77516.551</f>
        <v>77516.551000000007</v>
      </c>
      <c r="D12" s="21">
        <f t="shared" si="0"/>
        <v>2.0115689319366303E-2</v>
      </c>
    </row>
    <row r="13" spans="1:5">
      <c r="A13">
        <v>1</v>
      </c>
      <c r="B13" t="s">
        <v>81</v>
      </c>
      <c r="C13" s="20">
        <f>78694.042</f>
        <v>78694.042000000001</v>
      </c>
      <c r="D13" s="21">
        <f t="shared" si="0"/>
        <v>1.5190188221867539E-2</v>
      </c>
    </row>
  </sheetData>
  <sortState xmlns:xlrd2="http://schemas.microsoft.com/office/spreadsheetml/2017/richdata2" ref="A2:C12">
    <sortCondition descending="1" ref="A2:A12"/>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688D-E330-4310-BB89-EBC6F80AF0A1}">
  <dimension ref="A1:E19"/>
  <sheetViews>
    <sheetView workbookViewId="0">
      <selection activeCell="E20" sqref="E20"/>
    </sheetView>
    <sheetView workbookViewId="1"/>
  </sheetViews>
  <sheetFormatPr defaultRowHeight="14.25"/>
  <cols>
    <col min="1" max="1" width="10.9296875" customWidth="1"/>
    <col min="2" max="2" width="17.46484375" customWidth="1"/>
  </cols>
  <sheetData>
    <row r="1" spans="1:3">
      <c r="A1" t="s">
        <v>96</v>
      </c>
      <c r="B1" t="s">
        <v>108</v>
      </c>
      <c r="C1" t="s">
        <v>109</v>
      </c>
    </row>
    <row r="7" spans="1:3" ht="51" customHeight="1">
      <c r="A7" s="47" t="s">
        <v>123</v>
      </c>
      <c r="B7" s="47" t="s">
        <v>124</v>
      </c>
    </row>
    <row r="8" spans="1:3" s="78" customFormat="1" ht="24.85" customHeight="1">
      <c r="A8" s="67">
        <v>2025</v>
      </c>
      <c r="B8" s="79">
        <v>4.5729920220147111</v>
      </c>
    </row>
    <row r="9" spans="1:3" ht="24.85" customHeight="1">
      <c r="A9" s="67">
        <v>2026</v>
      </c>
      <c r="B9" s="79">
        <v>3.8371306738576729</v>
      </c>
    </row>
    <row r="10" spans="1:3" ht="24.85" customHeight="1">
      <c r="A10" s="67">
        <v>2027</v>
      </c>
      <c r="B10" s="79">
        <v>3.3818014574618998</v>
      </c>
    </row>
    <row r="11" spans="1:3" ht="24.85" customHeight="1">
      <c r="A11" s="67">
        <v>2028</v>
      </c>
      <c r="B11" s="79">
        <v>3.0446617319710132</v>
      </c>
    </row>
    <row r="12" spans="1:3" ht="24.85" customHeight="1">
      <c r="A12" s="67">
        <v>2029</v>
      </c>
      <c r="B12" s="79">
        <v>3.0285441463983021</v>
      </c>
    </row>
    <row r="13" spans="1:3" ht="24.85" customHeight="1">
      <c r="A13" s="67">
        <v>2030</v>
      </c>
      <c r="B13" s="79">
        <v>2.9476417551788328</v>
      </c>
    </row>
    <row r="14" spans="1:3" ht="24.85" customHeight="1">
      <c r="A14" s="67">
        <v>2031</v>
      </c>
      <c r="B14" s="79">
        <v>2.9135263606989525</v>
      </c>
    </row>
    <row r="19" spans="5:5">
      <c r="E19">
        <f>4.57-3.9</f>
        <v>0.67000000000000037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AC49-0045-4F7F-9FB9-45E8499362ED}">
  <dimension ref="B1:AI38"/>
  <sheetViews>
    <sheetView zoomScale="70" workbookViewId="0">
      <selection activeCell="P1" sqref="P1:Q16"/>
    </sheetView>
    <sheetView workbookViewId="1"/>
  </sheetViews>
  <sheetFormatPr defaultRowHeight="14.25"/>
  <cols>
    <col min="1" max="1" width="3" customWidth="1"/>
    <col min="2" max="2" width="27.73046875" customWidth="1"/>
    <col min="3" max="8" width="10.1328125" hidden="1" customWidth="1"/>
    <col min="9" max="12" width="10.1328125" customWidth="1"/>
    <col min="13" max="14" width="10" bestFit="1" customWidth="1"/>
    <col min="15" max="15" width="10" customWidth="1"/>
    <col min="16" max="16" width="22.3984375" bestFit="1" customWidth="1"/>
    <col min="17" max="17" width="21.59765625" customWidth="1"/>
    <col min="18" max="18" width="28.59765625" customWidth="1"/>
    <col min="19" max="24" width="10" customWidth="1"/>
  </cols>
  <sheetData>
    <row r="1" spans="2:35" ht="30">
      <c r="B1" t="s">
        <v>66</v>
      </c>
      <c r="P1" s="30" t="s">
        <v>73</v>
      </c>
      <c r="Q1" s="30" t="s">
        <v>75</v>
      </c>
      <c r="R1" s="4"/>
      <c r="X1">
        <v>1</v>
      </c>
      <c r="Y1">
        <v>2</v>
      </c>
      <c r="Z1">
        <v>3</v>
      </c>
      <c r="AA1">
        <v>4</v>
      </c>
      <c r="AB1">
        <v>5</v>
      </c>
      <c r="AC1">
        <v>6</v>
      </c>
      <c r="AD1">
        <v>7</v>
      </c>
      <c r="AE1">
        <v>8</v>
      </c>
      <c r="AF1">
        <v>9</v>
      </c>
      <c r="AG1">
        <v>10</v>
      </c>
      <c r="AH1">
        <v>11</v>
      </c>
      <c r="AI1">
        <v>12</v>
      </c>
    </row>
    <row r="2" spans="2:35" ht="21" customHeight="1">
      <c r="P2" s="31" t="s">
        <v>72</v>
      </c>
      <c r="Q2" s="32">
        <v>9969</v>
      </c>
      <c r="R2" s="4"/>
      <c r="S2" s="40">
        <f>Q2*$O$16</f>
        <v>55.552584685576555</v>
      </c>
      <c r="W2">
        <v>1</v>
      </c>
    </row>
    <row r="3" spans="2:35" ht="21" customHeight="1">
      <c r="B3" s="6" t="s">
        <v>5</v>
      </c>
      <c r="C3" s="7">
        <v>45322</v>
      </c>
      <c r="D3" s="7">
        <v>45351</v>
      </c>
      <c r="E3" s="7">
        <v>45382</v>
      </c>
      <c r="F3" s="7">
        <v>45412</v>
      </c>
      <c r="G3" s="7">
        <v>45443</v>
      </c>
      <c r="H3" s="7">
        <v>45473</v>
      </c>
      <c r="I3" s="7">
        <v>45504</v>
      </c>
      <c r="J3" s="7">
        <v>45535</v>
      </c>
      <c r="K3" s="7">
        <v>45565</v>
      </c>
      <c r="L3" s="7">
        <v>45596</v>
      </c>
      <c r="M3" s="7">
        <v>45626</v>
      </c>
      <c r="N3" s="7">
        <v>45657</v>
      </c>
      <c r="O3" s="7"/>
      <c r="P3" s="31" t="s">
        <v>80</v>
      </c>
      <c r="Q3" s="32">
        <v>9728</v>
      </c>
      <c r="R3" s="27"/>
      <c r="S3" s="40">
        <f t="shared" ref="S3:S8" si="0">Q3*$O$16</f>
        <v>54.209604155009401</v>
      </c>
      <c r="T3" s="7"/>
      <c r="U3" s="7"/>
      <c r="V3" s="7"/>
      <c r="W3" s="7">
        <v>2</v>
      </c>
      <c r="X3" s="7"/>
    </row>
    <row r="4" spans="2:35" ht="21" customHeight="1">
      <c r="B4" s="9" t="s">
        <v>6</v>
      </c>
      <c r="C4" s="9"/>
      <c r="D4" s="9"/>
      <c r="E4" s="9"/>
      <c r="F4" s="9"/>
      <c r="G4" s="9"/>
      <c r="H4" s="9"/>
      <c r="I4" s="9"/>
      <c r="J4" s="9"/>
      <c r="K4" s="9"/>
      <c r="L4" s="9"/>
      <c r="M4" s="10">
        <v>9092.7000000000007</v>
      </c>
      <c r="N4" s="10">
        <v>9790.9</v>
      </c>
      <c r="O4" s="10"/>
      <c r="P4" s="31" t="s">
        <v>68</v>
      </c>
      <c r="Q4" s="32">
        <v>9265</v>
      </c>
      <c r="R4" s="28"/>
      <c r="S4" s="40">
        <f t="shared" si="0"/>
        <v>51.629521226990349</v>
      </c>
      <c r="T4" s="10"/>
      <c r="U4" s="10"/>
      <c r="V4" s="10"/>
      <c r="W4" s="10">
        <v>3</v>
      </c>
      <c r="X4" s="10"/>
    </row>
    <row r="5" spans="2:35" ht="21" customHeight="1">
      <c r="B5" s="9" t="s">
        <v>7</v>
      </c>
      <c r="C5" s="9"/>
      <c r="D5" s="9"/>
      <c r="E5" s="9"/>
      <c r="F5" s="9"/>
      <c r="G5" s="9"/>
      <c r="H5" s="9"/>
      <c r="I5" s="9"/>
      <c r="J5" s="9"/>
      <c r="K5" s="9"/>
      <c r="L5" s="9"/>
      <c r="M5" s="10">
        <v>8989.2999999999993</v>
      </c>
      <c r="N5" s="10">
        <v>8818.9</v>
      </c>
      <c r="O5" s="10"/>
      <c r="P5" s="31" t="s">
        <v>69</v>
      </c>
      <c r="Q5" s="32">
        <v>9124</v>
      </c>
      <c r="R5" s="28"/>
      <c r="S5" s="40">
        <f t="shared" si="0"/>
        <v>50.843794028608734</v>
      </c>
      <c r="T5" s="10"/>
      <c r="U5" s="10"/>
      <c r="V5" s="10"/>
      <c r="W5" s="10">
        <v>4</v>
      </c>
      <c r="X5" s="10"/>
    </row>
    <row r="6" spans="2:35" ht="21" customHeight="1">
      <c r="B6" s="9" t="s">
        <v>8</v>
      </c>
      <c r="C6" s="9"/>
      <c r="D6" s="9"/>
      <c r="E6" s="9"/>
      <c r="F6" s="9"/>
      <c r="G6" s="9"/>
      <c r="H6" s="9"/>
      <c r="I6" s="9"/>
      <c r="J6" s="9"/>
      <c r="K6" s="9"/>
      <c r="L6" s="9"/>
      <c r="M6" s="8">
        <v>137.6</v>
      </c>
      <c r="N6" s="8">
        <v>138.80000000000001</v>
      </c>
      <c r="O6" s="8"/>
      <c r="P6" s="31" t="s">
        <v>70</v>
      </c>
      <c r="Q6" s="32">
        <v>9053</v>
      </c>
      <c r="R6" s="29"/>
      <c r="S6" s="40">
        <f t="shared" si="0"/>
        <v>50.448144162757004</v>
      </c>
      <c r="T6" s="8"/>
      <c r="U6" s="8"/>
      <c r="V6" s="8"/>
      <c r="W6" s="8">
        <v>5</v>
      </c>
      <c r="X6" s="8"/>
    </row>
    <row r="7" spans="2:35" ht="21" customHeight="1">
      <c r="B7" s="9" t="s">
        <v>9</v>
      </c>
      <c r="C7" s="9"/>
      <c r="D7" s="9"/>
      <c r="E7" s="9"/>
      <c r="F7" s="9"/>
      <c r="G7" s="9"/>
      <c r="H7" s="9"/>
      <c r="I7" s="9"/>
      <c r="J7" s="9"/>
      <c r="K7" s="9"/>
      <c r="L7" s="9"/>
      <c r="M7" s="10">
        <v>2823</v>
      </c>
      <c r="N7" s="10">
        <v>2788.5</v>
      </c>
      <c r="O7" s="10"/>
      <c r="P7" s="31" t="s">
        <v>78</v>
      </c>
      <c r="Q7" s="32">
        <v>9748</v>
      </c>
      <c r="R7" s="28"/>
      <c r="S7" s="40">
        <f t="shared" si="0"/>
        <v>54.321054821446509</v>
      </c>
      <c r="T7" s="10"/>
      <c r="U7" s="10"/>
      <c r="V7" s="10"/>
      <c r="W7" s="10">
        <v>6</v>
      </c>
      <c r="X7" s="10"/>
    </row>
    <row r="8" spans="2:35" ht="21" customHeight="1">
      <c r="B8" s="9" t="s">
        <v>10</v>
      </c>
      <c r="C8" s="9"/>
      <c r="D8" s="9"/>
      <c r="E8" s="9"/>
      <c r="F8" s="9"/>
      <c r="G8" s="9"/>
      <c r="H8" s="9"/>
      <c r="I8" s="9"/>
      <c r="J8" s="9"/>
      <c r="K8" s="9"/>
      <c r="L8" s="9"/>
      <c r="M8" s="10">
        <v>2991.2</v>
      </c>
      <c r="N8" s="10">
        <v>3085.6</v>
      </c>
      <c r="O8" s="10"/>
      <c r="P8" s="31" t="s">
        <v>79</v>
      </c>
      <c r="Q8" s="32">
        <v>10294</v>
      </c>
      <c r="R8" s="28"/>
      <c r="S8" s="40">
        <f t="shared" si="0"/>
        <v>57.36365801517956</v>
      </c>
      <c r="T8" s="10"/>
      <c r="U8" s="10"/>
      <c r="V8" s="10"/>
      <c r="W8" s="10">
        <v>7</v>
      </c>
      <c r="X8" s="10"/>
    </row>
    <row r="9" spans="2:35" ht="28.5">
      <c r="B9" s="9" t="s">
        <v>11</v>
      </c>
      <c r="C9" s="9"/>
      <c r="D9" s="9"/>
      <c r="E9" s="9"/>
      <c r="F9" s="9"/>
      <c r="G9" s="9"/>
      <c r="H9" s="9"/>
      <c r="I9" s="9"/>
      <c r="J9" s="9"/>
      <c r="K9" s="9"/>
      <c r="L9" s="9"/>
      <c r="M9" s="11">
        <v>24034</v>
      </c>
      <c r="N9" s="11">
        <v>24623</v>
      </c>
      <c r="O9" s="11"/>
      <c r="P9" s="31" t="s">
        <v>71</v>
      </c>
      <c r="Q9" s="32">
        <v>10052</v>
      </c>
      <c r="R9" s="39" t="s">
        <v>77</v>
      </c>
      <c r="S9" s="40">
        <f>Q9*$O$16</f>
        <v>56.015104951290553</v>
      </c>
      <c r="T9" s="11"/>
      <c r="U9" s="11"/>
      <c r="V9" s="11"/>
      <c r="W9" s="11">
        <v>8</v>
      </c>
      <c r="X9" s="11"/>
    </row>
    <row r="10" spans="2:35" ht="15">
      <c r="B10" s="9"/>
      <c r="C10" s="9"/>
      <c r="D10" s="9"/>
      <c r="E10" s="9"/>
      <c r="F10" s="9"/>
      <c r="G10" s="9"/>
      <c r="H10" s="9"/>
      <c r="I10" s="9"/>
      <c r="J10" s="9"/>
      <c r="K10" s="9"/>
      <c r="L10" s="9"/>
      <c r="M10" s="11"/>
      <c r="N10" s="11"/>
      <c r="O10" s="11"/>
      <c r="P10" s="31" t="s">
        <v>82</v>
      </c>
      <c r="Q10" s="32">
        <v>10006</v>
      </c>
      <c r="R10" s="39"/>
      <c r="S10" s="40"/>
      <c r="T10" s="11"/>
      <c r="U10" s="11"/>
      <c r="V10" s="11"/>
      <c r="W10" s="11">
        <v>9</v>
      </c>
      <c r="X10" s="11"/>
    </row>
    <row r="11" spans="2:35" ht="15">
      <c r="B11" s="9"/>
      <c r="C11" s="9"/>
      <c r="D11" s="9"/>
      <c r="E11" s="9"/>
      <c r="F11" s="9"/>
      <c r="G11" s="9"/>
      <c r="H11" s="9"/>
      <c r="I11" s="9"/>
      <c r="J11" s="9"/>
      <c r="K11" s="9"/>
      <c r="L11" s="9"/>
      <c r="M11" s="11"/>
      <c r="N11" s="11"/>
      <c r="O11" s="11"/>
      <c r="P11" s="31" t="s">
        <v>83</v>
      </c>
      <c r="Q11" s="32">
        <v>10584</v>
      </c>
      <c r="R11" s="39"/>
      <c r="S11" s="40"/>
      <c r="T11" s="11"/>
      <c r="U11" s="11"/>
      <c r="V11" s="11"/>
      <c r="W11" s="11">
        <v>10</v>
      </c>
      <c r="X11" s="11"/>
    </row>
    <row r="12" spans="2:35" ht="15">
      <c r="B12" s="9"/>
      <c r="C12" s="9"/>
      <c r="D12" s="9"/>
      <c r="E12" s="9"/>
      <c r="F12" s="9"/>
      <c r="G12" s="9"/>
      <c r="H12" s="9"/>
      <c r="I12" s="9"/>
      <c r="J12" s="9"/>
      <c r="K12" s="9"/>
      <c r="L12" s="9"/>
      <c r="M12" s="11"/>
      <c r="N12" s="11"/>
      <c r="O12" s="11"/>
      <c r="P12" s="31" t="s">
        <v>84</v>
      </c>
      <c r="Q12" s="32">
        <v>10299</v>
      </c>
      <c r="R12" s="39"/>
      <c r="S12" s="40"/>
      <c r="T12" s="11"/>
      <c r="U12" s="11"/>
      <c r="V12" s="11"/>
      <c r="W12" s="11">
        <v>11</v>
      </c>
      <c r="X12" s="11"/>
    </row>
    <row r="13" spans="2:35" ht="15">
      <c r="B13" s="9"/>
      <c r="C13" s="9"/>
      <c r="D13" s="9"/>
      <c r="E13" s="9"/>
      <c r="F13" s="9"/>
      <c r="G13" s="9"/>
      <c r="H13" s="9"/>
      <c r="I13" s="9"/>
      <c r="J13" s="9"/>
      <c r="K13" s="9"/>
      <c r="L13" s="9"/>
      <c r="M13" s="11"/>
      <c r="N13" s="11"/>
      <c r="O13" s="11"/>
      <c r="P13" s="31" t="s">
        <v>85</v>
      </c>
      <c r="Q13" s="32">
        <v>11362</v>
      </c>
      <c r="R13" s="39"/>
      <c r="S13" s="40"/>
      <c r="T13" s="11"/>
      <c r="U13" s="11"/>
      <c r="V13" s="11"/>
      <c r="W13" s="11">
        <v>12</v>
      </c>
      <c r="X13" s="11"/>
    </row>
    <row r="14" spans="2:35" ht="30">
      <c r="P14" s="33" t="s">
        <v>74</v>
      </c>
      <c r="Q14" s="34">
        <f>AVERAGE(Q2:Q13)</f>
        <v>9957</v>
      </c>
      <c r="R14" s="4"/>
      <c r="W14" s="11">
        <v>13</v>
      </c>
    </row>
    <row r="15" spans="2:35" ht="30">
      <c r="O15" s="21"/>
      <c r="P15" s="35" t="s">
        <v>67</v>
      </c>
      <c r="Q15" s="36">
        <v>388.4</v>
      </c>
      <c r="R15" s="39" t="s">
        <v>86</v>
      </c>
      <c r="S15" s="2" t="s">
        <v>87</v>
      </c>
      <c r="W15" s="11">
        <v>14</v>
      </c>
    </row>
    <row r="16" spans="2:35" ht="30">
      <c r="O16" s="26">
        <f>Q16/7</f>
        <v>5.5725333218554071E-3</v>
      </c>
      <c r="P16" s="37" t="s">
        <v>76</v>
      </c>
      <c r="Q16" s="38">
        <f>Q15/Q14</f>
        <v>3.9007733252987849E-2</v>
      </c>
      <c r="W16" s="11">
        <v>15</v>
      </c>
    </row>
    <row r="17" spans="16:23">
      <c r="W17" s="11">
        <v>16</v>
      </c>
    </row>
    <row r="18" spans="16:23">
      <c r="W18" s="11">
        <v>17</v>
      </c>
    </row>
    <row r="19" spans="16:23">
      <c r="W19" s="11">
        <v>18</v>
      </c>
    </row>
    <row r="20" spans="16:23">
      <c r="W20" s="11">
        <v>19</v>
      </c>
    </row>
    <row r="21" spans="16:23">
      <c r="W21" s="11">
        <v>20</v>
      </c>
    </row>
    <row r="23" spans="16:23" ht="30">
      <c r="P23" s="30" t="s">
        <v>110</v>
      </c>
      <c r="Q23" s="30" t="s">
        <v>75</v>
      </c>
    </row>
    <row r="24" spans="16:23" ht="15">
      <c r="P24" s="31" t="s">
        <v>72</v>
      </c>
      <c r="Q24" s="1">
        <v>11231</v>
      </c>
    </row>
    <row r="25" spans="16:23" ht="15">
      <c r="P25" s="31" t="s">
        <v>80</v>
      </c>
      <c r="Q25" s="1">
        <v>11134</v>
      </c>
    </row>
    <row r="26" spans="16:23" ht="15">
      <c r="P26" s="31" t="s">
        <v>68</v>
      </c>
      <c r="Q26" s="1">
        <v>10699</v>
      </c>
    </row>
    <row r="27" spans="16:23" ht="15">
      <c r="P27" s="31" t="s">
        <v>69</v>
      </c>
      <c r="Q27" s="1">
        <v>10452</v>
      </c>
    </row>
    <row r="28" spans="16:23" ht="15">
      <c r="P28" s="31" t="s">
        <v>70</v>
      </c>
      <c r="Q28" s="1">
        <v>10091</v>
      </c>
    </row>
    <row r="29" spans="16:23" ht="15">
      <c r="P29" s="31" t="s">
        <v>78</v>
      </c>
      <c r="Q29" s="1">
        <v>10656</v>
      </c>
    </row>
    <row r="30" spans="16:23" ht="15">
      <c r="P30" s="31" t="s">
        <v>79</v>
      </c>
      <c r="Q30" s="1">
        <v>11482</v>
      </c>
    </row>
    <row r="31" spans="16:23" ht="15">
      <c r="P31" s="31" t="s">
        <v>71</v>
      </c>
      <c r="Q31" s="1">
        <v>10885</v>
      </c>
    </row>
    <row r="32" spans="16:23" ht="15">
      <c r="P32" s="31" t="s">
        <v>82</v>
      </c>
      <c r="Q32" s="1">
        <v>10519</v>
      </c>
    </row>
    <row r="33" spans="16:17" ht="15">
      <c r="P33" s="31" t="s">
        <v>83</v>
      </c>
      <c r="Q33" s="32">
        <v>11960</v>
      </c>
    </row>
    <row r="34" spans="16:17" ht="15">
      <c r="P34" s="31" t="s">
        <v>84</v>
      </c>
      <c r="Q34" s="32" t="s">
        <v>62</v>
      </c>
    </row>
    <row r="35" spans="16:17" ht="15">
      <c r="P35" s="31" t="s">
        <v>85</v>
      </c>
      <c r="Q35" s="32" t="s">
        <v>62</v>
      </c>
    </row>
    <row r="36" spans="16:17" ht="30">
      <c r="P36" s="33" t="s">
        <v>74</v>
      </c>
      <c r="Q36" s="34">
        <f>AVERAGE(Q24:Q33)</f>
        <v>10910.9</v>
      </c>
    </row>
    <row r="37" spans="16:17" ht="30">
      <c r="P37" s="35" t="s">
        <v>67</v>
      </c>
      <c r="Q37" s="36">
        <v>260.2</v>
      </c>
    </row>
    <row r="38" spans="16:17" ht="30">
      <c r="P38" s="37" t="s">
        <v>76</v>
      </c>
      <c r="Q38" s="38">
        <f>Q37/Q36</f>
        <v>2.3847711921106417E-2</v>
      </c>
    </row>
  </sheetData>
  <hyperlinks>
    <hyperlink ref="S15" r:id="rId1" display="https://hacienda.pr.gov/sites/default/files/monthly_tsa_fy25_-_cash_flow_for_the_month_of_june_2025_2.pdf" xr:uid="{D1196966-4968-4DAC-ADCD-9D4FB05CDF5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DA8C-8CAF-458C-A3CA-B4C561542DA6}">
  <dimension ref="A1:D14"/>
  <sheetViews>
    <sheetView zoomScale="93" workbookViewId="0">
      <selection activeCell="B6" sqref="B6"/>
    </sheetView>
    <sheetView workbookViewId="1"/>
  </sheetViews>
  <sheetFormatPr defaultRowHeight="14.25"/>
  <cols>
    <col min="1" max="1" width="22.1328125" bestFit="1" customWidth="1"/>
    <col min="2" max="2" width="17.59765625" bestFit="1" customWidth="1"/>
    <col min="3" max="3" width="15" bestFit="1" customWidth="1"/>
    <col min="4" max="4" width="9.3984375" bestFit="1" customWidth="1"/>
  </cols>
  <sheetData>
    <row r="1" spans="1:4">
      <c r="A1" s="24" t="s">
        <v>57</v>
      </c>
      <c r="B1" s="80" t="s">
        <v>52</v>
      </c>
      <c r="C1" s="80"/>
    </row>
    <row r="2" spans="1:4">
      <c r="B2" t="s">
        <v>61</v>
      </c>
      <c r="C2" t="s">
        <v>60</v>
      </c>
      <c r="D2" t="s">
        <v>58</v>
      </c>
    </row>
    <row r="3" spans="1:4">
      <c r="A3" t="s">
        <v>51</v>
      </c>
      <c r="B3" s="3">
        <f>'Cash Balance GobPR'!B7*10^6</f>
        <v>24034000000</v>
      </c>
      <c r="C3" s="1">
        <f>B3</f>
        <v>24034000000</v>
      </c>
      <c r="D3" t="s">
        <v>62</v>
      </c>
    </row>
    <row r="4" spans="1:4">
      <c r="A4" t="s">
        <v>53</v>
      </c>
      <c r="B4" s="23">
        <v>6.9999999999999999E-4</v>
      </c>
      <c r="C4" s="22">
        <v>1E-3</v>
      </c>
      <c r="D4" s="22">
        <f>B4-C4</f>
        <v>-3.0000000000000003E-4</v>
      </c>
    </row>
    <row r="5" spans="1:4">
      <c r="A5" t="s">
        <v>54</v>
      </c>
      <c r="B5" s="3">
        <f>B3*(1+(B4/12))</f>
        <v>24035401983.333332</v>
      </c>
      <c r="C5" s="3">
        <f>C3*(1+(C4/12))</f>
        <v>24036002833.333336</v>
      </c>
      <c r="D5" s="1">
        <f>B5-C5</f>
        <v>-600850.0000038147</v>
      </c>
    </row>
    <row r="6" spans="1:4">
      <c r="A6" s="24" t="s">
        <v>55</v>
      </c>
      <c r="B6" s="25">
        <f>B5-B3</f>
        <v>1401983.3333320618</v>
      </c>
      <c r="C6" s="25">
        <f>C5-C3</f>
        <v>2002833.3333358765</v>
      </c>
      <c r="D6" s="1">
        <f>B6-C6</f>
        <v>-600850.0000038147</v>
      </c>
    </row>
    <row r="7" spans="1:4">
      <c r="A7" s="24" t="s">
        <v>56</v>
      </c>
      <c r="B7" s="25">
        <f>B6*12</f>
        <v>16823799.999984741</v>
      </c>
      <c r="C7" s="25">
        <f>C6*12</f>
        <v>24034000.000030518</v>
      </c>
    </row>
    <row r="8" spans="1:4">
      <c r="B8" t="s">
        <v>60</v>
      </c>
      <c r="C8" t="s">
        <v>61</v>
      </c>
      <c r="D8" t="s">
        <v>58</v>
      </c>
    </row>
    <row r="9" spans="1:4">
      <c r="A9" t="s">
        <v>59</v>
      </c>
      <c r="B9" s="1">
        <f>B3</f>
        <v>24034000000</v>
      </c>
    </row>
    <row r="10" spans="1:4">
      <c r="A10" t="s">
        <v>51</v>
      </c>
      <c r="B10" s="3">
        <f>'Cash Balance GobPR'!B15*10^6</f>
        <v>0</v>
      </c>
    </row>
    <row r="11" spans="1:4">
      <c r="A11" t="s">
        <v>53</v>
      </c>
      <c r="B11" s="23">
        <v>6.9999999999999999E-4</v>
      </c>
    </row>
    <row r="12" spans="1:4">
      <c r="A12" t="s">
        <v>54</v>
      </c>
      <c r="B12" s="3">
        <f>B10*(1+(B11/12))</f>
        <v>0</v>
      </c>
    </row>
    <row r="13" spans="1:4">
      <c r="A13" s="24" t="s">
        <v>55</v>
      </c>
      <c r="B13" s="25">
        <f>B12-B10</f>
        <v>0</v>
      </c>
    </row>
    <row r="14" spans="1:4">
      <c r="A14" s="24" t="s">
        <v>56</v>
      </c>
      <c r="B14" s="25">
        <f>B13*12</f>
        <v>0</v>
      </c>
    </row>
  </sheetData>
  <mergeCells count="1">
    <mergeCell ref="B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DBF7-E52D-4DA5-BE02-22ACFA637ED2}">
  <dimension ref="A1:D2"/>
  <sheetViews>
    <sheetView workbookViewId="0">
      <selection activeCell="H2" sqref="H2"/>
    </sheetView>
    <sheetView workbookViewId="1"/>
  </sheetViews>
  <sheetFormatPr defaultRowHeight="14.25"/>
  <cols>
    <col min="1" max="1" width="20.796875" bestFit="1" customWidth="1"/>
  </cols>
  <sheetData>
    <row r="1" spans="1:4" ht="24" customHeight="1">
      <c r="A1" s="65" t="s">
        <v>111</v>
      </c>
      <c r="B1" s="65">
        <v>2026</v>
      </c>
      <c r="C1" s="65">
        <v>2027</v>
      </c>
      <c r="D1" s="65">
        <v>2028</v>
      </c>
    </row>
    <row r="2" spans="1:4" ht="30">
      <c r="A2" s="66" t="s">
        <v>112</v>
      </c>
      <c r="B2" s="67">
        <v>3.4</v>
      </c>
      <c r="C2" s="67">
        <v>3.1</v>
      </c>
      <c r="D2" s="67">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A66F5-D2A9-4EDA-AC8F-CA39A1FD8D8D}">
  <sheetPr>
    <tabColor rgb="FF498507"/>
  </sheetPr>
  <dimension ref="A1:Q20"/>
  <sheetViews>
    <sheetView workbookViewId="0">
      <selection activeCell="A2" sqref="A2"/>
    </sheetView>
    <sheetView tabSelected="1" workbookViewId="1">
      <selection activeCell="B15" sqref="B15:F19"/>
    </sheetView>
  </sheetViews>
  <sheetFormatPr defaultRowHeight="15.4"/>
  <cols>
    <col min="1" max="1" width="9.6640625" style="68" bestFit="1" customWidth="1"/>
    <col min="2" max="2" width="10.06640625" style="68" customWidth="1"/>
    <col min="3" max="5" width="14.46484375" style="4" customWidth="1"/>
    <col min="6" max="6" width="14.46484375" style="46" customWidth="1"/>
    <col min="7" max="7" width="16.53125" style="68" customWidth="1"/>
    <col min="9" max="9" width="15.1328125" style="68" customWidth="1"/>
    <col min="10" max="10" width="21.53125" style="68" customWidth="1"/>
    <col min="11" max="11" width="9.06640625" style="68"/>
    <col min="12" max="12" width="13.19921875" style="68" bestFit="1" customWidth="1"/>
    <col min="13" max="13" width="13.265625" style="68" bestFit="1" customWidth="1"/>
    <col min="14" max="14" width="16.86328125" style="68" bestFit="1" customWidth="1"/>
    <col min="15" max="15" width="11.265625" style="68" bestFit="1" customWidth="1"/>
    <col min="16" max="16" width="11.9296875" style="68" bestFit="1" customWidth="1"/>
    <col min="17" max="17" width="8.33203125" style="68" bestFit="1" customWidth="1"/>
    <col min="18" max="18" width="9.06640625" style="68"/>
    <col min="19" max="19" width="15.1328125" style="68" bestFit="1" customWidth="1"/>
    <col min="20" max="20" width="14.59765625" style="68" bestFit="1" customWidth="1"/>
    <col min="21" max="16384" width="9.06640625" style="68"/>
  </cols>
  <sheetData>
    <row r="1" spans="1:17" ht="75">
      <c r="A1" s="106" t="s">
        <v>133</v>
      </c>
      <c r="B1" s="66" t="s">
        <v>113</v>
      </c>
      <c r="C1" s="66" t="s">
        <v>117</v>
      </c>
      <c r="D1" s="29"/>
      <c r="E1" s="67" t="s">
        <v>116</v>
      </c>
      <c r="F1" s="66" t="s">
        <v>114</v>
      </c>
      <c r="G1" s="66" t="s">
        <v>118</v>
      </c>
      <c r="H1" s="65" t="s">
        <v>116</v>
      </c>
      <c r="I1" s="47" t="s">
        <v>115</v>
      </c>
      <c r="J1" s="77" t="s">
        <v>122</v>
      </c>
      <c r="K1" s="83" t="s">
        <v>121</v>
      </c>
      <c r="L1" s="84"/>
      <c r="M1" s="84"/>
      <c r="N1" s="84"/>
      <c r="O1" s="84"/>
      <c r="P1" s="84"/>
      <c r="Q1" s="84"/>
    </row>
    <row r="2" spans="1:17" ht="15">
      <c r="A2" s="68" t="s">
        <v>134</v>
      </c>
      <c r="B2" s="69">
        <f>'AVG CASH BALANCE'!J17</f>
        <v>14359.585714285717</v>
      </c>
      <c r="C2" s="70">
        <v>0.01</v>
      </c>
      <c r="D2" s="71"/>
      <c r="E2" s="89">
        <v>2027</v>
      </c>
      <c r="F2" s="90">
        <f>Sheet3!B10/100</f>
        <v>3.3818014574618999E-2</v>
      </c>
      <c r="G2" s="70">
        <f>F2-C2</f>
        <v>2.3818014574618997E-2</v>
      </c>
      <c r="H2" s="86">
        <v>2026</v>
      </c>
      <c r="I2" s="76">
        <f>($B$2)*(1+G2)</f>
        <v>14701.602536114064</v>
      </c>
      <c r="J2" s="76">
        <f>I2-$B$2</f>
        <v>342.01682182834702</v>
      </c>
      <c r="K2" s="68" t="s">
        <v>120</v>
      </c>
      <c r="L2" s="74">
        <f>$B$2*(1-F2*(30/360))</f>
        <v>14319.117991038116</v>
      </c>
      <c r="M2" s="74">
        <f>$B$3*(1-F2*(30/360))</f>
        <v>10281.02541338819</v>
      </c>
      <c r="N2" s="73">
        <f>($B$2)*(1+L3)</f>
        <v>14853.334480713129</v>
      </c>
      <c r="O2" s="73">
        <f>($B$3)*(1+M3)</f>
        <v>10664.589073526835</v>
      </c>
      <c r="P2" s="72">
        <f>N2-$B$2</f>
        <v>493.74876642741219</v>
      </c>
      <c r="Q2" s="72">
        <f>O2-$B$3</f>
        <v>354.50812114588553</v>
      </c>
    </row>
    <row r="3" spans="1:17" ht="15">
      <c r="A3" s="68" t="s">
        <v>130</v>
      </c>
      <c r="B3" s="69">
        <f>'AVG CASH BALANCE'!I17</f>
        <v>10310.080952380949</v>
      </c>
      <c r="C3" s="70">
        <v>6.7000000000000002E-3</v>
      </c>
      <c r="D3" s="71"/>
      <c r="E3" s="89"/>
      <c r="F3" s="90"/>
      <c r="G3" s="70">
        <f>F2-C3</f>
        <v>2.7118014574618998E-2</v>
      </c>
      <c r="H3" s="87"/>
      <c r="I3" s="76">
        <f>($B$2)*(1+G3)</f>
        <v>14748.989168971208</v>
      </c>
      <c r="J3" s="76">
        <f>I3-$B$2</f>
        <v>389.40345468549094</v>
      </c>
      <c r="K3" s="68" t="s">
        <v>119</v>
      </c>
      <c r="L3" s="75">
        <f>(($B$2-L2)/L2)*365/30</f>
        <v>3.4384610827330617E-2</v>
      </c>
      <c r="M3" s="75">
        <f>(($B$3-M2)/M2)*365/30</f>
        <v>3.4384610827329777E-2</v>
      </c>
    </row>
    <row r="4" spans="1:17" ht="15">
      <c r="E4" s="89">
        <v>2028</v>
      </c>
      <c r="F4" s="90">
        <f>Sheet3!B11/100</f>
        <v>3.0446617319710132E-2</v>
      </c>
      <c r="G4" s="70">
        <f>F4-C2</f>
        <v>2.0446617319710134E-2</v>
      </c>
      <c r="H4" s="87"/>
      <c r="I4" s="73">
        <f>($B$3)*(1+G2)</f>
        <v>10555.64661077026</v>
      </c>
      <c r="J4" s="73">
        <f>I4-$B$3</f>
        <v>245.56565838931056</v>
      </c>
      <c r="L4" s="74">
        <f>$B$2*(1-F4*(30/360))</f>
        <v>14323.15231335968</v>
      </c>
      <c r="M4" s="74">
        <f>$B$3*(1-F4*(30/360))</f>
        <v>10283.922028273251</v>
      </c>
      <c r="N4" s="73">
        <f>($B$2)*(1+L5)</f>
        <v>14803.98630010024</v>
      </c>
      <c r="O4" s="73">
        <f>($B$3)*(1+M5)</f>
        <v>10629.157428972818</v>
      </c>
      <c r="P4" s="72">
        <f>N4-$B$2</f>
        <v>444.40058581452286</v>
      </c>
      <c r="Q4" s="72">
        <f>O4-$B$3</f>
        <v>319.07647659186841</v>
      </c>
    </row>
    <row r="5" spans="1:17" ht="15">
      <c r="E5" s="89"/>
      <c r="F5" s="90"/>
      <c r="G5" s="70">
        <f>F4-C3</f>
        <v>2.3746617319710131E-2</v>
      </c>
      <c r="H5" s="88"/>
      <c r="I5" s="73">
        <f>($B$3)*(1+G3)</f>
        <v>10589.669877913118</v>
      </c>
      <c r="J5" s="73">
        <f>I5-$B$3</f>
        <v>279.58892553216901</v>
      </c>
      <c r="L5" s="75">
        <f>(($B$2-L4)/L4)*365/30</f>
        <v>3.0948008853236522E-2</v>
      </c>
      <c r="M5" s="75">
        <f>(($B$3-M4)/M4)*365/30</f>
        <v>3.0948008853236429E-2</v>
      </c>
    </row>
    <row r="6" spans="1:17" ht="15">
      <c r="E6" s="89">
        <v>2029</v>
      </c>
      <c r="F6" s="90">
        <f>Sheet3!B12/100</f>
        <v>3.0285441463983022E-2</v>
      </c>
      <c r="G6" s="70">
        <f>F6-C2</f>
        <v>2.028544146398302E-2</v>
      </c>
      <c r="H6" s="86">
        <v>2027</v>
      </c>
      <c r="I6" s="76">
        <f>($B$2)*(1+G4)</f>
        <v>14653.190668255294</v>
      </c>
      <c r="J6" s="76">
        <f>I6-$B$2</f>
        <v>293.60495396957776</v>
      </c>
      <c r="L6" s="74">
        <f>$B$2*(1-F6*(30/360))</f>
        <v>14323.345181569295</v>
      </c>
      <c r="M6" s="74">
        <f>$B$3*(1-F6*(30/360))</f>
        <v>10284.06050628326</v>
      </c>
      <c r="N6" s="73">
        <f>($B$2)*(1+L7)</f>
        <v>14801.627815684387</v>
      </c>
      <c r="O6" s="73">
        <f>($B$3)*(1+M7)</f>
        <v>10627.464053847931</v>
      </c>
      <c r="P6" s="72">
        <f>N6-$B$2</f>
        <v>442.04210139867064</v>
      </c>
      <c r="Q6" s="72">
        <f>O6-$B$3</f>
        <v>317.38310146698132</v>
      </c>
    </row>
    <row r="7" spans="1:17" ht="15">
      <c r="E7" s="89"/>
      <c r="F7" s="90"/>
      <c r="G7" s="70">
        <f>F6-C3</f>
        <v>2.3585441463983021E-2</v>
      </c>
      <c r="H7" s="87"/>
      <c r="I7" s="76">
        <f>($B$2)*(1+G5)</f>
        <v>14700.577301112435</v>
      </c>
      <c r="J7" s="76">
        <f>I7-$B$2</f>
        <v>340.99158682671805</v>
      </c>
      <c r="L7" s="75">
        <f>(($B$2-L6)/L6)*365/30</f>
        <v>3.0783764252955023E-2</v>
      </c>
      <c r="M7" s="75">
        <f>(($B$3-M6)/M6)*365/30</f>
        <v>3.0783764252955381E-2</v>
      </c>
      <c r="P7" s="72"/>
      <c r="Q7" s="72"/>
    </row>
    <row r="8" spans="1:17" ht="15">
      <c r="H8" s="87"/>
      <c r="I8" s="73">
        <f>($B$3)*(1+G6)</f>
        <v>10519.225496029399</v>
      </c>
      <c r="J8" s="73">
        <f>I8-$B$3</f>
        <v>209.14454364845005</v>
      </c>
    </row>
    <row r="9" spans="1:17" ht="15">
      <c r="H9" s="88"/>
      <c r="I9" s="73">
        <f>($B$3)*(1+G7)</f>
        <v>10553.248763172258</v>
      </c>
      <c r="J9" s="73">
        <f>I9-$B$3</f>
        <v>243.16781079130851</v>
      </c>
    </row>
    <row r="10" spans="1:17" ht="15.4" customHeight="1">
      <c r="H10" s="89">
        <v>2028</v>
      </c>
      <c r="I10" s="76">
        <f>($B$2)*(1+G6)</f>
        <v>14650.876249739906</v>
      </c>
      <c r="J10" s="76">
        <f>I10-$B$2</f>
        <v>291.29053545418901</v>
      </c>
    </row>
    <row r="11" spans="1:17" ht="15.4" customHeight="1">
      <c r="H11" s="89"/>
      <c r="I11" s="76">
        <f>($B$2)*(1+G7)</f>
        <v>14698.262882597051</v>
      </c>
      <c r="J11" s="76">
        <f>I11-$B$2</f>
        <v>338.67716831133475</v>
      </c>
    </row>
    <row r="12" spans="1:17" ht="15.4" customHeight="1">
      <c r="H12" s="89"/>
      <c r="I12" s="73">
        <f>($B$3)*(1+G6)</f>
        <v>10519.225496029399</v>
      </c>
      <c r="J12" s="73">
        <f>I12-$B$3</f>
        <v>209.14454364845005</v>
      </c>
    </row>
    <row r="13" spans="1:17" ht="15.4" customHeight="1">
      <c r="H13" s="89"/>
      <c r="I13" s="73">
        <f>($B$3)*(1+G7)</f>
        <v>10553.248763172258</v>
      </c>
      <c r="J13" s="73">
        <f>I13-$B$3</f>
        <v>243.16781079130851</v>
      </c>
    </row>
    <row r="15" spans="1:17" ht="47.25" customHeight="1">
      <c r="B15" s="81" t="s">
        <v>116</v>
      </c>
      <c r="C15" s="85" t="s">
        <v>135</v>
      </c>
      <c r="D15" s="85"/>
      <c r="E15" s="85" t="s">
        <v>127</v>
      </c>
      <c r="F15" s="85"/>
    </row>
    <row r="16" spans="1:17">
      <c r="B16" s="82"/>
      <c r="C16" s="47" t="s">
        <v>125</v>
      </c>
      <c r="D16" s="47" t="s">
        <v>126</v>
      </c>
      <c r="E16" s="47" t="s">
        <v>125</v>
      </c>
      <c r="F16" s="47" t="s">
        <v>126</v>
      </c>
    </row>
    <row r="17" spans="2:6" ht="17.75" customHeight="1">
      <c r="B17" s="67">
        <v>2027</v>
      </c>
      <c r="C17" s="73">
        <f>P2-J3</f>
        <v>104.34531174192125</v>
      </c>
      <c r="D17" s="73">
        <f>P2-J2</f>
        <v>151.73194459906517</v>
      </c>
      <c r="E17" s="73">
        <f>Q2-J5</f>
        <v>74.919195613716511</v>
      </c>
      <c r="F17" s="73">
        <f>Q2-J4</f>
        <v>108.94246275657497</v>
      </c>
    </row>
    <row r="18" spans="2:6" ht="17.75" customHeight="1">
      <c r="B18" s="67">
        <v>2028</v>
      </c>
      <c r="C18" s="73">
        <f>P4-J7</f>
        <v>103.40899898780481</v>
      </c>
      <c r="D18" s="73">
        <f>P4-J6</f>
        <v>150.79563184494509</v>
      </c>
      <c r="E18" s="73">
        <f>Q4-J9</f>
        <v>75.908665800559902</v>
      </c>
      <c r="F18" s="73">
        <f>Q4-J8</f>
        <v>109.93193294341836</v>
      </c>
    </row>
    <row r="19" spans="2:6" ht="17.649999999999999" customHeight="1">
      <c r="B19" s="67">
        <v>2029</v>
      </c>
      <c r="C19" s="73">
        <f>P6-J11</f>
        <v>103.36493308733588</v>
      </c>
      <c r="D19" s="73">
        <f>P6-J10</f>
        <v>150.75156594448163</v>
      </c>
      <c r="E19" s="73">
        <f>Q6-J13</f>
        <v>74.215290675672804</v>
      </c>
      <c r="F19" s="73">
        <f>Q6-J12</f>
        <v>108.23855781853126</v>
      </c>
    </row>
    <row r="20" spans="2:6">
      <c r="C20"/>
    </row>
  </sheetData>
  <mergeCells count="13">
    <mergeCell ref="B15:B16"/>
    <mergeCell ref="K1:Q1"/>
    <mergeCell ref="C15:D15"/>
    <mergeCell ref="H2:H5"/>
    <mergeCell ref="H6:H9"/>
    <mergeCell ref="H10:H13"/>
    <mergeCell ref="E15:F15"/>
    <mergeCell ref="F2:F3"/>
    <mergeCell ref="E2:E3"/>
    <mergeCell ref="E4:E5"/>
    <mergeCell ref="F4:F5"/>
    <mergeCell ref="E6:E7"/>
    <mergeCell ref="F6:F7"/>
  </mergeCells>
  <pageMargins left="0.7" right="0.7" top="0.75" bottom="0.75" header="0.3" footer="0.3"/>
  <ignoredErrors>
    <ignoredError sqref="M3 L5:M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0D47-87DF-4BA3-A1B2-C87E60CA8022}">
  <dimension ref="A1:AG86"/>
  <sheetViews>
    <sheetView workbookViewId="0">
      <selection activeCell="H68" activeCellId="1" sqref="C68:C76 H68:H76"/>
    </sheetView>
    <sheetView workbookViewId="1"/>
  </sheetViews>
  <sheetFormatPr defaultRowHeight="14.25"/>
  <cols>
    <col min="1" max="1" width="16.59765625" customWidth="1"/>
    <col min="2" max="4" width="15.46484375" customWidth="1"/>
    <col min="5" max="5" width="9.796875" bestFit="1" customWidth="1"/>
    <col min="6" max="6" width="10.73046875" bestFit="1" customWidth="1"/>
  </cols>
  <sheetData>
    <row r="1" spans="1:33" ht="30">
      <c r="A1" s="51" t="s">
        <v>101</v>
      </c>
      <c r="B1" s="51" t="s">
        <v>106</v>
      </c>
      <c r="C1" s="52" t="s">
        <v>107</v>
      </c>
      <c r="D1" s="52" t="s">
        <v>95</v>
      </c>
      <c r="E1" t="s">
        <v>102</v>
      </c>
      <c r="F1" t="s">
        <v>103</v>
      </c>
      <c r="G1" t="s">
        <v>104</v>
      </c>
      <c r="H1" t="s">
        <v>105</v>
      </c>
      <c r="Y1">
        <v>1</v>
      </c>
      <c r="Z1">
        <v>2</v>
      </c>
      <c r="AA1">
        <v>3</v>
      </c>
      <c r="AB1">
        <v>4</v>
      </c>
      <c r="AC1">
        <v>5</v>
      </c>
      <c r="AD1">
        <v>6</v>
      </c>
      <c r="AE1">
        <v>7</v>
      </c>
      <c r="AF1">
        <v>8</v>
      </c>
      <c r="AG1">
        <v>9</v>
      </c>
    </row>
    <row r="2" spans="1:33" ht="15.4" hidden="1">
      <c r="A2" s="53">
        <v>1950</v>
      </c>
      <c r="B2" s="54">
        <v>754.5</v>
      </c>
      <c r="C2" s="55"/>
      <c r="D2" s="55"/>
    </row>
    <row r="3" spans="1:33" ht="15.4" hidden="1">
      <c r="A3" s="53">
        <v>1951</v>
      </c>
      <c r="B3" s="56">
        <v>815.3</v>
      </c>
      <c r="C3" s="55"/>
      <c r="D3" s="55"/>
    </row>
    <row r="4" spans="1:33" ht="15.4" hidden="1">
      <c r="A4" s="53">
        <v>1952</v>
      </c>
      <c r="B4" s="56">
        <v>968.2</v>
      </c>
      <c r="C4" s="55"/>
      <c r="D4" s="55"/>
    </row>
    <row r="5" spans="1:33" ht="15.4" hidden="1">
      <c r="A5" s="53">
        <v>1953</v>
      </c>
      <c r="B5" s="56">
        <v>1048.4000000000001</v>
      </c>
      <c r="C5" s="55"/>
      <c r="D5" s="55"/>
    </row>
    <row r="6" spans="1:33" ht="15.4" hidden="1">
      <c r="A6" s="53">
        <v>1954</v>
      </c>
      <c r="B6" s="56">
        <v>1104.4000000000001</v>
      </c>
      <c r="C6" s="55"/>
      <c r="D6" s="55"/>
    </row>
    <row r="7" spans="1:33" ht="15.4" hidden="1">
      <c r="A7" s="53">
        <v>1955</v>
      </c>
      <c r="B7" s="56">
        <v>1141.8</v>
      </c>
      <c r="C7" s="55"/>
      <c r="D7" s="55"/>
    </row>
    <row r="8" spans="1:33" ht="15.4" hidden="1">
      <c r="A8" s="53">
        <v>1956</v>
      </c>
      <c r="B8" s="56">
        <v>1197.9000000000001</v>
      </c>
      <c r="C8" s="55"/>
      <c r="D8" s="55"/>
    </row>
    <row r="9" spans="1:33" ht="15.4" hidden="1">
      <c r="A9" s="53">
        <v>1957</v>
      </c>
      <c r="B9" s="56">
        <v>1264.8</v>
      </c>
      <c r="C9" s="55"/>
      <c r="D9" s="55"/>
    </row>
    <row r="10" spans="1:33" ht="15.4" hidden="1">
      <c r="A10" s="53">
        <v>1958</v>
      </c>
      <c r="B10" s="56">
        <v>1370</v>
      </c>
      <c r="C10" s="55"/>
      <c r="D10" s="55"/>
    </row>
    <row r="11" spans="1:33" ht="15.4" hidden="1">
      <c r="A11" s="53">
        <v>1959</v>
      </c>
      <c r="B11" s="56">
        <v>1513.6</v>
      </c>
      <c r="C11" s="55"/>
      <c r="D11" s="55"/>
    </row>
    <row r="12" spans="1:33" ht="15.4" hidden="1">
      <c r="A12" s="53">
        <v>1960</v>
      </c>
      <c r="B12" s="56">
        <v>1676.4</v>
      </c>
      <c r="C12" s="55"/>
      <c r="D12" s="55"/>
    </row>
    <row r="13" spans="1:33" ht="15.4" hidden="1">
      <c r="A13" s="53">
        <v>1961</v>
      </c>
      <c r="B13" s="56">
        <v>1833.9</v>
      </c>
      <c r="C13" s="55"/>
      <c r="D13" s="55"/>
    </row>
    <row r="14" spans="1:33" ht="15.4" hidden="1">
      <c r="A14" s="53">
        <v>1962</v>
      </c>
      <c r="B14" s="56">
        <v>2047.4</v>
      </c>
      <c r="C14" s="55"/>
      <c r="D14" s="55"/>
    </row>
    <row r="15" spans="1:33" ht="15.4" hidden="1">
      <c r="A15" s="53">
        <v>1963</v>
      </c>
      <c r="B15" s="56">
        <v>2271.1</v>
      </c>
      <c r="C15" s="55"/>
      <c r="D15" s="55"/>
    </row>
    <row r="16" spans="1:33" ht="15.4" hidden="1">
      <c r="A16" s="53">
        <v>1964</v>
      </c>
      <c r="B16" s="56">
        <v>2487.9</v>
      </c>
      <c r="C16" s="55"/>
      <c r="D16" s="55"/>
    </row>
    <row r="17" spans="1:4" ht="15.4" hidden="1">
      <c r="A17" s="53">
        <v>1965</v>
      </c>
      <c r="B17" s="56">
        <v>2763.9</v>
      </c>
      <c r="C17" s="55"/>
      <c r="D17" s="55"/>
    </row>
    <row r="18" spans="1:4" ht="15.4" hidden="1">
      <c r="A18" s="53">
        <v>1966</v>
      </c>
      <c r="B18" s="56">
        <v>3019.4</v>
      </c>
      <c r="C18" s="55"/>
      <c r="D18" s="55"/>
    </row>
    <row r="19" spans="1:4" ht="15.4" hidden="1">
      <c r="A19" s="53">
        <v>1967</v>
      </c>
      <c r="B19" s="56">
        <v>3307</v>
      </c>
      <c r="C19" s="55"/>
      <c r="D19" s="55"/>
    </row>
    <row r="20" spans="1:4" ht="15.4" hidden="1">
      <c r="A20" s="53">
        <v>1968</v>
      </c>
      <c r="B20" s="56">
        <v>3683.5</v>
      </c>
      <c r="C20" s="55"/>
      <c r="D20" s="55"/>
    </row>
    <row r="21" spans="1:4" ht="15.4" hidden="1">
      <c r="A21" s="53">
        <v>1969</v>
      </c>
      <c r="B21" s="56">
        <v>4166.8999999999996</v>
      </c>
      <c r="C21" s="55"/>
      <c r="D21" s="55"/>
    </row>
    <row r="22" spans="1:4" ht="15.4" hidden="1">
      <c r="A22" s="53">
        <v>1970</v>
      </c>
      <c r="B22" s="56">
        <v>4687.5</v>
      </c>
      <c r="C22" s="55"/>
      <c r="D22" s="55"/>
    </row>
    <row r="23" spans="1:4" ht="15.4" hidden="1">
      <c r="A23" s="53">
        <v>1971</v>
      </c>
      <c r="B23" s="56">
        <v>5248.4</v>
      </c>
      <c r="C23" s="55"/>
      <c r="D23" s="55"/>
    </row>
    <row r="24" spans="1:4" ht="15.4" hidden="1">
      <c r="A24" s="53">
        <v>1972</v>
      </c>
      <c r="B24" s="56">
        <v>5767.9</v>
      </c>
      <c r="C24" s="55"/>
      <c r="D24" s="55"/>
    </row>
    <row r="25" spans="1:4" ht="15.4" hidden="1">
      <c r="A25" s="53">
        <v>1973</v>
      </c>
      <c r="B25" s="56">
        <v>6303</v>
      </c>
      <c r="C25" s="55"/>
      <c r="D25" s="55"/>
    </row>
    <row r="26" spans="1:4" ht="15.4" hidden="1">
      <c r="A26" s="53">
        <v>1974</v>
      </c>
      <c r="B26" s="56">
        <v>6811.6</v>
      </c>
      <c r="C26" s="55"/>
      <c r="D26" s="55"/>
    </row>
    <row r="27" spans="1:4" ht="15.4" hidden="1">
      <c r="A27" s="53">
        <v>1975</v>
      </c>
      <c r="B27" s="56">
        <v>7174.6</v>
      </c>
      <c r="C27" s="55"/>
      <c r="D27" s="55"/>
    </row>
    <row r="28" spans="1:4" ht="15.4" hidden="1">
      <c r="A28" s="53">
        <v>1976</v>
      </c>
      <c r="B28" s="56">
        <v>7549.8</v>
      </c>
      <c r="C28" s="55"/>
      <c r="D28" s="55"/>
    </row>
    <row r="29" spans="1:4" ht="15.4" hidden="1">
      <c r="A29" s="53">
        <v>1977</v>
      </c>
      <c r="B29" s="56">
        <v>8181.7</v>
      </c>
      <c r="C29" s="55"/>
      <c r="D29" s="55"/>
    </row>
    <row r="30" spans="1:4" ht="15.4" hidden="1">
      <c r="A30" s="53">
        <v>1978</v>
      </c>
      <c r="B30" s="56">
        <v>8996.7000000000007</v>
      </c>
      <c r="C30" s="55"/>
      <c r="D30" s="55"/>
    </row>
    <row r="31" spans="1:4" ht="15.4" hidden="1">
      <c r="A31" s="53">
        <v>1979</v>
      </c>
      <c r="B31" s="56">
        <v>10037</v>
      </c>
      <c r="C31" s="55"/>
      <c r="D31" s="55"/>
    </row>
    <row r="32" spans="1:4" ht="15.4" hidden="1">
      <c r="A32" s="53">
        <v>1980</v>
      </c>
      <c r="B32" s="56">
        <v>11064.6</v>
      </c>
      <c r="C32" s="55"/>
      <c r="D32" s="55"/>
    </row>
    <row r="33" spans="1:4" ht="15.4" hidden="1">
      <c r="A33" s="53">
        <v>1981</v>
      </c>
      <c r="B33" s="56">
        <v>12211.7</v>
      </c>
      <c r="C33" s="55"/>
      <c r="D33" s="55"/>
    </row>
    <row r="34" spans="1:4" ht="15.4" hidden="1">
      <c r="A34" s="53">
        <v>1982</v>
      </c>
      <c r="B34" s="56">
        <v>12693.5</v>
      </c>
      <c r="C34" s="55"/>
      <c r="D34" s="55"/>
    </row>
    <row r="35" spans="1:4" ht="15.4" hidden="1">
      <c r="A35" s="53">
        <v>1983</v>
      </c>
      <c r="B35" s="56">
        <v>13048.5</v>
      </c>
      <c r="C35" s="55"/>
      <c r="D35" s="55"/>
    </row>
    <row r="36" spans="1:4" ht="15.4" hidden="1">
      <c r="A36" s="53">
        <v>1984</v>
      </c>
      <c r="B36" s="56">
        <v>14183</v>
      </c>
      <c r="C36" s="55"/>
      <c r="D36" s="55"/>
    </row>
    <row r="37" spans="1:4" ht="15.4" hidden="1">
      <c r="A37" s="53">
        <v>1985</v>
      </c>
      <c r="B37" s="56">
        <v>15002.2</v>
      </c>
      <c r="C37" s="55"/>
      <c r="D37" s="55"/>
    </row>
    <row r="38" spans="1:4" ht="15.4" hidden="1">
      <c r="A38" s="53">
        <v>1986</v>
      </c>
      <c r="B38" s="56">
        <v>16014.4</v>
      </c>
      <c r="C38" s="55"/>
      <c r="D38" s="55"/>
    </row>
    <row r="39" spans="1:4" ht="15.4" hidden="1">
      <c r="A39" s="53">
        <v>1987</v>
      </c>
      <c r="B39" s="56">
        <v>17152.7</v>
      </c>
      <c r="C39" s="55"/>
      <c r="D39" s="55"/>
    </row>
    <row r="40" spans="1:4" ht="15.4" hidden="1">
      <c r="A40" s="53">
        <v>1988</v>
      </c>
      <c r="B40" s="56">
        <v>18549.8</v>
      </c>
      <c r="C40" s="55"/>
      <c r="D40" s="55"/>
    </row>
    <row r="41" spans="1:4" ht="15.4" hidden="1">
      <c r="A41" s="53">
        <v>1989</v>
      </c>
      <c r="B41" s="56">
        <v>19954.2</v>
      </c>
      <c r="C41" s="55"/>
      <c r="D41" s="55"/>
    </row>
    <row r="42" spans="1:4" ht="15.4" hidden="1">
      <c r="A42" s="53">
        <v>1990</v>
      </c>
      <c r="B42" s="57">
        <v>21619.118999999999</v>
      </c>
      <c r="C42" s="58"/>
      <c r="D42" s="58"/>
    </row>
    <row r="43" spans="1:4" ht="15.4" hidden="1">
      <c r="A43" s="53">
        <v>1991</v>
      </c>
      <c r="B43" s="57">
        <v>22808.954000000002</v>
      </c>
      <c r="C43" s="58"/>
      <c r="D43" s="58"/>
    </row>
    <row r="44" spans="1:4" ht="15.4" hidden="1">
      <c r="A44" s="53">
        <v>1992</v>
      </c>
      <c r="B44" s="57">
        <v>23696.440999999999</v>
      </c>
      <c r="C44" s="58"/>
      <c r="D44" s="58"/>
    </row>
    <row r="45" spans="1:4" ht="15.4" hidden="1">
      <c r="A45" s="53">
        <v>1993</v>
      </c>
      <c r="B45" s="57">
        <v>25132.937000000002</v>
      </c>
      <c r="C45" s="58"/>
      <c r="D45" s="58"/>
    </row>
    <row r="46" spans="1:4" ht="15.4" hidden="1">
      <c r="A46" s="53">
        <v>1994</v>
      </c>
      <c r="B46" s="57">
        <v>26640.911</v>
      </c>
      <c r="C46" s="58"/>
      <c r="D46" s="58"/>
    </row>
    <row r="47" spans="1:4" ht="15.4" hidden="1">
      <c r="A47" s="53">
        <v>1995</v>
      </c>
      <c r="B47" s="57">
        <v>28452.346000000001</v>
      </c>
      <c r="C47" s="58"/>
      <c r="D47" s="58"/>
    </row>
    <row r="48" spans="1:4" ht="15.4" hidden="1">
      <c r="A48" s="53">
        <v>1996</v>
      </c>
      <c r="B48" s="57">
        <v>30356.951000000001</v>
      </c>
      <c r="C48" s="58"/>
      <c r="D48" s="58"/>
    </row>
    <row r="49" spans="1:4" ht="15.4" hidden="1">
      <c r="A49" s="53">
        <v>1997</v>
      </c>
      <c r="B49" s="57">
        <v>32342.705999999998</v>
      </c>
      <c r="C49" s="58"/>
      <c r="D49" s="58"/>
    </row>
    <row r="50" spans="1:4" ht="15.4" hidden="1">
      <c r="A50" s="53">
        <v>1998</v>
      </c>
      <c r="B50" s="57">
        <v>35110.658000000003</v>
      </c>
      <c r="C50" s="58"/>
      <c r="D50" s="58"/>
    </row>
    <row r="51" spans="1:4" ht="15.4" hidden="1">
      <c r="A51" s="53">
        <v>1999</v>
      </c>
      <c r="B51" s="57">
        <v>38281.152999999998</v>
      </c>
      <c r="C51" s="58"/>
      <c r="D51" s="58"/>
    </row>
    <row r="52" spans="1:4" ht="15.4" hidden="1">
      <c r="A52" s="53">
        <v>2000</v>
      </c>
      <c r="B52" s="59">
        <v>41418.574999999997</v>
      </c>
      <c r="C52" s="60"/>
      <c r="D52" s="60"/>
    </row>
    <row r="53" spans="1:4" ht="15.4" hidden="1">
      <c r="A53" s="53">
        <v>2001</v>
      </c>
      <c r="B53" s="59">
        <v>44046.555</v>
      </c>
      <c r="C53" s="60"/>
      <c r="D53" s="60"/>
    </row>
    <row r="54" spans="1:4" ht="15.4" hidden="1">
      <c r="A54" s="53">
        <v>2002</v>
      </c>
      <c r="B54" s="61">
        <v>45071.324000000001</v>
      </c>
      <c r="C54" s="62"/>
      <c r="D54" s="62"/>
    </row>
    <row r="55" spans="1:4" ht="15.4" hidden="1">
      <c r="A55" s="53">
        <v>2003</v>
      </c>
      <c r="B55" s="61">
        <v>47479.423999999999</v>
      </c>
      <c r="C55" s="62"/>
      <c r="D55" s="62"/>
    </row>
    <row r="56" spans="1:4" ht="15.4" hidden="1">
      <c r="A56" s="53">
        <v>2004</v>
      </c>
      <c r="B56" s="61">
        <v>50708.69</v>
      </c>
      <c r="C56" s="62"/>
      <c r="D56" s="62"/>
    </row>
    <row r="57" spans="1:4" ht="15.4" hidden="1">
      <c r="A57" s="53">
        <v>2005</v>
      </c>
      <c r="B57" s="61">
        <v>53752.39</v>
      </c>
      <c r="C57" s="62"/>
      <c r="D57" s="62"/>
    </row>
    <row r="58" spans="1:4" ht="15.4" hidden="1">
      <c r="A58" s="53">
        <v>2006</v>
      </c>
      <c r="B58" s="61">
        <v>56732.297653814196</v>
      </c>
      <c r="C58" s="62"/>
      <c r="D58" s="62"/>
    </row>
    <row r="59" spans="1:4" ht="15.4" hidden="1">
      <c r="A59" s="53">
        <v>2007</v>
      </c>
      <c r="B59" s="61">
        <v>59520.502617190941</v>
      </c>
      <c r="C59" s="62"/>
      <c r="D59" s="62"/>
    </row>
    <row r="60" spans="1:4" ht="15.4" hidden="1">
      <c r="A60" s="53">
        <v>2008</v>
      </c>
      <c r="B60" s="61">
        <v>61665.17</v>
      </c>
      <c r="C60" s="62"/>
      <c r="D60" s="62"/>
    </row>
    <row r="61" spans="1:4" ht="15.4" hidden="1">
      <c r="A61" s="53">
        <v>2009</v>
      </c>
      <c r="B61" s="61">
        <v>62598.103000000003</v>
      </c>
      <c r="C61" s="62"/>
      <c r="D61" s="62"/>
    </row>
    <row r="62" spans="1:4" ht="15.4" hidden="1">
      <c r="A62" s="53">
        <v>2010</v>
      </c>
      <c r="B62" s="61">
        <v>63058.173999999999</v>
      </c>
      <c r="C62" s="62"/>
      <c r="D62" s="62"/>
    </row>
    <row r="63" spans="1:4" ht="15.75" hidden="1" thickBot="1">
      <c r="A63" s="53">
        <v>2011</v>
      </c>
      <c r="B63" s="63">
        <v>64106.184000000001</v>
      </c>
      <c r="C63" s="62"/>
      <c r="D63" s="62"/>
    </row>
    <row r="64" spans="1:4" ht="15.4" hidden="1">
      <c r="A64" s="53">
        <v>2012</v>
      </c>
      <c r="B64" s="64">
        <v>68085.7</v>
      </c>
      <c r="C64" s="64"/>
      <c r="D64" s="64"/>
    </row>
    <row r="65" spans="1:24" ht="15.4" hidden="1">
      <c r="A65" s="53">
        <v>2013</v>
      </c>
      <c r="B65" s="64">
        <v>68944.899999999994</v>
      </c>
      <c r="C65" s="64"/>
      <c r="D65" s="64"/>
    </row>
    <row r="66" spans="1:24" ht="15.4" hidden="1">
      <c r="A66" s="53">
        <v>2014</v>
      </c>
      <c r="B66" s="64">
        <v>68797.5</v>
      </c>
      <c r="C66" s="64"/>
      <c r="D66" s="64"/>
    </row>
    <row r="67" spans="1:24" ht="15.4">
      <c r="A67" s="53">
        <v>2015</v>
      </c>
      <c r="B67" s="64">
        <v>69602</v>
      </c>
      <c r="C67" s="41">
        <v>103375.5</v>
      </c>
      <c r="D67" s="41">
        <f>E67/10^3</f>
        <v>53252.362999999998</v>
      </c>
      <c r="E67" s="41">
        <v>53252363</v>
      </c>
      <c r="F67" s="41"/>
      <c r="G67" s="21">
        <f>E67/10^3/B67</f>
        <v>0.7650981724663084</v>
      </c>
      <c r="N67">
        <v>1</v>
      </c>
      <c r="X67">
        <v>1</v>
      </c>
    </row>
    <row r="68" spans="1:24" ht="15.4">
      <c r="A68" s="53">
        <v>2016</v>
      </c>
      <c r="B68" s="64">
        <v>69985.2</v>
      </c>
      <c r="C68" s="64">
        <v>104336.7</v>
      </c>
      <c r="D68" s="41">
        <f t="shared" ref="D68:D76" si="0">E68/10^3</f>
        <v>53874.375999999997</v>
      </c>
      <c r="E68">
        <v>53874376</v>
      </c>
      <c r="F68">
        <f>(E67+E68)/2</f>
        <v>53563369.5</v>
      </c>
      <c r="G68" s="21">
        <f>F68/10^3/B68</f>
        <v>0.76535281030846525</v>
      </c>
      <c r="H68" s="21">
        <f>F68/10^3/C68</f>
        <v>0.51337036248990053</v>
      </c>
      <c r="N68">
        <v>2</v>
      </c>
      <c r="X68">
        <v>2</v>
      </c>
    </row>
    <row r="69" spans="1:24" ht="15.4">
      <c r="A69" s="53">
        <v>2017</v>
      </c>
      <c r="B69" s="64">
        <v>69049.493000000002</v>
      </c>
      <c r="C69" s="64">
        <v>103445.5</v>
      </c>
      <c r="D69" s="41">
        <f t="shared" si="0"/>
        <v>58629.716</v>
      </c>
      <c r="E69" s="41">
        <v>58629716</v>
      </c>
      <c r="F69">
        <f t="shared" ref="F69:F76" si="1">(E68+E69)/2</f>
        <v>56252046</v>
      </c>
      <c r="G69" s="21">
        <f t="shared" ref="G69:G76" si="2">F69/10^3/B69</f>
        <v>0.81466269419241066</v>
      </c>
      <c r="H69" s="21">
        <f t="shared" ref="H69:H76" si="3">F69/10^3/C69</f>
        <v>0.54378436954724951</v>
      </c>
      <c r="N69">
        <v>3</v>
      </c>
      <c r="X69">
        <v>3</v>
      </c>
    </row>
    <row r="70" spans="1:24" ht="15.4">
      <c r="A70" s="53">
        <v>2018</v>
      </c>
      <c r="B70" s="64">
        <v>67601.100000000006</v>
      </c>
      <c r="C70" s="64">
        <v>100958.1</v>
      </c>
      <c r="D70" s="41">
        <f t="shared" si="0"/>
        <v>61802.851000000002</v>
      </c>
      <c r="E70" s="41">
        <v>61802851</v>
      </c>
      <c r="F70">
        <f t="shared" si="1"/>
        <v>60216283.5</v>
      </c>
      <c r="G70" s="21">
        <f t="shared" si="2"/>
        <v>0.89075892995824024</v>
      </c>
      <c r="H70" s="21">
        <f t="shared" si="3"/>
        <v>0.59644826418088293</v>
      </c>
      <c r="N70">
        <v>4</v>
      </c>
      <c r="X70">
        <v>4</v>
      </c>
    </row>
    <row r="71" spans="1:24" ht="15.4">
      <c r="A71" s="53">
        <v>2019</v>
      </c>
      <c r="B71" s="64">
        <v>70765.100000000006</v>
      </c>
      <c r="C71" s="64">
        <v>105126.39999999999</v>
      </c>
      <c r="D71" s="41">
        <f t="shared" si="0"/>
        <v>64832.273999999998</v>
      </c>
      <c r="E71" s="41">
        <v>64832274</v>
      </c>
      <c r="F71">
        <f t="shared" si="1"/>
        <v>63317562.5</v>
      </c>
      <c r="G71" s="21">
        <f t="shared" si="2"/>
        <v>0.8947569140720496</v>
      </c>
      <c r="H71" s="21">
        <f t="shared" si="3"/>
        <v>0.60229935106690613</v>
      </c>
      <c r="N71">
        <v>5</v>
      </c>
      <c r="X71">
        <v>5</v>
      </c>
    </row>
    <row r="72" spans="1:24" ht="15.4">
      <c r="A72" s="53">
        <v>2020</v>
      </c>
      <c r="B72" s="64">
        <v>70353.3</v>
      </c>
      <c r="C72" s="64">
        <v>103130.9</v>
      </c>
      <c r="D72" s="41">
        <f t="shared" si="0"/>
        <v>79575.180999999997</v>
      </c>
      <c r="E72" s="41">
        <v>79575181</v>
      </c>
      <c r="F72">
        <f t="shared" si="1"/>
        <v>72203727.5</v>
      </c>
      <c r="G72" s="21">
        <f t="shared" si="2"/>
        <v>1.0263019289784558</v>
      </c>
      <c r="H72" s="21">
        <f t="shared" si="3"/>
        <v>0.70011730237979108</v>
      </c>
      <c r="N72">
        <v>6</v>
      </c>
      <c r="X72">
        <v>6</v>
      </c>
    </row>
    <row r="73" spans="1:24" ht="15.4">
      <c r="A73" s="53">
        <v>2021</v>
      </c>
      <c r="B73" s="64">
        <v>73357.3</v>
      </c>
      <c r="C73" s="64">
        <v>106426.6</v>
      </c>
      <c r="D73" s="41">
        <f t="shared" si="0"/>
        <v>90035.887000000002</v>
      </c>
      <c r="E73" s="41">
        <v>90035887</v>
      </c>
      <c r="F73">
        <f t="shared" si="1"/>
        <v>84805534</v>
      </c>
      <c r="G73" s="21">
        <f t="shared" si="2"/>
        <v>1.156061278155003</v>
      </c>
      <c r="H73" s="21">
        <f t="shared" si="3"/>
        <v>0.79684528116091269</v>
      </c>
      <c r="N73">
        <v>7</v>
      </c>
      <c r="X73">
        <v>7</v>
      </c>
    </row>
    <row r="74" spans="1:24" ht="15.4">
      <c r="A74" s="53">
        <v>2022</v>
      </c>
      <c r="B74" s="64">
        <v>78642.100000000006</v>
      </c>
      <c r="C74" s="64">
        <v>113843.7</v>
      </c>
      <c r="D74" s="41">
        <f t="shared" si="0"/>
        <v>78532.244999999995</v>
      </c>
      <c r="E74" s="41">
        <v>78532245</v>
      </c>
      <c r="F74">
        <f t="shared" si="1"/>
        <v>84284066</v>
      </c>
      <c r="G74" s="21">
        <f t="shared" si="2"/>
        <v>1.0717423110522226</v>
      </c>
      <c r="H74" s="21">
        <f t="shared" si="3"/>
        <v>0.74034896968387365</v>
      </c>
      <c r="N74">
        <v>8</v>
      </c>
      <c r="X74">
        <v>8</v>
      </c>
    </row>
    <row r="75" spans="1:24" ht="15.4">
      <c r="A75" s="53">
        <v>2023</v>
      </c>
      <c r="B75" s="64">
        <v>81928.600000000006</v>
      </c>
      <c r="C75" s="64">
        <v>118375</v>
      </c>
      <c r="D75" s="41">
        <f t="shared" si="0"/>
        <v>81807.524999999994</v>
      </c>
      <c r="E75" s="41">
        <v>81807525</v>
      </c>
      <c r="F75">
        <f t="shared" si="1"/>
        <v>80169885</v>
      </c>
      <c r="G75" s="21">
        <f t="shared" si="2"/>
        <v>0.97853356459160767</v>
      </c>
      <c r="H75" s="21">
        <f t="shared" si="3"/>
        <v>0.67725351636747622</v>
      </c>
      <c r="N75">
        <v>9</v>
      </c>
      <c r="X75">
        <v>9</v>
      </c>
    </row>
    <row r="76" spans="1:24" ht="15.4">
      <c r="A76" s="53">
        <v>2024</v>
      </c>
      <c r="B76" s="64">
        <v>85627.3</v>
      </c>
      <c r="C76" s="64">
        <v>125841.5</v>
      </c>
      <c r="D76" s="41">
        <f t="shared" si="0"/>
        <v>84230.254000000001</v>
      </c>
      <c r="E76" s="41">
        <v>84230254</v>
      </c>
      <c r="F76">
        <f t="shared" si="1"/>
        <v>83018889.5</v>
      </c>
      <c r="G76" s="21">
        <f t="shared" si="2"/>
        <v>0.96953762993811554</v>
      </c>
      <c r="H76" s="21">
        <f t="shared" si="3"/>
        <v>0.65970994862585086</v>
      </c>
      <c r="N76">
        <v>10</v>
      </c>
      <c r="X76">
        <v>10</v>
      </c>
    </row>
    <row r="77" spans="1:24">
      <c r="N77">
        <v>11</v>
      </c>
      <c r="X77">
        <v>11</v>
      </c>
    </row>
    <row r="78" spans="1:24">
      <c r="N78">
        <v>12</v>
      </c>
      <c r="X78">
        <v>12</v>
      </c>
    </row>
    <row r="79" spans="1:24">
      <c r="N79">
        <v>13</v>
      </c>
      <c r="X79">
        <v>13</v>
      </c>
    </row>
    <row r="80" spans="1:24">
      <c r="N80">
        <v>14</v>
      </c>
      <c r="X80">
        <v>14</v>
      </c>
    </row>
    <row r="81" spans="14:24">
      <c r="N81">
        <v>15</v>
      </c>
      <c r="X81">
        <v>15</v>
      </c>
    </row>
    <row r="82" spans="14:24">
      <c r="N82">
        <v>16</v>
      </c>
      <c r="X82">
        <v>16</v>
      </c>
    </row>
    <row r="83" spans="14:24">
      <c r="N83">
        <v>17</v>
      </c>
      <c r="X83">
        <v>17</v>
      </c>
    </row>
    <row r="84" spans="14:24">
      <c r="N84">
        <v>18</v>
      </c>
      <c r="X84">
        <v>18</v>
      </c>
    </row>
    <row r="85" spans="14:24">
      <c r="N85">
        <v>19</v>
      </c>
      <c r="X85">
        <v>19</v>
      </c>
    </row>
    <row r="86" spans="14:24">
      <c r="N86">
        <v>20</v>
      </c>
      <c r="X86">
        <v>20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F7A1-156F-444F-AC10-11529CB52F20}">
  <dimension ref="A1:D9"/>
  <sheetViews>
    <sheetView zoomScale="66" workbookViewId="0">
      <selection activeCell="C8" sqref="C8"/>
    </sheetView>
    <sheetView workbookViewId="1"/>
  </sheetViews>
  <sheetFormatPr defaultRowHeight="14.25"/>
  <cols>
    <col min="2" max="2" width="12.265625" customWidth="1"/>
    <col min="3" max="3" width="17" bestFit="1" customWidth="1"/>
  </cols>
  <sheetData>
    <row r="1" spans="1:4" ht="15">
      <c r="A1" t="s">
        <v>15</v>
      </c>
      <c r="B1" s="4" t="s">
        <v>4</v>
      </c>
      <c r="C1" s="4" t="s">
        <v>3</v>
      </c>
      <c r="D1" t="s">
        <v>2</v>
      </c>
    </row>
    <row r="2" spans="1:4" ht="15">
      <c r="A2">
        <v>1</v>
      </c>
      <c r="B2" s="4">
        <v>2022</v>
      </c>
      <c r="C2" s="5">
        <v>18169</v>
      </c>
      <c r="D2" s="2" t="s">
        <v>1</v>
      </c>
    </row>
    <row r="3" spans="1:4" ht="15">
      <c r="A3">
        <v>2</v>
      </c>
      <c r="B3" s="4">
        <v>2023</v>
      </c>
      <c r="C3" s="5">
        <v>22173</v>
      </c>
      <c r="D3" s="2" t="s">
        <v>1</v>
      </c>
    </row>
    <row r="4" spans="1:4" ht="15">
      <c r="A4">
        <v>3</v>
      </c>
      <c r="B4" s="4">
        <v>2024</v>
      </c>
      <c r="C4" s="5">
        <v>24623</v>
      </c>
      <c r="D4" s="2" t="s">
        <v>1</v>
      </c>
    </row>
    <row r="5" spans="1:4" ht="15">
      <c r="A5">
        <v>4</v>
      </c>
      <c r="B5" s="4">
        <v>2025</v>
      </c>
      <c r="C5" s="5">
        <v>24433</v>
      </c>
      <c r="D5" t="s">
        <v>0</v>
      </c>
    </row>
    <row r="6" spans="1:4" ht="15">
      <c r="C6" s="99">
        <v>26181</v>
      </c>
      <c r="D6" t="s">
        <v>128</v>
      </c>
    </row>
    <row r="7" spans="1:4" ht="15">
      <c r="C7" s="99">
        <v>25420</v>
      </c>
    </row>
    <row r="8" spans="1:4" ht="15">
      <c r="C8" s="99">
        <v>24655</v>
      </c>
    </row>
    <row r="9" spans="1:4" ht="15">
      <c r="B9" s="97" t="s">
        <v>129</v>
      </c>
      <c r="C9" s="98">
        <f>AVERAGE(C6:C8)</f>
        <v>25418.666666666668</v>
      </c>
    </row>
  </sheetData>
  <sortState xmlns:xlrd2="http://schemas.microsoft.com/office/spreadsheetml/2017/richdata2" ref="A2:D5">
    <sortCondition ref="A2:A5"/>
  </sortState>
  <hyperlinks>
    <hyperlink ref="D2" r:id="rId1" display="https://docs.pr.gov/files/AAFAF/Financial_Documents/Summary of Bank Account Balances/2022/DECEMBER/1E-Summary-of-Bank-Account-Balances-dec-2022.pdf?csf=1&amp;web=1&amp;e=Nu5aIC" xr:uid="{E9567846-AEA6-4367-9E66-034539CCCCFA}"/>
    <hyperlink ref="D3" r:id="rId2" display="https://docs.pr.gov/files/AAFAF/Financial_Documents/Summary of Bank Account Balances/2023/DECEMBER/Summary-of-Bank-Account-Balances-Report-FY24-Dec-2023.pdf?csf=1&amp;web=1&amp;e=Sey6Jc" xr:uid="{A9070908-1156-4F7C-8D82-4B383F7AC148}"/>
    <hyperlink ref="D4" r:id="rId3" display="https://docs.pr.gov/files/AAFAF/Financial_Documents/Summary of Bank Account Balances/2024/December/Summary-of-Bank-Account-Balances-Report-FY25-Dec-24.pdf" xr:uid="{920B8D2C-79A8-4B9D-891B-926F65746DE6}"/>
  </hyperlinks>
  <pageMargins left="0.7" right="0.7" top="0.75" bottom="0.75" header="0.3" footer="0.3"/>
  <ignoredErrors>
    <ignoredError sqref="C9" formulaRange="1"/>
  </ignoredError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0201-6123-45E3-AD54-D24DA2197502}">
  <dimension ref="B2:J17"/>
  <sheetViews>
    <sheetView tabSelected="1" workbookViewId="0">
      <selection activeCell="G9" sqref="G9"/>
    </sheetView>
    <sheetView workbookViewId="1"/>
  </sheetViews>
  <sheetFormatPr defaultRowHeight="14.25"/>
  <cols>
    <col min="2" max="5" width="18.59765625" customWidth="1"/>
    <col min="7" max="10" width="18.59765625" customWidth="1"/>
  </cols>
  <sheetData>
    <row r="2" spans="2:10" ht="18.399999999999999" customHeight="1">
      <c r="B2" s="30" t="s">
        <v>110</v>
      </c>
      <c r="C2" s="30" t="s">
        <v>51</v>
      </c>
      <c r="D2" s="30" t="s">
        <v>130</v>
      </c>
      <c r="E2" s="30" t="s">
        <v>131</v>
      </c>
      <c r="G2" s="30" t="s">
        <v>73</v>
      </c>
      <c r="H2" s="30" t="s">
        <v>51</v>
      </c>
      <c r="I2" s="30" t="s">
        <v>130</v>
      </c>
      <c r="J2" s="30" t="s">
        <v>131</v>
      </c>
    </row>
    <row r="3" spans="2:10" ht="15">
      <c r="B3" s="37" t="s">
        <v>72</v>
      </c>
      <c r="C3" s="32">
        <v>25979</v>
      </c>
      <c r="D3" s="101">
        <v>11296.9</v>
      </c>
      <c r="E3" s="101">
        <f>C3-D3</f>
        <v>14682.1</v>
      </c>
      <c r="G3" s="37" t="s">
        <v>72</v>
      </c>
      <c r="H3" s="32">
        <v>23642</v>
      </c>
      <c r="I3" s="101">
        <v>10014.1</v>
      </c>
      <c r="J3" s="101">
        <f>H3-I3</f>
        <v>13627.9</v>
      </c>
    </row>
    <row r="4" spans="2:10" ht="15">
      <c r="B4" s="37" t="s">
        <v>80</v>
      </c>
      <c r="C4" s="32">
        <v>25025</v>
      </c>
      <c r="D4" s="101">
        <v>11156</v>
      </c>
      <c r="E4" s="101">
        <f t="shared" ref="E4:E15" si="0">C4-D4</f>
        <v>13869</v>
      </c>
      <c r="G4" s="37" t="s">
        <v>80</v>
      </c>
      <c r="H4" s="32">
        <v>23532</v>
      </c>
      <c r="I4" s="101">
        <v>9766.2000000000007</v>
      </c>
      <c r="J4" s="101">
        <f t="shared" ref="J4:J14" si="1">H4-I4</f>
        <v>13765.8</v>
      </c>
    </row>
    <row r="5" spans="2:10" ht="15">
      <c r="B5" s="37" t="s">
        <v>68</v>
      </c>
      <c r="C5" s="32">
        <v>24767</v>
      </c>
      <c r="D5" s="101">
        <v>10704.1</v>
      </c>
      <c r="E5" s="101">
        <f t="shared" si="0"/>
        <v>14062.9</v>
      </c>
      <c r="G5" s="37" t="s">
        <v>68</v>
      </c>
      <c r="H5" s="32">
        <v>23033</v>
      </c>
      <c r="I5" s="101">
        <v>9305.9</v>
      </c>
      <c r="J5" s="101">
        <f t="shared" si="1"/>
        <v>13727.1</v>
      </c>
    </row>
    <row r="6" spans="2:10" ht="15">
      <c r="B6" s="37" t="s">
        <v>69</v>
      </c>
      <c r="C6" s="32">
        <v>24454</v>
      </c>
      <c r="D6" s="101">
        <v>10493.8</v>
      </c>
      <c r="E6" s="101">
        <f t="shared" si="0"/>
        <v>13960.2</v>
      </c>
      <c r="G6" s="37" t="s">
        <v>69</v>
      </c>
      <c r="H6" s="32">
        <v>23802</v>
      </c>
      <c r="I6" s="101">
        <v>9181.9</v>
      </c>
      <c r="J6" s="101">
        <f t="shared" si="1"/>
        <v>14620.1</v>
      </c>
    </row>
    <row r="7" spans="2:10" ht="15">
      <c r="B7" s="37" t="s">
        <v>70</v>
      </c>
      <c r="C7" s="32">
        <v>24083</v>
      </c>
      <c r="D7" s="101">
        <v>10141.299999999999</v>
      </c>
      <c r="E7" s="101">
        <f t="shared" si="0"/>
        <v>13941.7</v>
      </c>
      <c r="G7" s="37" t="s">
        <v>70</v>
      </c>
      <c r="H7" s="32">
        <v>24034</v>
      </c>
      <c r="I7" s="101">
        <v>9092.7000000000007</v>
      </c>
      <c r="J7" s="101">
        <f t="shared" si="1"/>
        <v>14941.3</v>
      </c>
    </row>
    <row r="8" spans="2:10" ht="15">
      <c r="B8" s="37" t="s">
        <v>78</v>
      </c>
      <c r="C8" s="32">
        <v>24433</v>
      </c>
      <c r="D8" s="101">
        <v>10724.8</v>
      </c>
      <c r="E8" s="101">
        <f t="shared" si="0"/>
        <v>13708.2</v>
      </c>
      <c r="G8" s="37" t="s">
        <v>78</v>
      </c>
      <c r="H8" s="32">
        <v>24628</v>
      </c>
      <c r="I8" s="101">
        <v>9790.9</v>
      </c>
      <c r="J8" s="101">
        <f t="shared" si="1"/>
        <v>14837.1</v>
      </c>
    </row>
    <row r="9" spans="2:10" ht="15">
      <c r="B9" s="37" t="s">
        <v>79</v>
      </c>
      <c r="C9" s="32">
        <v>26181</v>
      </c>
      <c r="D9" s="101">
        <v>11530.9</v>
      </c>
      <c r="E9" s="101">
        <f t="shared" si="0"/>
        <v>14650.1</v>
      </c>
      <c r="G9" s="37" t="s">
        <v>79</v>
      </c>
      <c r="H9" s="32">
        <v>25901</v>
      </c>
      <c r="I9" s="101">
        <v>10332.299999999999</v>
      </c>
      <c r="J9" s="101">
        <f t="shared" si="1"/>
        <v>15568.7</v>
      </c>
    </row>
    <row r="10" spans="2:10" ht="15">
      <c r="B10" s="37" t="s">
        <v>71</v>
      </c>
      <c r="C10" s="32">
        <v>25420</v>
      </c>
      <c r="D10" s="101">
        <v>10929.3</v>
      </c>
      <c r="E10" s="101">
        <f t="shared" si="0"/>
        <v>14490.7</v>
      </c>
      <c r="G10" s="37" t="s">
        <v>71</v>
      </c>
      <c r="H10" s="32">
        <v>25185</v>
      </c>
      <c r="I10" s="101">
        <v>10080.700000000001</v>
      </c>
      <c r="J10" s="101">
        <f t="shared" si="1"/>
        <v>15104.3</v>
      </c>
    </row>
    <row r="11" spans="2:10" ht="15">
      <c r="B11" s="37" t="s">
        <v>82</v>
      </c>
      <c r="C11" s="32">
        <v>24655</v>
      </c>
      <c r="D11" s="101">
        <v>10577.1</v>
      </c>
      <c r="E11" s="101">
        <f t="shared" si="0"/>
        <v>14077.9</v>
      </c>
      <c r="G11" s="37" t="s">
        <v>82</v>
      </c>
      <c r="H11" s="32">
        <v>24467</v>
      </c>
      <c r="I11" s="101">
        <v>10036.9</v>
      </c>
      <c r="J11" s="101">
        <f t="shared" si="1"/>
        <v>14430.1</v>
      </c>
    </row>
    <row r="12" spans="2:10" ht="15">
      <c r="B12" s="31" t="s">
        <v>83</v>
      </c>
      <c r="C12" s="32" t="s">
        <v>62</v>
      </c>
      <c r="D12" s="102" t="s">
        <v>62</v>
      </c>
      <c r="E12" s="103" t="s">
        <v>62</v>
      </c>
      <c r="G12" s="31" t="s">
        <v>83</v>
      </c>
      <c r="H12" s="32">
        <v>25058</v>
      </c>
      <c r="I12" s="101">
        <v>10636.7</v>
      </c>
      <c r="J12" s="101">
        <f t="shared" si="1"/>
        <v>14421.3</v>
      </c>
    </row>
    <row r="13" spans="2:10" ht="15">
      <c r="B13" s="31" t="s">
        <v>84</v>
      </c>
      <c r="C13" s="32" t="s">
        <v>62</v>
      </c>
      <c r="D13" s="102" t="s">
        <v>62</v>
      </c>
      <c r="E13" s="103" t="s">
        <v>62</v>
      </c>
      <c r="G13" s="31" t="s">
        <v>84</v>
      </c>
      <c r="H13" s="32">
        <v>23932</v>
      </c>
      <c r="I13" s="101">
        <v>9326.7000000000007</v>
      </c>
      <c r="J13" s="101">
        <f t="shared" si="1"/>
        <v>14605.3</v>
      </c>
    </row>
    <row r="14" spans="2:10" ht="15">
      <c r="B14" s="31" t="s">
        <v>85</v>
      </c>
      <c r="C14" s="32" t="s">
        <v>62</v>
      </c>
      <c r="D14" s="102" t="s">
        <v>62</v>
      </c>
      <c r="E14" s="103" t="s">
        <v>62</v>
      </c>
      <c r="G14" s="31" t="s">
        <v>85</v>
      </c>
      <c r="H14" s="32">
        <v>25852</v>
      </c>
      <c r="I14" s="101">
        <v>11392.5</v>
      </c>
      <c r="J14" s="101">
        <f t="shared" si="1"/>
        <v>14459.5</v>
      </c>
    </row>
    <row r="15" spans="2:10" ht="75">
      <c r="B15" s="35" t="s">
        <v>74</v>
      </c>
      <c r="C15" s="100">
        <f>AVERAGE(C3:C11)</f>
        <v>24999.666666666668</v>
      </c>
      <c r="D15" s="100">
        <f>AVERAGE(D3:D11)</f>
        <v>10839.355555555558</v>
      </c>
      <c r="E15" s="100">
        <f>AVERAGE(E3:E11)</f>
        <v>14160.31111111111</v>
      </c>
      <c r="G15" s="35" t="s">
        <v>74</v>
      </c>
      <c r="H15" s="100">
        <f>AVERAGE(H3:H14)</f>
        <v>24422.166666666668</v>
      </c>
      <c r="I15" s="100">
        <f>AVERAGE(I3:I14)</f>
        <v>9913.1249999999982</v>
      </c>
      <c r="J15" s="100">
        <f>AVERAGE(J3:J14)</f>
        <v>14509.041666666666</v>
      </c>
    </row>
    <row r="16" spans="2:10" ht="30">
      <c r="B16" s="35" t="s">
        <v>67</v>
      </c>
      <c r="C16" s="36">
        <v>388.4</v>
      </c>
    </row>
    <row r="17" spans="2:10" ht="30">
      <c r="B17" s="37" t="s">
        <v>76</v>
      </c>
      <c r="C17" s="38">
        <f>C16/C15</f>
        <v>1.5536207149428657E-2</v>
      </c>
      <c r="G17" s="105" t="s">
        <v>132</v>
      </c>
      <c r="H17" s="104">
        <f>AVERAGE(H3:H14,C3:C11)</f>
        <v>24669.666666666668</v>
      </c>
      <c r="I17" s="104">
        <f>AVERAGE(I3:I14,D3:D11)</f>
        <v>10310.080952380949</v>
      </c>
      <c r="J17" s="104">
        <f>AVERAGE(J3:J14,E3:E11)</f>
        <v>14359.585714285717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28A3-8E6E-46E3-988F-8F83E0D93418}">
  <dimension ref="A1:J23"/>
  <sheetViews>
    <sheetView zoomScale="70" workbookViewId="0">
      <selection activeCell="A18" sqref="A18:F18"/>
    </sheetView>
    <sheetView workbookViewId="1">
      <selection sqref="A1:A2"/>
    </sheetView>
  </sheetViews>
  <sheetFormatPr defaultRowHeight="14.25"/>
  <cols>
    <col min="1" max="6" width="17.59765625" customWidth="1"/>
    <col min="9" max="9" width="18.1328125" bestFit="1" customWidth="1"/>
    <col min="10" max="10" width="23.73046875" bestFit="1" customWidth="1"/>
  </cols>
  <sheetData>
    <row r="1" spans="1:10" ht="21.4" customHeight="1">
      <c r="A1" s="93" t="s">
        <v>16</v>
      </c>
      <c r="B1" s="93" t="s">
        <v>17</v>
      </c>
      <c r="C1" s="42" t="s">
        <v>18</v>
      </c>
      <c r="D1" s="93" t="s">
        <v>20</v>
      </c>
      <c r="E1" s="42" t="s">
        <v>21</v>
      </c>
      <c r="F1" s="95" t="s">
        <v>22</v>
      </c>
      <c r="G1" s="16" t="s">
        <v>34</v>
      </c>
      <c r="H1" s="2" t="s">
        <v>35</v>
      </c>
      <c r="I1" s="92" t="s">
        <v>16</v>
      </c>
      <c r="J1" s="92" t="s">
        <v>17</v>
      </c>
    </row>
    <row r="2" spans="1:10">
      <c r="A2" s="94"/>
      <c r="B2" s="94"/>
      <c r="C2" s="42" t="s">
        <v>19</v>
      </c>
      <c r="D2" s="94"/>
      <c r="E2" s="42" t="s">
        <v>19</v>
      </c>
      <c r="F2" s="96"/>
      <c r="I2" s="92"/>
      <c r="J2" s="92"/>
    </row>
    <row r="3" spans="1:10" ht="15">
      <c r="A3" s="14" t="s">
        <v>23</v>
      </c>
      <c r="B3" s="14">
        <v>0.38</v>
      </c>
      <c r="C3" s="14">
        <v>1.1299999999999999</v>
      </c>
      <c r="D3" s="14">
        <v>3.64</v>
      </c>
      <c r="E3" s="14">
        <v>4.3899999999999997</v>
      </c>
      <c r="F3" s="15">
        <v>4.3899999999999997</v>
      </c>
      <c r="I3" s="14" t="s">
        <v>41</v>
      </c>
      <c r="J3" s="14">
        <v>1.8</v>
      </c>
    </row>
    <row r="4" spans="1:10" ht="15">
      <c r="A4" s="14" t="s">
        <v>24</v>
      </c>
      <c r="B4" s="14">
        <v>7.0000000000000007E-2</v>
      </c>
      <c r="C4" s="14">
        <v>0.82</v>
      </c>
      <c r="D4" s="14">
        <v>3.64</v>
      </c>
      <c r="E4" s="14">
        <v>4.3899999999999997</v>
      </c>
      <c r="F4" s="15">
        <v>4.3899999999999997</v>
      </c>
      <c r="I4" s="14" t="s">
        <v>42</v>
      </c>
      <c r="J4" s="14">
        <v>1.63</v>
      </c>
    </row>
    <row r="5" spans="1:10" ht="15">
      <c r="A5" s="14" t="s">
        <v>25</v>
      </c>
      <c r="B5" s="14">
        <v>0.56999999999999995</v>
      </c>
      <c r="C5" s="14">
        <v>1.32</v>
      </c>
      <c r="D5" s="14">
        <v>3.64</v>
      </c>
      <c r="E5" s="14">
        <v>4.3899999999999997</v>
      </c>
      <c r="F5" s="15">
        <v>4.3899999999999997</v>
      </c>
      <c r="I5" s="14" t="s">
        <v>43</v>
      </c>
      <c r="J5" s="14">
        <v>1.45</v>
      </c>
    </row>
    <row r="6" spans="1:10" ht="15">
      <c r="A6" s="14" t="s">
        <v>26</v>
      </c>
      <c r="B6" s="14">
        <v>0.21</v>
      </c>
      <c r="C6" s="14">
        <v>0.96</v>
      </c>
      <c r="D6" s="14">
        <v>3.74</v>
      </c>
      <c r="E6" s="14">
        <v>5.24</v>
      </c>
      <c r="F6" s="15">
        <v>5.24</v>
      </c>
      <c r="I6" s="14" t="s">
        <v>44</v>
      </c>
      <c r="J6" s="14">
        <v>1.45</v>
      </c>
    </row>
    <row r="7" spans="1:10" ht="15">
      <c r="A7" s="14" t="s">
        <v>27</v>
      </c>
      <c r="B7" s="43">
        <v>1.25</v>
      </c>
      <c r="C7" s="43">
        <v>2</v>
      </c>
      <c r="D7" s="43">
        <v>3.7</v>
      </c>
      <c r="E7" s="43">
        <v>5.19</v>
      </c>
      <c r="F7" s="44">
        <v>5.19</v>
      </c>
      <c r="I7" s="14" t="s">
        <v>45</v>
      </c>
      <c r="J7" s="14">
        <v>1.31</v>
      </c>
    </row>
    <row r="8" spans="1:10" ht="15">
      <c r="A8" s="14" t="s">
        <v>28</v>
      </c>
      <c r="B8" s="43">
        <v>1.44</v>
      </c>
      <c r="C8" s="43">
        <v>2.19</v>
      </c>
      <c r="D8" s="43">
        <v>3.72</v>
      </c>
      <c r="E8" s="43">
        <v>5.21</v>
      </c>
      <c r="F8" s="44">
        <v>5.21</v>
      </c>
      <c r="I8" s="14" t="s">
        <v>46</v>
      </c>
      <c r="J8" s="14">
        <v>1.31</v>
      </c>
    </row>
    <row r="9" spans="1:10" ht="15">
      <c r="A9" s="14" t="s">
        <v>29</v>
      </c>
      <c r="B9" s="43">
        <v>1.53</v>
      </c>
      <c r="C9" s="43">
        <v>2.2799999999999998</v>
      </c>
      <c r="D9" s="43">
        <v>3.68</v>
      </c>
      <c r="E9" s="43">
        <v>5.17</v>
      </c>
      <c r="F9" s="44">
        <v>5.17</v>
      </c>
      <c r="I9" s="14" t="s">
        <v>47</v>
      </c>
      <c r="J9" s="14">
        <v>1.23</v>
      </c>
    </row>
    <row r="10" spans="1:10" ht="15">
      <c r="A10" s="14" t="s">
        <v>30</v>
      </c>
      <c r="B10" s="43">
        <v>1.51</v>
      </c>
      <c r="C10" s="43">
        <v>2.2599999999999998</v>
      </c>
      <c r="D10" s="43">
        <v>3.79</v>
      </c>
      <c r="E10" s="43">
        <v>5.3</v>
      </c>
      <c r="F10" s="44">
        <v>5.3</v>
      </c>
      <c r="I10" s="14" t="s">
        <v>25</v>
      </c>
      <c r="J10" s="14">
        <v>0.64</v>
      </c>
    </row>
    <row r="11" spans="1:10" ht="15">
      <c r="A11" s="14" t="s">
        <v>31</v>
      </c>
      <c r="B11" s="43">
        <v>1.33</v>
      </c>
      <c r="C11" s="43">
        <v>2.08</v>
      </c>
      <c r="D11" s="43">
        <v>3.81</v>
      </c>
      <c r="E11" s="43">
        <v>5.32</v>
      </c>
      <c r="F11" s="44">
        <v>5.32</v>
      </c>
      <c r="I11" s="14" t="s">
        <v>49</v>
      </c>
      <c r="J11" s="14">
        <v>0.41</v>
      </c>
    </row>
    <row r="12" spans="1:10" ht="15">
      <c r="A12" s="14" t="s">
        <v>32</v>
      </c>
      <c r="B12" s="43">
        <v>1.25</v>
      </c>
      <c r="C12" s="43">
        <v>2</v>
      </c>
      <c r="D12" s="43" t="s">
        <v>88</v>
      </c>
      <c r="E12" s="43">
        <v>5.32</v>
      </c>
      <c r="F12" s="44">
        <v>5.32</v>
      </c>
      <c r="I12" s="14" t="s">
        <v>48</v>
      </c>
      <c r="J12" s="14">
        <v>0.22</v>
      </c>
    </row>
    <row r="13" spans="1:10" ht="15.4">
      <c r="A13" s="14" t="s">
        <v>33</v>
      </c>
      <c r="B13" s="43">
        <v>1.35</v>
      </c>
      <c r="C13" s="43">
        <v>2.1</v>
      </c>
      <c r="D13" s="43">
        <v>3.92</v>
      </c>
      <c r="E13" s="43">
        <v>5.45</v>
      </c>
      <c r="F13" s="44">
        <v>5.45</v>
      </c>
      <c r="I13" s="19" t="s">
        <v>24</v>
      </c>
      <c r="J13" s="14">
        <v>7.0000000000000007E-2</v>
      </c>
    </row>
    <row r="15" spans="1:10">
      <c r="A15" s="17">
        <v>1</v>
      </c>
    </row>
    <row r="16" spans="1:10" ht="71.45" customHeight="1">
      <c r="A16" s="91" t="s">
        <v>36</v>
      </c>
      <c r="B16" s="91"/>
      <c r="C16" s="91"/>
      <c r="D16" s="91"/>
      <c r="E16" s="91"/>
      <c r="F16" s="91"/>
    </row>
    <row r="17" spans="1:6">
      <c r="A17" s="17">
        <v>2</v>
      </c>
    </row>
    <row r="18" spans="1:6" ht="59.25" customHeight="1">
      <c r="A18" s="91" t="s">
        <v>37</v>
      </c>
      <c r="B18" s="91"/>
      <c r="C18" s="91"/>
      <c r="D18" s="91"/>
      <c r="E18" s="91"/>
      <c r="F18" s="91"/>
    </row>
    <row r="19" spans="1:6">
      <c r="A19" s="17">
        <v>3</v>
      </c>
    </row>
    <row r="20" spans="1:6" ht="122.45" customHeight="1">
      <c r="A20" s="91" t="s">
        <v>40</v>
      </c>
      <c r="B20" s="91"/>
      <c r="C20" s="91"/>
      <c r="D20" s="91"/>
      <c r="E20" s="91"/>
      <c r="F20" s="91"/>
    </row>
    <row r="21" spans="1:6">
      <c r="A21" s="17">
        <v>4</v>
      </c>
    </row>
    <row r="22" spans="1:6" ht="71.45" customHeight="1">
      <c r="A22" s="91" t="s">
        <v>38</v>
      </c>
      <c r="B22" s="91"/>
      <c r="C22" s="91"/>
      <c r="D22" s="91"/>
      <c r="E22" s="91"/>
      <c r="F22" s="91"/>
    </row>
    <row r="23" spans="1:6">
      <c r="A23" s="18" t="s">
        <v>39</v>
      </c>
    </row>
  </sheetData>
  <autoFilter ref="I1:J13" xr:uid="{065228A3-8E6E-46E3-988F-8F83E0D93418}">
    <sortState xmlns:xlrd2="http://schemas.microsoft.com/office/spreadsheetml/2017/richdata2" ref="I4:J13">
      <sortCondition descending="1" ref="J1:J13"/>
    </sortState>
  </autoFilter>
  <mergeCells count="10">
    <mergeCell ref="A20:F20"/>
    <mergeCell ref="A22:F22"/>
    <mergeCell ref="I1:I2"/>
    <mergeCell ref="J1:J2"/>
    <mergeCell ref="A1:A2"/>
    <mergeCell ref="B1:B2"/>
    <mergeCell ref="D1:D2"/>
    <mergeCell ref="F1:F2"/>
    <mergeCell ref="A16:F16"/>
    <mergeCell ref="A18:F18"/>
  </mergeCells>
  <hyperlinks>
    <hyperlink ref="H1" r:id="rId1" display="https://www.fdic.gov/national-rates-and-rate-caps/monthly-update-february-2025" xr:uid="{F39A0DDB-6CD2-47AE-BDA8-CBF79FC858C8}"/>
    <hyperlink ref="A15" r:id="rId2" location="footnoteref1_LcNileOuWYxrpreChCV6fQLDo2wpRAZdUbubmCbyynE_kTNzDkq0lbcj" display="https://www.fdic.gov/national-rates-and-rate-caps/monthly-update-february-2025 - footnoteref1_LcNileOuWYxrpreChCV6fQLDo2wpRAZdUbubmCbyynE_kTNzDkq0lbcj" xr:uid="{B12C08ED-DA21-44C5-9433-2C8D5ADFFBAB}"/>
    <hyperlink ref="A17" r:id="rId3" location="footnoteref2_CKzhZ-bMpDRjNHFLElO0Mht2Sk4WFADA40JzSbVDMVw_vpNrl3eWuM5I" display="https://www.fdic.gov/national-rates-and-rate-caps/monthly-update-february-2025 - footnoteref2_CKzhZ-bMpDRjNHFLElO0Mht2Sk4WFADA40JzSbVDMVw_vpNrl3eWuM5I" xr:uid="{F4C52638-39A9-4B5D-A51B-B663A1B18722}"/>
    <hyperlink ref="A19" r:id="rId4" location="footnoteref3_HBu6ghetQKMMIWTSMWEdc1XBUrDrleEvYVtMRnTjyg_nOEUv1PpHa54" display="https://www.fdic.gov/national-rates-and-rate-caps/monthly-update-february-2025 - footnoteref3_HBu6ghetQKMMIWTSMWEdc1XBUrDrleEvYVtMRnTjyg_nOEUv1PpHa54" xr:uid="{2F7E7714-3875-43D5-B840-C1BF84556884}"/>
    <hyperlink ref="A21" r:id="rId5" location="footnoteref4_SBrh4bbYw656EYwjGaRVlC34kz82h-wY7VSo32avyA_c9hYA9E2uyS3" display="https://www.fdic.gov/national-rates-and-rate-caps/monthly-update-february-2025 - footnoteref4_SBrh4bbYw656EYwjGaRVlC34kz82h-wY7VSo32avyA_c9hYA9E2uyS3" xr:uid="{228FAB23-5B28-49EF-8F3A-6DB9F2BB69DA}"/>
    <hyperlink ref="I1" r:id="rId6" location="footnote1_LcNileOuWYxrpreChCV6fQLDo2wpRAZdUbubmCbyynE_kTNzDkq0lbcj" display="https://www.fdic.gov/national-rates-and-rate-caps/monthly-update-february-2025 - footnote1_LcNileOuWYxrpreChCV6fQLDo2wpRAZdUbubmCbyynE_kTNzDkq0lbcj" xr:uid="{020269A1-E852-4DF1-AEDD-AF44730B7EEC}"/>
    <hyperlink ref="J1" r:id="rId7" location="footnote2_CKzhZ-bMpDRjNHFLElO0Mht2Sk4WFADA40JzSbVDMVw_vpNrl3eWuM5I" display="https://www.fdic.gov/national-rates-and-rate-caps/monthly-update-february-2025 - footnote2_CKzhZ-bMpDRjNHFLElO0Mht2Sk4WFADA40JzSbVDMVw_vpNrl3eWuM5I" xr:uid="{0572DD70-7611-4EBE-9B4F-C3ED92355403}"/>
    <hyperlink ref="A1" r:id="rId8" location="footnote1_LcNileOuWYxrpreChCV6fQLDo2wpRAZdUbubmCbyynE_h8TOU6uRqE0p" display="https://www.fdic.gov/national-rates-and-rate-caps - footnote1_LcNileOuWYxrpreChCV6fQLDo2wpRAZdUbubmCbyynE_h8TOU6uRqE0p" xr:uid="{362898AB-9159-4D9B-AC90-5AC03B217242}"/>
    <hyperlink ref="B1" r:id="rId9" location="footnote2_CKzhZ-bMpDRjNHFLElO0Mht2Sk4WFADA40JzSbVDMVw_dlb7ENU4GjqL" display="https://www.fdic.gov/national-rates-and-rate-caps - footnote2_CKzhZ-bMpDRjNHFLElO0Mht2Sk4WFADA40JzSbVDMVw_dlb7ENU4GjqL" xr:uid="{CD4800E6-EF0F-42C2-AA91-C68DAC364955}"/>
    <hyperlink ref="D1" r:id="rId10" location="footnote3_HBu6ghetQKMMIWTSMWEdc1XBUrDrleEvYVtMRnTjyg_mb8HWkaoR0lY" display="https://www.fdic.gov/national-rates-and-rate-caps - footnote3_HBu6ghetQKMMIWTSMWEdc1XBUrDrleEvYVtMRnTjyg_mb8HWkaoR0lY" xr:uid="{504EEAC9-A7B3-42DB-873D-5839855E87FD}"/>
    <hyperlink ref="D12" r:id="rId11" location="footnote4_SBrh4bbYw656EYwjGaRVlC34kz82h-wY7VSo32avyA_rQfobNqtfMw9" display="https://www.fdic.gov/national-rates-and-rate-caps - footnote4_SBrh4bbYw656EYwjGaRVlC34kz82h-wY7VSo32avyA_rQfobNqtfMw9" xr:uid="{EB8D9B25-35AC-4ED9-810F-E3DD89AE843B}"/>
  </hyperlinks>
  <pageMargins left="0.7" right="0.7" top="0.75" bottom="0.75" header="0.3" footer="0.3"/>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23fbc9-fed8-4fe5-aa4f-ed739643a384">
      <Terms xmlns="http://schemas.microsoft.com/office/infopath/2007/PartnerControls"/>
    </lcf76f155ced4ddcb4097134ff3c332f>
    <TaxCatchAll xmlns="a09e65a3-c7c6-46c4-8cad-d2b1e4cef29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01ACFC58A9B741966E24964F98E401" ma:contentTypeVersion="15" ma:contentTypeDescription="Create a new document." ma:contentTypeScope="" ma:versionID="ac809ca55fc7002d74a9772506effe29">
  <xsd:schema xmlns:xsd="http://www.w3.org/2001/XMLSchema" xmlns:xs="http://www.w3.org/2001/XMLSchema" xmlns:p="http://schemas.microsoft.com/office/2006/metadata/properties" xmlns:ns1="http://schemas.microsoft.com/sharepoint/v3" xmlns:ns2="1f23fbc9-fed8-4fe5-aa4f-ed739643a384" xmlns:ns3="a09e65a3-c7c6-46c4-8cad-d2b1e4cef29c" targetNamespace="http://schemas.microsoft.com/office/2006/metadata/properties" ma:root="true" ma:fieldsID="6b24f4ca2dda56f0b82b1f329a45acd9" ns1:_="" ns2:_="" ns3:_="">
    <xsd:import namespace="http://schemas.microsoft.com/sharepoint/v3"/>
    <xsd:import namespace="1f23fbc9-fed8-4fe5-aa4f-ed739643a384"/>
    <xsd:import namespace="a09e65a3-c7c6-46c4-8cad-d2b1e4cef29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23fbc9-fed8-4fe5-aa4f-ed739643a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ea84bf1-a941-4ccc-bbe9-6e1a58d22ea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9e65a3-c7c6-46c4-8cad-d2b1e4cef2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e8b396a-6396-4d81-8fef-45dc7c2f2882}" ma:internalName="TaxCatchAll" ma:showField="CatchAllData" ma:web="a09e65a3-c7c6-46c4-8cad-d2b1e4cef2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8475D0-E9C5-4325-BD11-B044528E8B1A}">
  <ds:schemaRefs>
    <ds:schemaRef ds:uri="http://schemas.microsoft.com/sharepoint/v3/contenttype/forms"/>
  </ds:schemaRefs>
</ds:datastoreItem>
</file>

<file path=customXml/itemProps2.xml><?xml version="1.0" encoding="utf-8"?>
<ds:datastoreItem xmlns:ds="http://schemas.openxmlformats.org/officeDocument/2006/customXml" ds:itemID="{57A4ED6E-2FC5-41C3-AD8D-DE9E8D8D6CB3}">
  <ds:schemaRefs>
    <ds:schemaRef ds:uri="http://schemas.microsoft.com/office/2006/metadata/properties"/>
    <ds:schemaRef ds:uri="http://schemas.microsoft.com/office/infopath/2007/PartnerControls"/>
    <ds:schemaRef ds:uri="1f23fbc9-fed8-4fe5-aa4f-ed739643a384"/>
    <ds:schemaRef ds:uri="a09e65a3-c7c6-46c4-8cad-d2b1e4cef29c"/>
    <ds:schemaRef ds:uri="http://schemas.microsoft.com/sharepoint/v3"/>
  </ds:schemaRefs>
</ds:datastoreItem>
</file>

<file path=customXml/itemProps3.xml><?xml version="1.0" encoding="utf-8"?>
<ds:datastoreItem xmlns:ds="http://schemas.openxmlformats.org/officeDocument/2006/customXml" ds:itemID="{C46542D4-1284-4683-8CA5-64DB32DCA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23fbc9-fed8-4fe5-aa4f-ed739643a384"/>
    <ds:schemaRef ds:uri="a09e65a3-c7c6-46c4-8cad-d2b1e4cef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Cash Balance GobPR</vt:lpstr>
      <vt:lpstr>Time Series Cash Balance GPR</vt:lpstr>
      <vt:lpstr>Estimado Preliminar</vt:lpstr>
      <vt:lpstr>FED Funds</vt:lpstr>
      <vt:lpstr>Estimado Efecto Fiscal </vt:lpstr>
      <vt:lpstr>ASSETS-GNP</vt:lpstr>
      <vt:lpstr>Grafica 1</vt:lpstr>
      <vt:lpstr>AVG CASH BALANCE</vt:lpstr>
      <vt:lpstr>Tabla 1</vt:lpstr>
      <vt:lpstr>Sheet1</vt:lpstr>
      <vt:lpstr>Grafica 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 Torres Acaba</dc:creator>
  <cp:lastModifiedBy>Juan C. Torres Acaba</cp:lastModifiedBy>
  <dcterms:created xsi:type="dcterms:W3CDTF">2025-02-26T21:36:00Z</dcterms:created>
  <dcterms:modified xsi:type="dcterms:W3CDTF">2026-05-11T18:35:28Z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0x0101009401ACFC58A9B741966E24964F98E401</vt:lpwstr>
  </property>
  <property fmtid="{D5CDD505-2E9C-101B-9397-08002B2CF9AE}" pid="3" name="MediaServiceImageTags">
    <vt:lpwstr/>
  </property>
</Properties>
</file>