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568 _ PS1176/"/>
    </mc:Choice>
  </mc:AlternateContent>
  <xr:revisionPtr revIDLastSave="1409" documentId="8_{1773AB60-AEBF-4AEE-95E5-3A8A2DE607EF}" xr6:coauthVersionLast="47" xr6:coauthVersionMax="47" xr10:uidLastSave="{EA371D9C-AB90-4E6F-BEB1-F6FF98E72D3A}"/>
  <bookViews>
    <workbookView xWindow="0" yWindow="660" windowWidth="30240" windowHeight="18980" activeTab="1" xr2:uid="{00ADDB21-E0C0-4092-BE47-6A05CFA2188F}"/>
  </bookViews>
  <sheets>
    <sheet name="Hoja5" sheetId="5" r:id="rId1"/>
    <sheet name="Hoja1" sheetId="1" r:id="rId2"/>
    <sheet name="Hoja7" sheetId="7" r:id="rId3"/>
    <sheet name="Hoja2" sheetId="9" r:id="rId4"/>
    <sheet name="Hoja8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1" i="7" l="1"/>
  <c r="H16" i="7"/>
  <c r="H17" i="7"/>
  <c r="H15" i="7"/>
  <c r="G15" i="7"/>
  <c r="G16" i="7" s="1"/>
  <c r="G17" i="7" s="1"/>
  <c r="H2" i="7"/>
  <c r="G5" i="8"/>
  <c r="H5" i="8"/>
  <c r="H8" i="8"/>
  <c r="H7" i="8"/>
  <c r="H6" i="8"/>
  <c r="Q6" i="9"/>
  <c r="Q7" i="9"/>
  <c r="Q8" i="9"/>
  <c r="Q9" i="9"/>
  <c r="Q5" i="9"/>
  <c r="P5" i="9"/>
  <c r="P6" i="9"/>
  <c r="P7" i="9"/>
  <c r="P8" i="9"/>
  <c r="P9" i="9"/>
  <c r="P4" i="9"/>
  <c r="O10" i="9"/>
  <c r="N4" i="9"/>
  <c r="N9" i="9"/>
  <c r="N8" i="9"/>
  <c r="N7" i="9"/>
  <c r="N6" i="9"/>
  <c r="N5" i="9"/>
  <c r="G14" i="1"/>
  <c r="N10" i="9" l="1"/>
  <c r="O12" i="9" s="1"/>
  <c r="G5" i="7" l="1"/>
  <c r="I5" i="7" s="1"/>
  <c r="H10" i="1"/>
  <c r="H9" i="1"/>
  <c r="H8" i="1"/>
  <c r="H7" i="1"/>
  <c r="H6" i="1"/>
  <c r="H5" i="1"/>
  <c r="G8" i="8"/>
  <c r="F8" i="8"/>
  <c r="G7" i="8" l="1"/>
  <c r="G6" i="8"/>
  <c r="F5" i="8"/>
  <c r="F7" i="8"/>
  <c r="F6" i="8"/>
  <c r="G6" i="7"/>
  <c r="I6" i="7" s="1"/>
  <c r="G9" i="5"/>
  <c r="G8" i="5"/>
  <c r="G7" i="5"/>
  <c r="G6" i="5"/>
  <c r="G5" i="5"/>
  <c r="H14" i="1"/>
  <c r="G7" i="7" l="1"/>
  <c r="I7" i="7" s="1"/>
  <c r="H13" i="1"/>
  <c r="G13" i="1"/>
</calcChain>
</file>

<file path=xl/sharedStrings.xml><?xml version="1.0" encoding="utf-8"?>
<sst xmlns="http://schemas.openxmlformats.org/spreadsheetml/2006/main" count="43" uniqueCount="34">
  <si>
    <t>Año fiscal</t>
  </si>
  <si>
    <t>Diferencia</t>
  </si>
  <si>
    <t>Promedio</t>
  </si>
  <si>
    <t>Aportación presupuestaria del Fondo General  a la UPR</t>
  </si>
  <si>
    <t>Presupuesto de la UPR</t>
  </si>
  <si>
    <t>Asignación</t>
  </si>
  <si>
    <t>2013-2014</t>
  </si>
  <si>
    <t>2014-2015</t>
  </si>
  <si>
    <t>2015-2016</t>
  </si>
  <si>
    <t>2016-2017</t>
  </si>
  <si>
    <t>2017-2018</t>
  </si>
  <si>
    <t>2018-2019</t>
  </si>
  <si>
    <t>2019-2020</t>
  </si>
  <si>
    <t>Sesión académica</t>
  </si>
  <si>
    <t>Presupuesto proyectado</t>
  </si>
  <si>
    <t>Presupuesto asignado</t>
  </si>
  <si>
    <t>Aportación</t>
  </si>
  <si>
    <t>Aumento interanual</t>
  </si>
  <si>
    <t>Fondo General (promedio)</t>
  </si>
  <si>
    <t>Total</t>
  </si>
  <si>
    <t>Años fiscales</t>
  </si>
  <si>
    <t>2020-2021</t>
  </si>
  <si>
    <t>2021-2022</t>
  </si>
  <si>
    <t>2022-2023</t>
  </si>
  <si>
    <t>2023-2024</t>
  </si>
  <si>
    <t>2024-2025</t>
  </si>
  <si>
    <t>2025-2026</t>
  </si>
  <si>
    <t>2026-2027</t>
  </si>
  <si>
    <t>2027-2028</t>
  </si>
  <si>
    <t>Proporción</t>
  </si>
  <si>
    <t>Asignación designada</t>
  </si>
  <si>
    <t xml:space="preserve">Asignación </t>
  </si>
  <si>
    <t>Costo Fiscal</t>
  </si>
  <si>
    <t>Nueva Aportación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</si>
</sst>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"/>
    <numFmt numFmtId="165" formatCode="&quot;$&quot;#,##0"/>
    <numFmt numFmtId="166" formatCode="0.0%"/>
    <numFmt numFmtId="167" formatCode="&quot;$&quot;#,##0.00"/>
    <numFmt numFmtId="168" formatCode="&quot;$&quot;#,##0.0_);[Red]\(&quot;$&quot;#,##0.0\)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0"/>
      <name val="Myriad Pro Condensed"/>
    </font>
    <font>
      <sz val="11"/>
      <color theme="0"/>
      <name val="Aptos Narrow"/>
      <family val="2"/>
      <scheme val="minor"/>
    </font>
    <font>
      <sz val="12"/>
      <color rgb="FF000000"/>
      <name val="Myriad Pro Condensed"/>
    </font>
    <font>
      <sz val="12"/>
      <color rgb="FFFFFFFF"/>
      <name val="Myriad Pro Condensed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194A65"/>
        <bgColor indexed="64"/>
      </patternFill>
    </fill>
    <fill>
      <patternFill patternType="solid">
        <fgColor rgb="FF194A65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9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9" fontId="1" fillId="0" borderId="1" xfId="1" applyFont="1" applyBorder="1" applyAlignment="1">
      <alignment horizontal="center" wrapText="1"/>
    </xf>
    <xf numFmtId="9" fontId="1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 vertical="center" wrapText="1"/>
    </xf>
    <xf numFmtId="167" fontId="0" fillId="0" borderId="0" xfId="0" applyNumberFormat="1"/>
    <xf numFmtId="0" fontId="4" fillId="3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6" fontId="0" fillId="0" borderId="10" xfId="1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6" fontId="6" fillId="0" borderId="1" xfId="1" applyNumberFormat="1" applyFont="1" applyBorder="1" applyAlignment="1">
      <alignment horizontal="center" vertical="center" wrapText="1"/>
    </xf>
    <xf numFmtId="10" fontId="0" fillId="0" borderId="0" xfId="1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65048118985127"/>
          <c:y val="0.18025272120432756"/>
          <c:w val="0.79957174103237094"/>
          <c:h val="0.5070808099681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Hoja1!$G$4</c:f>
              <c:strCache>
                <c:ptCount val="1"/>
                <c:pt idx="0">
                  <c:v>Presupuesto proyectado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Hoja1!$F$5:$F$10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Hoja1!$G$5:$G$10</c:f>
              <c:numCache>
                <c:formatCode>"$"#,##0</c:formatCode>
                <c:ptCount val="6"/>
                <c:pt idx="0">
                  <c:v>501</c:v>
                </c:pt>
                <c:pt idx="1">
                  <c:v>407</c:v>
                </c:pt>
                <c:pt idx="2">
                  <c:v>383</c:v>
                </c:pt>
                <c:pt idx="3">
                  <c:v>389</c:v>
                </c:pt>
                <c:pt idx="4">
                  <c:v>396</c:v>
                </c:pt>
                <c:pt idx="5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E-44F2-A691-5F70C9FEE31B}"/>
            </c:ext>
          </c:extLst>
        </c:ser>
        <c:ser>
          <c:idx val="1"/>
          <c:order val="1"/>
          <c:tx>
            <c:strRef>
              <c:f>Hoja1!$H$4</c:f>
              <c:strCache>
                <c:ptCount val="1"/>
                <c:pt idx="0">
                  <c:v>Presupuesto asignado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Hoja1!$F$5:$F$10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Hoja1!$H$5:$H$10</c:f>
              <c:numCache>
                <c:formatCode>"$"#,##0</c:formatCode>
                <c:ptCount val="6"/>
                <c:pt idx="0">
                  <c:v>559.90899999999999</c:v>
                </c:pt>
                <c:pt idx="1">
                  <c:v>628.51</c:v>
                </c:pt>
                <c:pt idx="2">
                  <c:v>551.61400000000003</c:v>
                </c:pt>
                <c:pt idx="3">
                  <c:v>500.84699999999998</c:v>
                </c:pt>
                <c:pt idx="4">
                  <c:v>500.88299999999998</c:v>
                </c:pt>
                <c:pt idx="5">
                  <c:v>560.89800000000002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5E-44F2-A691-5F70C9FEE3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45"/>
        <c:axId val="1633690223"/>
        <c:axId val="1633699823"/>
      </c:barChart>
      <c:catAx>
        <c:axId val="1633690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R">
                    <a:solidFill>
                      <a:schemeClr val="tx1"/>
                    </a:solidFill>
                  </a:rPr>
                  <a:t>Año</a:t>
                </a:r>
                <a:r>
                  <a:rPr lang="es-PR"/>
                  <a:t> </a:t>
                </a:r>
                <a:r>
                  <a:rPr lang="es-PR">
                    <a:solidFill>
                      <a:schemeClr val="tx1"/>
                    </a:solidFill>
                  </a:rPr>
                  <a:t>fiscal</a:t>
                </a:r>
              </a:p>
            </c:rich>
          </c:tx>
          <c:layout>
            <c:manualLayout>
              <c:xMode val="edge"/>
              <c:yMode val="edge"/>
              <c:x val="0.4601030183727034"/>
              <c:y val="0.79165741585424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633699823"/>
        <c:crosses val="autoZero"/>
        <c:auto val="1"/>
        <c:lblAlgn val="ctr"/>
        <c:lblOffset val="100"/>
        <c:noMultiLvlLbl val="0"/>
      </c:catAx>
      <c:valAx>
        <c:axId val="16336998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R">
                    <a:solidFill>
                      <a:schemeClr val="tx1"/>
                    </a:solidFill>
                  </a:rPr>
                  <a:t>Millones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37250478718410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63369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412028</xdr:colOff>
      <xdr:row>3</xdr:row>
      <xdr:rowOff>13925</xdr:rowOff>
    </xdr:from>
    <xdr:to>
      <xdr:col>16</xdr:col>
      <xdr:colOff>412028</xdr:colOff>
      <xdr:row>16</xdr:row>
      <xdr:rowOff>89404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6B80DF-04C4-FD08-1DDD-0D90D21E3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460F-519A-4188-A7EC-1BBE75799B00}">
  <dimension ref="F4:H19"/>
  <sheetViews>
    <sheetView topLeftCell="C1" workbookViewId="0">
      <selection activeCell="G22" sqref="G22"/>
    </sheetView>
  </sheetViews>
  <sheetFormatPr baseColWidth="10" defaultColWidth="10.6640625" defaultRowHeight="15" x14ac:dyDescent="0.2"/>
  <cols>
    <col min="6" max="7" width="11.5" bestFit="1" customWidth="1"/>
  </cols>
  <sheetData>
    <row r="4" spans="6:8" ht="34" x14ac:dyDescent="0.2">
      <c r="F4" s="12" t="s">
        <v>13</v>
      </c>
      <c r="G4" s="12" t="s">
        <v>5</v>
      </c>
    </row>
    <row r="5" spans="6:8" ht="16" x14ac:dyDescent="0.2">
      <c r="F5" s="23" t="s">
        <v>6</v>
      </c>
      <c r="G5" s="25">
        <f>887727*1000/1000000</f>
        <v>887.72699999999998</v>
      </c>
    </row>
    <row r="6" spans="6:8" ht="16" x14ac:dyDescent="0.2">
      <c r="F6" s="23" t="s">
        <v>7</v>
      </c>
      <c r="G6" s="25">
        <f>881227*1000/1000000</f>
        <v>881.22699999999998</v>
      </c>
    </row>
    <row r="7" spans="6:8" ht="16" x14ac:dyDescent="0.2">
      <c r="F7" s="23" t="s">
        <v>8</v>
      </c>
      <c r="G7" s="25">
        <f>873477*1000/1000000</f>
        <v>873.47699999999998</v>
      </c>
    </row>
    <row r="8" spans="6:8" ht="16" x14ac:dyDescent="0.2">
      <c r="F8" s="23" t="s">
        <v>9</v>
      </c>
      <c r="G8" s="25">
        <f>872432*1000/1000000</f>
        <v>872.43200000000002</v>
      </c>
    </row>
    <row r="9" spans="6:8" ht="16" x14ac:dyDescent="0.2">
      <c r="F9" s="23" t="s">
        <v>10</v>
      </c>
      <c r="G9" s="25">
        <f>668321*1000/1000000</f>
        <v>668.32100000000003</v>
      </c>
      <c r="H9" s="2"/>
    </row>
    <row r="10" spans="6:8" ht="16" x14ac:dyDescent="0.2">
      <c r="F10" s="23" t="s">
        <v>11</v>
      </c>
      <c r="G10" s="24">
        <v>645.90899999999999</v>
      </c>
    </row>
    <row r="11" spans="6:8" ht="16" x14ac:dyDescent="0.2">
      <c r="F11" s="23" t="s">
        <v>12</v>
      </c>
      <c r="G11" s="24">
        <v>559.87400000000002</v>
      </c>
    </row>
    <row r="18" spans="7:7" x14ac:dyDescent="0.2">
      <c r="G18" s="4"/>
    </row>
    <row r="19" spans="7:7" x14ac:dyDescent="0.2">
      <c r="G19" s="8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CFE-F38E-4120-A349-A63FC120AD73}">
  <dimension ref="A1:Q14"/>
  <sheetViews>
    <sheetView tabSelected="1" topLeftCell="C1" zoomScale="110" zoomScaleNormal="110" workbookViewId="0">
      <selection activeCell="M29" sqref="M29"/>
    </sheetView>
  </sheetViews>
  <sheetFormatPr baseColWidth="10" defaultColWidth="10.6640625" defaultRowHeight="15" x14ac:dyDescent="0.2"/>
  <cols>
    <col min="5" max="5" width="10.6640625" customWidth="1"/>
    <col min="6" max="6" width="10.33203125" bestFit="1" customWidth="1"/>
    <col min="7" max="7" width="13.33203125" bestFit="1" customWidth="1"/>
    <col min="8" max="8" width="13.33203125" customWidth="1"/>
    <col min="9" max="9" width="10.83203125" customWidth="1"/>
  </cols>
  <sheetData>
    <row r="1" spans="1:17" ht="16" thickBot="1" x14ac:dyDescent="0.25">
      <c r="A1" s="41" t="s">
        <v>4</v>
      </c>
      <c r="B1" s="42"/>
    </row>
    <row r="2" spans="1:17" ht="16" thickBot="1" x14ac:dyDescent="0.25"/>
    <row r="3" spans="1:17" ht="16" thickBot="1" x14ac:dyDescent="0.25">
      <c r="K3" s="38" t="s">
        <v>3</v>
      </c>
      <c r="L3" s="39"/>
      <c r="M3" s="39"/>
      <c r="N3" s="39"/>
      <c r="O3" s="39"/>
      <c r="P3" s="39"/>
      <c r="Q3" s="40"/>
    </row>
    <row r="4" spans="1:17" ht="34" x14ac:dyDescent="0.2">
      <c r="F4" s="12" t="s">
        <v>0</v>
      </c>
      <c r="G4" s="12" t="s">
        <v>14</v>
      </c>
      <c r="H4" s="12" t="s">
        <v>15</v>
      </c>
    </row>
    <row r="5" spans="1:17" ht="16" x14ac:dyDescent="0.2">
      <c r="F5" s="1">
        <v>2021</v>
      </c>
      <c r="G5" s="6">
        <v>501</v>
      </c>
      <c r="H5" s="22">
        <f>559909*1000/1000000</f>
        <v>559.90899999999999</v>
      </c>
    </row>
    <row r="6" spans="1:17" ht="16" x14ac:dyDescent="0.2">
      <c r="F6" s="1">
        <v>2022</v>
      </c>
      <c r="G6" s="6">
        <v>407</v>
      </c>
      <c r="H6" s="22">
        <f>628510*1000/1000000</f>
        <v>628.51</v>
      </c>
    </row>
    <row r="7" spans="1:17" ht="16" x14ac:dyDescent="0.2">
      <c r="F7" s="1">
        <v>2023</v>
      </c>
      <c r="G7" s="6">
        <v>383</v>
      </c>
      <c r="H7" s="22">
        <f>551614*1000/1000000</f>
        <v>551.61400000000003</v>
      </c>
    </row>
    <row r="8" spans="1:17" ht="16" x14ac:dyDescent="0.2">
      <c r="F8" s="1">
        <v>2024</v>
      </c>
      <c r="G8" s="6">
        <v>389</v>
      </c>
      <c r="H8" s="22">
        <f>500847*1000/1000000</f>
        <v>500.84699999999998</v>
      </c>
    </row>
    <row r="9" spans="1:17" ht="16" x14ac:dyDescent="0.2">
      <c r="F9" s="1">
        <v>2025</v>
      </c>
      <c r="G9" s="6">
        <v>396</v>
      </c>
      <c r="H9" s="22">
        <f>500883*1000/1000000</f>
        <v>500.88299999999998</v>
      </c>
    </row>
    <row r="10" spans="1:17" ht="16" x14ac:dyDescent="0.2">
      <c r="F10" s="1">
        <v>2026</v>
      </c>
      <c r="G10" s="6">
        <v>403</v>
      </c>
      <c r="H10" s="22">
        <f>560898*1000/1000000</f>
        <v>560.89800000000002</v>
      </c>
    </row>
    <row r="13" spans="1:17" ht="16" x14ac:dyDescent="0.2">
      <c r="F13" s="7" t="s">
        <v>2</v>
      </c>
      <c r="G13" s="5">
        <f>AVERAGE(G5:G10)</f>
        <v>413.16666666666669</v>
      </c>
      <c r="H13" s="5">
        <f>AVERAGE(H5:H10)</f>
        <v>550.44349999999997</v>
      </c>
    </row>
    <row r="14" spans="1:17" x14ac:dyDescent="0.2">
      <c r="G14" s="4">
        <f>SUM(G5:G10)</f>
        <v>2479</v>
      </c>
      <c r="H14" s="4">
        <f>SUM(H5:H10)</f>
        <v>3302.6610000000001</v>
      </c>
    </row>
  </sheetData>
  <mergeCells count="2">
    <mergeCell ref="K3:Q3"/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522B-6F13-48C5-B6E1-7D4F666B1B53}">
  <dimension ref="E2:J21"/>
  <sheetViews>
    <sheetView topLeftCell="C1" workbookViewId="0">
      <selection activeCell="E14" sqref="E14:H17"/>
    </sheetView>
  </sheetViews>
  <sheetFormatPr baseColWidth="10" defaultColWidth="10.6640625" defaultRowHeight="15" x14ac:dyDescent="0.2"/>
  <cols>
    <col min="5" max="5" width="14.1640625" customWidth="1"/>
    <col min="6" max="6" width="10.1640625" bestFit="1" customWidth="1"/>
    <col min="7" max="7" width="15.5" customWidth="1"/>
    <col min="8" max="8" width="14.6640625" customWidth="1"/>
    <col min="9" max="9" width="11.1640625" bestFit="1" customWidth="1"/>
  </cols>
  <sheetData>
    <row r="2" spans="5:10" ht="16" x14ac:dyDescent="0.2">
      <c r="E2" s="1">
        <v>2026</v>
      </c>
      <c r="F2" s="15">
        <v>0</v>
      </c>
      <c r="G2" s="17">
        <v>500</v>
      </c>
      <c r="H2" s="10">
        <f>G2-G2</f>
        <v>0</v>
      </c>
    </row>
    <row r="4" spans="5:10" ht="34" x14ac:dyDescent="0.2">
      <c r="E4" s="12" t="s">
        <v>0</v>
      </c>
      <c r="F4" s="12" t="s">
        <v>17</v>
      </c>
      <c r="G4" s="12" t="s">
        <v>16</v>
      </c>
      <c r="I4" s="12" t="s">
        <v>1</v>
      </c>
    </row>
    <row r="5" spans="5:10" ht="16" x14ac:dyDescent="0.2">
      <c r="E5" s="13">
        <v>2027</v>
      </c>
      <c r="F5" s="14">
        <v>0.33</v>
      </c>
      <c r="G5" s="16">
        <f>500*(1+0.33)</f>
        <v>665</v>
      </c>
      <c r="I5" s="16">
        <f>G5-G$2</f>
        <v>165</v>
      </c>
    </row>
    <row r="6" spans="5:10" ht="16" x14ac:dyDescent="0.2">
      <c r="E6" s="13">
        <v>2028</v>
      </c>
      <c r="F6" s="14">
        <v>0.33</v>
      </c>
      <c r="G6" s="16">
        <f>G5*(1+0.33)</f>
        <v>884.45</v>
      </c>
      <c r="I6" s="16">
        <f>G6-G$2</f>
        <v>384.45000000000005</v>
      </c>
    </row>
    <row r="7" spans="5:10" ht="16" x14ac:dyDescent="0.2">
      <c r="E7" s="13">
        <v>2029</v>
      </c>
      <c r="F7" s="14">
        <v>0.34</v>
      </c>
      <c r="G7" s="16">
        <f>G6*(1+0.34)</f>
        <v>1185.1630000000002</v>
      </c>
      <c r="I7" s="16">
        <f>G7-G$2</f>
        <v>685.16300000000024</v>
      </c>
      <c r="J7" s="2"/>
    </row>
    <row r="8" spans="5:10" x14ac:dyDescent="0.2">
      <c r="F8" s="9"/>
      <c r="H8" s="2"/>
    </row>
    <row r="13" spans="5:10" x14ac:dyDescent="0.2">
      <c r="I13" s="18"/>
    </row>
    <row r="14" spans="5:10" ht="34" x14ac:dyDescent="0.2">
      <c r="E14" s="12" t="s">
        <v>0</v>
      </c>
      <c r="F14" s="12" t="s">
        <v>17</v>
      </c>
      <c r="G14" s="12" t="s">
        <v>33</v>
      </c>
      <c r="H14" s="12" t="s">
        <v>32</v>
      </c>
      <c r="I14" s="18"/>
    </row>
    <row r="15" spans="5:10" ht="16" x14ac:dyDescent="0.2">
      <c r="E15" s="13">
        <v>2027</v>
      </c>
      <c r="F15" s="14">
        <v>0.33</v>
      </c>
      <c r="G15" s="16">
        <f>500*(1+0.33)</f>
        <v>665</v>
      </c>
      <c r="H15" s="16">
        <f>G15-500</f>
        <v>165</v>
      </c>
    </row>
    <row r="16" spans="5:10" ht="16" x14ac:dyDescent="0.2">
      <c r="E16" s="13">
        <v>2028</v>
      </c>
      <c r="F16" s="14">
        <v>0.33</v>
      </c>
      <c r="G16" s="16">
        <f>G15*(1+0.33)</f>
        <v>884.45</v>
      </c>
      <c r="H16" s="16">
        <f t="shared" ref="H16:H17" si="0">G16-500</f>
        <v>384.45000000000005</v>
      </c>
    </row>
    <row r="17" spans="5:8" ht="16" x14ac:dyDescent="0.2">
      <c r="E17" s="13">
        <v>2029</v>
      </c>
      <c r="F17" s="14">
        <v>0.34</v>
      </c>
      <c r="G17" s="16">
        <f>G16*(1+0.34)</f>
        <v>1185.1630000000002</v>
      </c>
      <c r="H17" s="16">
        <f t="shared" si="0"/>
        <v>685.16300000000024</v>
      </c>
    </row>
    <row r="21" spans="5:8" x14ac:dyDescent="0.2">
      <c r="H21" s="2">
        <f>SUM(H15:H17)</f>
        <v>1234.6130000000003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9151-9F07-476A-A10B-A55C471E0917}">
  <dimension ref="K3:Q12"/>
  <sheetViews>
    <sheetView topLeftCell="H1" workbookViewId="0">
      <selection activeCell="M26" sqref="M26"/>
    </sheetView>
  </sheetViews>
  <sheetFormatPr baseColWidth="10" defaultColWidth="10.6640625" defaultRowHeight="15" x14ac:dyDescent="0.2"/>
  <cols>
    <col min="12" max="12" width="10.6640625" customWidth="1"/>
    <col min="13" max="13" width="10.1640625" bestFit="1" customWidth="1"/>
    <col min="14" max="14" width="15" customWidth="1"/>
    <col min="15" max="15" width="11.5" customWidth="1"/>
    <col min="16" max="16" width="11.33203125" customWidth="1"/>
  </cols>
  <sheetData>
    <row r="3" spans="11:17" ht="34" x14ac:dyDescent="0.2">
      <c r="K3" s="27" t="s">
        <v>20</v>
      </c>
      <c r="M3" s="29" t="s">
        <v>0</v>
      </c>
      <c r="N3" s="29" t="s">
        <v>18</v>
      </c>
      <c r="O3" s="12" t="s">
        <v>30</v>
      </c>
      <c r="P3" s="12" t="s">
        <v>29</v>
      </c>
    </row>
    <row r="4" spans="11:17" ht="16" x14ac:dyDescent="0.2">
      <c r="K4" s="28" t="s">
        <v>12</v>
      </c>
      <c r="M4" s="32">
        <v>2021</v>
      </c>
      <c r="N4" s="33">
        <f>8904321000/1000000</f>
        <v>8904.3209999999999</v>
      </c>
      <c r="O4" s="21">
        <v>559.90899999999999</v>
      </c>
      <c r="P4" s="36">
        <f>O4/N4</f>
        <v>6.2880594713510443E-2</v>
      </c>
    </row>
    <row r="5" spans="11:17" ht="16" x14ac:dyDescent="0.2">
      <c r="K5" s="28" t="s">
        <v>21</v>
      </c>
      <c r="M5" s="13">
        <v>2022</v>
      </c>
      <c r="N5" s="33">
        <f>9548154000/1000000</f>
        <v>9548.1540000000005</v>
      </c>
      <c r="O5" s="21">
        <v>628.51</v>
      </c>
      <c r="P5" s="36">
        <f t="shared" ref="P5:P9" si="0">O5/N5</f>
        <v>6.58252893700709E-2</v>
      </c>
      <c r="Q5" s="8">
        <f>(O5-O4)/O4</f>
        <v>0.12252169548980281</v>
      </c>
    </row>
    <row r="6" spans="11:17" ht="16" x14ac:dyDescent="0.2">
      <c r="K6" s="28" t="s">
        <v>22</v>
      </c>
      <c r="M6" s="13">
        <v>2023</v>
      </c>
      <c r="N6" s="16">
        <f>10078790000/1000000</f>
        <v>10078.790000000001</v>
      </c>
      <c r="O6" s="21">
        <v>551.61400000000003</v>
      </c>
      <c r="P6" s="36">
        <f t="shared" si="0"/>
        <v>5.4730180904652245E-2</v>
      </c>
      <c r="Q6" s="8">
        <f t="shared" ref="Q6:Q9" si="1">(O6-O5)/O5</f>
        <v>-0.12234650204451793</v>
      </c>
    </row>
    <row r="7" spans="11:17" ht="16" x14ac:dyDescent="0.2">
      <c r="K7" s="28" t="s">
        <v>23</v>
      </c>
      <c r="M7" s="13">
        <v>2024</v>
      </c>
      <c r="N7" s="16">
        <f>11269424500/1000000</f>
        <v>11269.424499999999</v>
      </c>
      <c r="O7" s="21">
        <v>500.84699999999998</v>
      </c>
      <c r="P7" s="36">
        <f t="shared" si="0"/>
        <v>4.444299706697534E-2</v>
      </c>
      <c r="Q7" s="8">
        <f t="shared" si="1"/>
        <v>-9.2033559699355075E-2</v>
      </c>
    </row>
    <row r="8" spans="11:17" ht="16" x14ac:dyDescent="0.2">
      <c r="K8" s="28" t="s">
        <v>24</v>
      </c>
      <c r="M8" s="34">
        <v>2025</v>
      </c>
      <c r="N8" s="16">
        <f>12583169000/1000000</f>
        <v>12583.169</v>
      </c>
      <c r="O8" s="21">
        <v>500.88299999999998</v>
      </c>
      <c r="P8" s="36">
        <f t="shared" si="0"/>
        <v>3.980579137099724E-2</v>
      </c>
      <c r="Q8" s="37">
        <f t="shared" si="1"/>
        <v>7.1878238264382865E-5</v>
      </c>
    </row>
    <row r="9" spans="11:17" ht="16" x14ac:dyDescent="0.2">
      <c r="K9" s="28" t="s">
        <v>25</v>
      </c>
      <c r="M9" s="34">
        <v>2026</v>
      </c>
      <c r="N9" s="35">
        <f>12901090500/1000000</f>
        <v>12901.0905</v>
      </c>
      <c r="O9" s="21">
        <v>560.89800000000002</v>
      </c>
      <c r="P9" s="36">
        <f t="shared" si="0"/>
        <v>4.347678981090785E-2</v>
      </c>
      <c r="Q9" s="8">
        <f t="shared" si="1"/>
        <v>0.1198184007043562</v>
      </c>
    </row>
    <row r="10" spans="11:17" x14ac:dyDescent="0.2">
      <c r="N10" s="4">
        <f>SUM(N4:N9)</f>
        <v>65284.949000000001</v>
      </c>
      <c r="O10" s="4">
        <f>SUM(O4:O9)</f>
        <v>3302.6610000000001</v>
      </c>
      <c r="Q10" s="26"/>
    </row>
    <row r="11" spans="11:17" ht="16" thickBot="1" x14ac:dyDescent="0.25"/>
    <row r="12" spans="11:17" ht="16" thickBot="1" x14ac:dyDescent="0.25">
      <c r="O12" s="31">
        <f>O10/N10</f>
        <v>5.0588398253937517E-2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05A0-3A76-4266-942E-115833AB6C33}">
  <dimension ref="C4:H8"/>
  <sheetViews>
    <sheetView workbookViewId="0">
      <selection activeCell="I6" sqref="I6"/>
    </sheetView>
  </sheetViews>
  <sheetFormatPr baseColWidth="10" defaultColWidth="10.6640625" defaultRowHeight="15" x14ac:dyDescent="0.2"/>
  <cols>
    <col min="4" max="4" width="10.6640625" customWidth="1"/>
    <col min="5" max="5" width="10.1640625" bestFit="1" customWidth="1"/>
    <col min="6" max="6" width="15" customWidth="1"/>
    <col min="7" max="7" width="11.5" customWidth="1"/>
    <col min="8" max="8" width="11.33203125" bestFit="1" customWidth="1"/>
  </cols>
  <sheetData>
    <row r="4" spans="3:8" ht="34" x14ac:dyDescent="0.2">
      <c r="C4" s="27" t="s">
        <v>20</v>
      </c>
      <c r="E4" s="12" t="s">
        <v>0</v>
      </c>
      <c r="F4" s="12" t="s">
        <v>18</v>
      </c>
      <c r="G4" s="19" t="s">
        <v>31</v>
      </c>
      <c r="H4" s="12" t="s">
        <v>29</v>
      </c>
    </row>
    <row r="5" spans="3:8" ht="16" x14ac:dyDescent="0.2">
      <c r="C5" s="28" t="s">
        <v>26</v>
      </c>
      <c r="E5" s="11">
        <v>2027</v>
      </c>
      <c r="F5" s="20">
        <f>13078808500/1000000</f>
        <v>13078.808499999999</v>
      </c>
      <c r="G5" s="3">
        <f>1255565616/1000000</f>
        <v>1255.5656160000001</v>
      </c>
      <c r="H5" s="36">
        <f>G5/F5</f>
        <v>9.6000000000000016E-2</v>
      </c>
    </row>
    <row r="6" spans="3:8" ht="16" x14ac:dyDescent="0.2">
      <c r="C6" s="30" t="s">
        <v>27</v>
      </c>
      <c r="E6" s="11">
        <v>2028</v>
      </c>
      <c r="F6" s="20">
        <f>13294157500/1000000</f>
        <v>13294.157499999999</v>
      </c>
      <c r="G6" s="3">
        <f>1276239120/1000000</f>
        <v>1276.23912</v>
      </c>
      <c r="H6" s="36">
        <f t="shared" ref="H6:H8" si="0">G6/F6</f>
        <v>9.6000000000000002E-2</v>
      </c>
    </row>
    <row r="7" spans="3:8" ht="16" x14ac:dyDescent="0.2">
      <c r="C7" s="30" t="s">
        <v>28</v>
      </c>
      <c r="E7" s="11">
        <v>2029</v>
      </c>
      <c r="F7" s="20">
        <f>13600000000/1000000</f>
        <v>13600</v>
      </c>
      <c r="G7" s="3">
        <f>1305600000/1000000</f>
        <v>1305.5999999999999</v>
      </c>
      <c r="H7" s="36">
        <f t="shared" si="0"/>
        <v>9.5999999999999988E-2</v>
      </c>
    </row>
    <row r="8" spans="3:8" ht="16" x14ac:dyDescent="0.2">
      <c r="E8" s="11" t="s">
        <v>19</v>
      </c>
      <c r="F8" s="20">
        <f>SUM(F5:F7)</f>
        <v>39972.966</v>
      </c>
      <c r="G8" s="20">
        <f>SUM(G5:G7)</f>
        <v>3837.404736</v>
      </c>
      <c r="H8" s="36">
        <f t="shared" si="0"/>
        <v>9.6000000000000002E-2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5D1B3B-6753-4CDB-B33A-A1CA83162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BF3B6A-F538-4130-A1E7-19C19C6F02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E5220-2511-41AF-9186-F60BC36F7DD4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Hoja5</vt:lpstr>
      <vt:lpstr>Hoja1</vt:lpstr>
      <vt:lpstr>Hoja7</vt:lpstr>
      <vt:lpstr>Hoja2</vt:lpstr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Ronald Rivas</cp:lastModifiedBy>
  <dcterms:created xsi:type="dcterms:W3CDTF">2026-05-29T18:08:55Z</dcterms:created>
  <dcterms:modified xsi:type="dcterms:W3CDTF">2026-06-04T19:52:51Z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