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aldrivas/Documents/El Estudio Conciente/OPAL/Informes/571 _ PC 1273/"/>
    </mc:Choice>
  </mc:AlternateContent>
  <xr:revisionPtr revIDLastSave="0" documentId="13_ncr:1_{F3A00930-27A6-154D-BD33-DEE603AF4E56}" xr6:coauthVersionLast="47" xr6:coauthVersionMax="47" xr10:uidLastSave="{00000000-0000-0000-0000-000000000000}"/>
  <bookViews>
    <workbookView xWindow="0" yWindow="660" windowWidth="30240" windowHeight="18980" activeTab="1" xr2:uid="{098A2F2A-01AE-4D14-BE69-EDB40089BE3D}"/>
  </bookViews>
  <sheets>
    <sheet name="DATA" sheetId="1" r:id="rId1"/>
    <sheet name="Cálcul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2" l="1"/>
  <c r="E2" i="2"/>
  <c r="K23" i="2"/>
  <c r="F17" i="1"/>
  <c r="E5" i="1"/>
  <c r="E6" i="1"/>
  <c r="E7" i="1"/>
  <c r="E8" i="1"/>
  <c r="E9" i="1"/>
  <c r="E4" i="1"/>
  <c r="D4" i="1"/>
  <c r="D5" i="1"/>
  <c r="D7" i="1"/>
  <c r="D8" i="1"/>
  <c r="D9" i="1"/>
  <c r="D6" i="1"/>
  <c r="B15" i="1"/>
  <c r="C10" i="1"/>
  <c r="B11" i="1" s="1"/>
  <c r="B10" i="1"/>
  <c r="C4" i="1"/>
  <c r="C5" i="1"/>
  <c r="C6" i="1"/>
  <c r="C7" i="1"/>
  <c r="C8" i="1"/>
  <c r="C9" i="1"/>
  <c r="C3" i="1"/>
  <c r="D22" i="2"/>
  <c r="E22" i="2"/>
  <c r="F22" i="2"/>
  <c r="G22" i="2"/>
  <c r="C22" i="2"/>
  <c r="D16" i="2"/>
  <c r="E16" i="2"/>
  <c r="F16" i="2"/>
  <c r="C16" i="2"/>
  <c r="B10" i="2"/>
  <c r="B3" i="2"/>
  <c r="C3" i="2" s="1"/>
  <c r="B2" i="2"/>
  <c r="D2" i="2" s="1"/>
  <c r="E17" i="1"/>
  <c r="E16" i="1"/>
  <c r="I2" i="2" l="1"/>
  <c r="I3" i="2"/>
  <c r="B4" i="2"/>
  <c r="C11" i="1"/>
  <c r="B12" i="1" s="1"/>
  <c r="L23" i="2"/>
  <c r="L24" i="2" s="1"/>
  <c r="L29" i="2" s="1"/>
  <c r="D3" i="2"/>
  <c r="C2" i="2"/>
  <c r="K31" i="2" l="1"/>
  <c r="K24" i="2"/>
  <c r="K32" i="2"/>
  <c r="K33" i="2"/>
  <c r="K29" i="2"/>
  <c r="K30" i="2"/>
  <c r="L30" i="2"/>
  <c r="L31" i="2" s="1"/>
  <c r="L32" i="2" s="1"/>
  <c r="L33" i="2" s="1"/>
  <c r="C12" i="1"/>
  <c r="B13" i="1" s="1"/>
  <c r="C13" i="1" l="1"/>
  <c r="B14" i="1" s="1"/>
  <c r="C14" i="1" l="1"/>
  <c r="C15" i="1" s="1"/>
</calcChain>
</file>

<file path=xl/sharedStrings.xml><?xml version="1.0" encoding="utf-8"?>
<sst xmlns="http://schemas.openxmlformats.org/spreadsheetml/2006/main" count="38" uniqueCount="29">
  <si>
    <t>Carros sin inspección VIGENTE</t>
  </si>
  <si>
    <t>Carros sin inspección PROPUESTO</t>
  </si>
  <si>
    <t>Vehículos exentos</t>
  </si>
  <si>
    <t>VIGENTE</t>
  </si>
  <si>
    <t xml:space="preserve">PROPUESTO </t>
  </si>
  <si>
    <t>Ingreso Bruto</t>
  </si>
  <si>
    <t xml:space="preserve">Responsabilidad Contributiva </t>
  </si>
  <si>
    <t>Tasa Efectiva Marginal</t>
  </si>
  <si>
    <t>Datos Contributivos (Corporaciones)</t>
  </si>
  <si>
    <t>Proyecciones de Ingresos por Contribuciones de Corporaciones</t>
  </si>
  <si>
    <t>año</t>
  </si>
  <si>
    <t>Ingreso</t>
  </si>
  <si>
    <t>%</t>
  </si>
  <si>
    <t>-</t>
  </si>
  <si>
    <t>Proyecciones del Producto Nacional Bruto (PNB)</t>
  </si>
  <si>
    <t>Gasto de Inspección</t>
  </si>
  <si>
    <t>Ingresos a Compañías</t>
  </si>
  <si>
    <t>Ingresos al DTOP</t>
  </si>
  <si>
    <t>EF</t>
  </si>
  <si>
    <t>EF DTOP</t>
  </si>
  <si>
    <t>EF contribución corporaciones</t>
  </si>
  <si>
    <t>establecimientos</t>
  </si>
  <si>
    <t>DTOP</t>
  </si>
  <si>
    <t>ingreso por inspección</t>
  </si>
  <si>
    <t>Pérdida de ingresos</t>
  </si>
  <si>
    <t>AÑO FISCAL</t>
  </si>
  <si>
    <t>PNB NOMINAL</t>
  </si>
  <si>
    <t>Año Fiscal</t>
  </si>
  <si>
    <t>Fondo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</si>
</sst>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0.0%"/>
    <numFmt numFmtId="173" formatCode="&quot;$&quot;#,##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Myriad pro condensed"/>
    </font>
    <font>
      <sz val="12"/>
      <color theme="0"/>
      <name val="Myriad pro condensed"/>
    </font>
    <font>
      <b/>
      <sz val="12"/>
      <color theme="0"/>
      <name val="MyriadPro-Cond"/>
    </font>
    <font>
      <sz val="12"/>
      <color theme="1"/>
      <name val="MyriadPro-Cond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94A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166" fontId="0" fillId="0" borderId="0" xfId="1" applyNumberFormat="1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7" fontId="0" fillId="0" borderId="0" xfId="2" applyNumberFormat="1" applyFont="1"/>
    <xf numFmtId="168" fontId="0" fillId="0" borderId="0" xfId="3" applyNumberFormat="1" applyFont="1"/>
    <xf numFmtId="10" fontId="0" fillId="0" borderId="0" xfId="3" applyNumberFormat="1" applyFont="1"/>
    <xf numFmtId="0" fontId="0" fillId="0" borderId="0" xfId="0" applyAlignment="1">
      <alignment horizontal="right"/>
    </xf>
    <xf numFmtId="167" fontId="0" fillId="0" borderId="0" xfId="0" applyNumberFormat="1"/>
    <xf numFmtId="168" fontId="0" fillId="0" borderId="0" xfId="3" applyNumberFormat="1" applyFont="1" applyAlignment="1">
      <alignment horizontal="center" vertical="center"/>
    </xf>
    <xf numFmtId="167" fontId="0" fillId="0" borderId="0" xfId="2" applyNumberFormat="1" applyFont="1" applyAlignment="1">
      <alignment horizontal="center" vertical="center"/>
    </xf>
    <xf numFmtId="166" fontId="0" fillId="0" borderId="0" xfId="0" applyNumberFormat="1"/>
    <xf numFmtId="0" fontId="3" fillId="2" borderId="0" xfId="0" applyFont="1" applyFill="1" applyAlignment="1">
      <alignment horizontal="center" vertical="center"/>
    </xf>
    <xf numFmtId="167" fontId="0" fillId="2" borderId="0" xfId="2" applyNumberFormat="1" applyFont="1" applyFill="1" applyAlignment="1">
      <alignment horizontal="center" vertical="center"/>
    </xf>
    <xf numFmtId="0" fontId="0" fillId="0" borderId="1" xfId="0" applyBorder="1"/>
    <xf numFmtId="167" fontId="0" fillId="0" borderId="1" xfId="0" applyNumberFormat="1" applyBorder="1"/>
    <xf numFmtId="165" fontId="0" fillId="0" borderId="0" xfId="0" applyNumberFormat="1"/>
    <xf numFmtId="164" fontId="4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7" fontId="4" fillId="0" borderId="1" xfId="2" applyNumberFormat="1" applyFont="1" applyBorder="1" applyAlignment="1">
      <alignment horizontal="center" vertical="center"/>
    </xf>
    <xf numFmtId="167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3" fontId="7" fillId="0" borderId="2" xfId="2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Myriad Pro Cond"/>
                    <a:ea typeface="+mn-ea"/>
                    <a:cs typeface="+mn-cs"/>
                  </a:defRPr>
                </a:pPr>
                <a:endParaRPr lang="es-P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DATA!$A$4:$A$9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DATA!$B$4:$B$9</c:f>
              <c:numCache>
                <c:formatCode>_-* #,##0_-;\-* #,##0_-;_-* "-"??_-;_-@_-</c:formatCode>
                <c:ptCount val="6"/>
                <c:pt idx="0">
                  <c:v>95020</c:v>
                </c:pt>
                <c:pt idx="1">
                  <c:v>129145</c:v>
                </c:pt>
                <c:pt idx="2">
                  <c:v>123604</c:v>
                </c:pt>
                <c:pt idx="3">
                  <c:v>128531</c:v>
                </c:pt>
                <c:pt idx="4">
                  <c:v>121999</c:v>
                </c:pt>
                <c:pt idx="5">
                  <c:v>110983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C-4C47-BCBB-FDB88A7C6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24757648"/>
        <c:axId val="24764368"/>
      </c:barChart>
      <c:catAx>
        <c:axId val="2475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Myriad Pro Cond"/>
                <a:ea typeface="+mn-ea"/>
                <a:cs typeface="+mn-cs"/>
              </a:defRPr>
            </a:pPr>
            <a:endParaRPr lang="es-PR"/>
          </a:p>
        </c:txPr>
        <c:crossAx val="24764368"/>
        <c:crosses val="autoZero"/>
        <c:auto val="1"/>
        <c:lblAlgn val="ctr"/>
        <c:lblOffset val="100"/>
        <c:noMultiLvlLbl val="0"/>
      </c:catAx>
      <c:valAx>
        <c:axId val="2476436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2475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40480</xdr:colOff>
      <xdr:row>6</xdr:row>
      <xdr:rowOff>38100</xdr:rowOff>
    </xdr:from>
    <xdr:to>
      <xdr:col>14</xdr:col>
      <xdr:colOff>78580</xdr:colOff>
      <xdr:row>18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CAD16A-5B63-72C0-C47E-CE5538A1B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7868B-0FF7-4729-9300-59C2D9400FB4}">
  <dimension ref="A2:F17"/>
  <sheetViews>
    <sheetView workbookViewId="0">
      <selection activeCell="D34" sqref="D34"/>
    </sheetView>
  </sheetViews>
  <sheetFormatPr baseColWidth="10" defaultColWidth="8.83203125" defaultRowHeight="15"/>
  <cols>
    <col min="2" max="2" width="11" bestFit="1" customWidth="1"/>
    <col min="4" max="4" width="17.5" customWidth="1"/>
    <col min="5" max="5" width="11" bestFit="1" customWidth="1"/>
  </cols>
  <sheetData>
    <row r="2" spans="1:5">
      <c r="A2">
        <v>2018</v>
      </c>
      <c r="B2" s="2">
        <v>107941</v>
      </c>
      <c r="C2" s="8" t="s">
        <v>13</v>
      </c>
    </row>
    <row r="3" spans="1:5">
      <c r="A3">
        <v>2019</v>
      </c>
      <c r="B3" s="2">
        <v>106616</v>
      </c>
      <c r="C3" s="8">
        <f>B3/B2-1</f>
        <v>-1.227522442815987E-2</v>
      </c>
    </row>
    <row r="4" spans="1:5">
      <c r="A4">
        <v>2020</v>
      </c>
      <c r="B4" s="2">
        <v>95020</v>
      </c>
      <c r="C4" s="8">
        <f t="shared" ref="C4:C15" si="0">B4/B3-1</f>
        <v>-0.10876416297741431</v>
      </c>
      <c r="D4" s="19">
        <f t="shared" ref="D4:D5" si="1">B3*(AVERAGE(C2:C4)+1)</f>
        <v>100163.63233618365</v>
      </c>
      <c r="E4" s="19">
        <f>D4-B4</f>
        <v>5143.6323361836548</v>
      </c>
    </row>
    <row r="5" spans="1:5">
      <c r="A5">
        <v>2021</v>
      </c>
      <c r="B5" s="2">
        <v>129145</v>
      </c>
      <c r="C5" s="8">
        <f t="shared" si="0"/>
        <v>0.35913491896442862</v>
      </c>
      <c r="D5" s="19">
        <f t="shared" si="1"/>
        <v>102561.27913624079</v>
      </c>
      <c r="E5" s="19">
        <f t="shared" ref="E5:E9" si="2">D5-B5</f>
        <v>-26583.720863759212</v>
      </c>
    </row>
    <row r="6" spans="1:5">
      <c r="A6">
        <v>2022</v>
      </c>
      <c r="B6" s="2">
        <v>123604</v>
      </c>
      <c r="C6" s="8">
        <f t="shared" si="0"/>
        <v>-4.2905261527740102E-2</v>
      </c>
      <c r="D6" s="19">
        <f>B5*(AVERAGE(C4:C6)+1)</f>
        <v>138076.04376064768</v>
      </c>
      <c r="E6" s="19">
        <f t="shared" si="2"/>
        <v>14472.043760647677</v>
      </c>
    </row>
    <row r="7" spans="1:5">
      <c r="A7">
        <v>2023</v>
      </c>
      <c r="B7" s="2">
        <v>128531</v>
      </c>
      <c r="C7" s="8">
        <f t="shared" si="0"/>
        <v>3.9861169541438812E-2</v>
      </c>
      <c r="D7" s="19">
        <f t="shared" ref="D7:D9" si="3">B6*(AVERAGE(C5:C7)+1)</f>
        <v>138275.41685926815</v>
      </c>
      <c r="E7" s="19">
        <f t="shared" si="2"/>
        <v>9744.4168592681526</v>
      </c>
    </row>
    <row r="8" spans="1:5">
      <c r="A8">
        <v>2024</v>
      </c>
      <c r="B8" s="2">
        <v>121999</v>
      </c>
      <c r="C8" s="8">
        <f t="shared" si="0"/>
        <v>-5.0820424644638207E-2</v>
      </c>
      <c r="D8" s="19">
        <f t="shared" si="3"/>
        <v>126223.24660430291</v>
      </c>
      <c r="E8" s="19">
        <f t="shared" si="2"/>
        <v>4224.2466043029126</v>
      </c>
    </row>
    <row r="9" spans="1:5">
      <c r="A9">
        <v>2025</v>
      </c>
      <c r="B9" s="2">
        <v>110983</v>
      </c>
      <c r="C9" s="8">
        <f t="shared" si="0"/>
        <v>-9.0295822096902456E-2</v>
      </c>
      <c r="D9" s="19">
        <f t="shared" si="3"/>
        <v>117881.32727888826</v>
      </c>
      <c r="E9" s="19">
        <f t="shared" si="2"/>
        <v>6898.3272788882605</v>
      </c>
    </row>
    <row r="10" spans="1:5">
      <c r="A10">
        <v>2026</v>
      </c>
      <c r="B10" s="2">
        <f>B9*(AVERAGE(C7:C9)+1)</f>
        <v>107237.13592236703</v>
      </c>
      <c r="C10" s="8">
        <f t="shared" si="0"/>
        <v>-3.375169240003395E-2</v>
      </c>
      <c r="E10" s="19"/>
    </row>
    <row r="11" spans="1:5">
      <c r="A11">
        <v>2027</v>
      </c>
      <c r="B11" s="2">
        <f t="shared" ref="B11:B14" si="4">B10*(AVERAGE(C8:C10)+1)</f>
        <v>100986.35693630394</v>
      </c>
      <c r="C11" s="8">
        <f t="shared" si="0"/>
        <v>-5.8289313047191649E-2</v>
      </c>
      <c r="E11" s="19"/>
    </row>
    <row r="12" spans="1:5">
      <c r="A12">
        <v>2028</v>
      </c>
      <c r="B12" s="2">
        <f t="shared" si="4"/>
        <v>94848.512953302401</v>
      </c>
      <c r="C12" s="8">
        <f t="shared" si="0"/>
        <v>-6.0778942514709389E-2</v>
      </c>
      <c r="E12" s="19"/>
    </row>
    <row r="13" spans="1:5">
      <c r="A13">
        <v>2029</v>
      </c>
      <c r="B13" s="2">
        <f t="shared" si="4"/>
        <v>90016.931348705533</v>
      </c>
      <c r="C13" s="8">
        <f t="shared" si="0"/>
        <v>-5.0939982653978366E-2</v>
      </c>
      <c r="E13" s="19"/>
    </row>
    <row r="14" spans="1:5">
      <c r="A14">
        <v>2030</v>
      </c>
      <c r="B14" s="2">
        <f t="shared" si="4"/>
        <v>84915.724712641138</v>
      </c>
      <c r="C14" s="8">
        <f t="shared" si="0"/>
        <v>-5.6669412738626468E-2</v>
      </c>
      <c r="E14" s="19"/>
    </row>
    <row r="15" spans="1:5">
      <c r="A15">
        <v>2031</v>
      </c>
      <c r="B15" s="2">
        <f>B14*(AVERAGE(C12:C14)+1)</f>
        <v>80149.452130455582</v>
      </c>
      <c r="C15" s="8">
        <f t="shared" si="0"/>
        <v>-5.612944596910463E-2</v>
      </c>
      <c r="E15" s="19"/>
    </row>
    <row r="16" spans="1:5" ht="32">
      <c r="D16" s="1" t="s">
        <v>0</v>
      </c>
      <c r="E16" s="2">
        <f>SUM(B7:B9)</f>
        <v>361513</v>
      </c>
    </row>
    <row r="17" spans="4:6" ht="32">
      <c r="D17" s="1" t="s">
        <v>1</v>
      </c>
      <c r="E17" s="2">
        <f>SUM(B4:B9)</f>
        <v>709282</v>
      </c>
      <c r="F17" s="14">
        <f>E17-E16</f>
        <v>347769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CCD9-0B81-4F97-AEEA-45CEE5485147}">
  <dimension ref="A1:O46"/>
  <sheetViews>
    <sheetView tabSelected="1" topLeftCell="A20" workbookViewId="0">
      <selection activeCell="J37" sqref="J37:L42"/>
    </sheetView>
  </sheetViews>
  <sheetFormatPr baseColWidth="10" defaultColWidth="8.83203125" defaultRowHeight="15"/>
  <cols>
    <col min="1" max="1" width="18" customWidth="1"/>
    <col min="2" max="2" width="14.1640625" customWidth="1"/>
    <col min="3" max="3" width="17.5" customWidth="1"/>
    <col min="4" max="4" width="19.5" customWidth="1"/>
    <col min="5" max="5" width="15.1640625" customWidth="1"/>
    <col min="6" max="6" width="12.33203125" customWidth="1"/>
    <col min="7" max="7" width="15.1640625" customWidth="1"/>
    <col min="8" max="8" width="12" bestFit="1" customWidth="1"/>
    <col min="9" max="9" width="17.6640625" bestFit="1" customWidth="1"/>
    <col min="10" max="10" width="10.83203125" customWidth="1"/>
    <col min="11" max="11" width="15.33203125" customWidth="1"/>
    <col min="12" max="15" width="14.5" bestFit="1" customWidth="1"/>
  </cols>
  <sheetData>
    <row r="1" spans="1:9">
      <c r="A1" s="27" t="s">
        <v>2</v>
      </c>
      <c r="B1" s="27"/>
      <c r="C1" s="5" t="s">
        <v>15</v>
      </c>
      <c r="D1" s="5" t="s">
        <v>16</v>
      </c>
      <c r="E1" s="5" t="s">
        <v>17</v>
      </c>
      <c r="H1" s="5" t="s">
        <v>23</v>
      </c>
      <c r="I1" s="5" t="s">
        <v>24</v>
      </c>
    </row>
    <row r="2" spans="1:9">
      <c r="A2" s="3" t="s">
        <v>3</v>
      </c>
      <c r="B2" s="2">
        <f>DATA!E16</f>
        <v>361513</v>
      </c>
      <c r="C2" s="7">
        <f>B2*20</f>
        <v>7230260</v>
      </c>
      <c r="D2" s="14">
        <f>B2*18</f>
        <v>6507234</v>
      </c>
      <c r="E2" s="14">
        <f>B2*2</f>
        <v>723026</v>
      </c>
      <c r="G2" t="s">
        <v>21</v>
      </c>
      <c r="H2">
        <v>18</v>
      </c>
      <c r="I2" s="14">
        <f>H2*($B$3-$B$2)</f>
        <v>6259842</v>
      </c>
    </row>
    <row r="3" spans="1:9">
      <c r="A3" s="3" t="s">
        <v>4</v>
      </c>
      <c r="B3" s="2">
        <f>DATA!E17</f>
        <v>709282</v>
      </c>
      <c r="C3" s="7">
        <f>B3*20</f>
        <v>14185640</v>
      </c>
      <c r="D3" s="14">
        <f>B3*18</f>
        <v>12767076</v>
      </c>
      <c r="E3" s="14">
        <f>B3*2</f>
        <v>1418564</v>
      </c>
      <c r="G3" t="s">
        <v>22</v>
      </c>
      <c r="H3">
        <v>2</v>
      </c>
      <c r="I3" s="14">
        <f>H3*($B$3-$B$2)</f>
        <v>695538</v>
      </c>
    </row>
    <row r="4" spans="1:9">
      <c r="B4" s="14">
        <f>B3-B2</f>
        <v>347769</v>
      </c>
    </row>
    <row r="7" spans="1:9">
      <c r="A7" s="26" t="s">
        <v>8</v>
      </c>
      <c r="B7" s="26"/>
      <c r="C7" s="26"/>
    </row>
    <row r="8" spans="1:9">
      <c r="A8" t="s">
        <v>5</v>
      </c>
      <c r="B8" s="7">
        <v>8244.0059999999994</v>
      </c>
    </row>
    <row r="9" spans="1:9">
      <c r="A9" t="s">
        <v>6</v>
      </c>
      <c r="B9" s="7">
        <v>256.77100000000002</v>
      </c>
    </row>
    <row r="10" spans="1:9">
      <c r="A10" t="s">
        <v>7</v>
      </c>
      <c r="B10" s="9">
        <f>B9/B8</f>
        <v>3.1146386841542816E-2</v>
      </c>
    </row>
    <row r="13" spans="1:9">
      <c r="A13" s="26" t="s">
        <v>9</v>
      </c>
      <c r="B13" s="26"/>
      <c r="C13" s="26"/>
      <c r="D13" s="26"/>
      <c r="E13" s="26"/>
      <c r="F13" s="26"/>
    </row>
    <row r="14" spans="1:9">
      <c r="A14" s="10" t="s">
        <v>10</v>
      </c>
      <c r="B14">
        <v>2024</v>
      </c>
      <c r="C14">
        <v>2025</v>
      </c>
      <c r="D14">
        <v>2026</v>
      </c>
      <c r="E14">
        <v>2027</v>
      </c>
      <c r="F14">
        <v>2028</v>
      </c>
    </row>
    <row r="15" spans="1:9">
      <c r="A15" s="10" t="s">
        <v>11</v>
      </c>
      <c r="B15" s="13">
        <v>4759</v>
      </c>
      <c r="C15" s="13">
        <v>4345</v>
      </c>
      <c r="D15" s="13">
        <v>4177</v>
      </c>
      <c r="E15" s="13">
        <v>4074</v>
      </c>
      <c r="F15" s="13">
        <v>4114</v>
      </c>
    </row>
    <row r="16" spans="1:9">
      <c r="A16" s="10" t="s">
        <v>12</v>
      </c>
      <c r="B16" s="12" t="s">
        <v>13</v>
      </c>
      <c r="C16" s="12">
        <f>C15/B15-1</f>
        <v>-8.6993065770119782E-2</v>
      </c>
      <c r="D16" s="12">
        <f t="shared" ref="D16:F16" si="0">D15/C15-1</f>
        <v>-3.8665132336018426E-2</v>
      </c>
      <c r="E16" s="12">
        <f t="shared" si="0"/>
        <v>-2.4658846061766826E-2</v>
      </c>
      <c r="F16" s="12">
        <f t="shared" si="0"/>
        <v>9.8183603338242165E-3</v>
      </c>
    </row>
    <row r="19" spans="1:13">
      <c r="A19" s="26" t="s">
        <v>14</v>
      </c>
      <c r="B19" s="26"/>
      <c r="C19" s="26"/>
      <c r="D19" s="26"/>
    </row>
    <row r="20" spans="1:13">
      <c r="A20" s="10" t="s">
        <v>25</v>
      </c>
      <c r="B20">
        <v>2023</v>
      </c>
      <c r="C20">
        <v>2024</v>
      </c>
      <c r="D20">
        <v>2025</v>
      </c>
      <c r="E20">
        <v>2026</v>
      </c>
      <c r="F20">
        <v>2027</v>
      </c>
      <c r="G20">
        <v>2028</v>
      </c>
    </row>
    <row r="21" spans="1:13">
      <c r="A21" s="10" t="s">
        <v>26</v>
      </c>
      <c r="B21">
        <v>83483</v>
      </c>
      <c r="C21">
        <v>86419</v>
      </c>
      <c r="D21">
        <v>87216</v>
      </c>
      <c r="E21">
        <v>88497</v>
      </c>
      <c r="F21">
        <v>90864</v>
      </c>
      <c r="G21">
        <v>92931</v>
      </c>
    </row>
    <row r="22" spans="1:13">
      <c r="A22" s="10" t="s">
        <v>12</v>
      </c>
      <c r="B22" t="s">
        <v>13</v>
      </c>
      <c r="C22" s="8">
        <f>C21/B21-1</f>
        <v>3.5168836769162493E-2</v>
      </c>
      <c r="D22" s="8">
        <f t="shared" ref="D22:G22" si="1">D21/C21-1</f>
        <v>9.2225089390065573E-3</v>
      </c>
      <c r="E22" s="8">
        <f t="shared" si="1"/>
        <v>1.468767198679144E-2</v>
      </c>
      <c r="F22" s="8">
        <f t="shared" si="1"/>
        <v>2.6746669378622911E-2</v>
      </c>
      <c r="G22" s="8">
        <f t="shared" si="1"/>
        <v>2.2748283148441573E-2</v>
      </c>
      <c r="K22" s="15" t="s">
        <v>19</v>
      </c>
      <c r="L22" t="s">
        <v>20</v>
      </c>
    </row>
    <row r="23" spans="1:13">
      <c r="J23">
        <v>2025</v>
      </c>
      <c r="K23" s="16">
        <f>E3-E2</f>
        <v>695538</v>
      </c>
      <c r="L23" s="14">
        <f>$I$2*B10</f>
        <v>194971.46049893706</v>
      </c>
    </row>
    <row r="24" spans="1:13">
      <c r="J24">
        <v>2026</v>
      </c>
      <c r="K24" s="11">
        <f>K23*(1+$E$22)</f>
        <v>705753.83399834891</v>
      </c>
      <c r="L24" s="11">
        <f>L23*(1+$D$16)</f>
        <v>187432.86317699886</v>
      </c>
      <c r="M24" s="6"/>
    </row>
    <row r="28" spans="1:13">
      <c r="J28" t="s">
        <v>27</v>
      </c>
      <c r="K28" t="s">
        <v>22</v>
      </c>
      <c r="L28" t="s">
        <v>18</v>
      </c>
    </row>
    <row r="29" spans="1:13">
      <c r="J29" s="17">
        <v>2027</v>
      </c>
      <c r="K29" s="18">
        <f>$K$23</f>
        <v>695538</v>
      </c>
      <c r="L29" s="18">
        <f>L24*(1+$E$16)</f>
        <v>182810.98505700103</v>
      </c>
    </row>
    <row r="30" spans="1:13">
      <c r="J30" s="17">
        <v>2028</v>
      </c>
      <c r="K30" s="18">
        <f t="shared" ref="K30:K33" si="2">$K$23</f>
        <v>695538</v>
      </c>
      <c r="L30" s="18">
        <f>L29*(1+$F$16)</f>
        <v>184605.88918127201</v>
      </c>
    </row>
    <row r="31" spans="1:13">
      <c r="J31" s="17">
        <v>2029</v>
      </c>
      <c r="K31" s="18">
        <f t="shared" si="2"/>
        <v>695538</v>
      </c>
      <c r="L31" s="18">
        <f>L30*1.01</f>
        <v>186451.94807308473</v>
      </c>
    </row>
    <row r="32" spans="1:13">
      <c r="J32" s="17">
        <v>2030</v>
      </c>
      <c r="K32" s="18">
        <f t="shared" si="2"/>
        <v>695538</v>
      </c>
      <c r="L32" s="18">
        <f t="shared" ref="L32:L33" si="3">L31*1.01</f>
        <v>188316.46755381557</v>
      </c>
    </row>
    <row r="33" spans="8:15">
      <c r="J33" s="17">
        <v>2031</v>
      </c>
      <c r="K33" s="18">
        <f t="shared" si="2"/>
        <v>695538</v>
      </c>
      <c r="L33" s="18">
        <f t="shared" si="3"/>
        <v>190199.63222935374</v>
      </c>
    </row>
    <row r="37" spans="8:15" s="4" customFormat="1" ht="34.5" customHeight="1">
      <c r="H37" s="24"/>
      <c r="I37" s="25"/>
      <c r="J37" s="28" t="s">
        <v>27</v>
      </c>
      <c r="K37" s="28" t="s">
        <v>28</v>
      </c>
      <c r="L37" s="28" t="s">
        <v>22</v>
      </c>
      <c r="N37" s="25"/>
    </row>
    <row r="38" spans="8:15" ht="24" customHeight="1">
      <c r="J38" s="29">
        <v>2027</v>
      </c>
      <c r="K38" s="30">
        <v>182810.98505700103</v>
      </c>
      <c r="L38" s="30">
        <v>695538</v>
      </c>
    </row>
    <row r="39" spans="8:15" ht="24" customHeight="1">
      <c r="J39" s="29">
        <v>2028</v>
      </c>
      <c r="K39" s="30">
        <v>184605.88918127201</v>
      </c>
      <c r="L39" s="30">
        <v>695538</v>
      </c>
    </row>
    <row r="40" spans="8:15" ht="24" customHeight="1">
      <c r="J40" s="29">
        <v>2029</v>
      </c>
      <c r="K40" s="30">
        <v>186451.94807308473</v>
      </c>
      <c r="L40" s="30">
        <v>695538</v>
      </c>
    </row>
    <row r="41" spans="8:15" ht="24" customHeight="1">
      <c r="J41" s="29">
        <v>2030</v>
      </c>
      <c r="K41" s="30">
        <v>188316.46755381557</v>
      </c>
      <c r="L41" s="30">
        <v>695538</v>
      </c>
    </row>
    <row r="42" spans="8:15" ht="24" customHeight="1">
      <c r="J42" s="29">
        <v>2031</v>
      </c>
      <c r="K42" s="30">
        <v>190199.63222935374</v>
      </c>
      <c r="L42" s="30">
        <v>695538</v>
      </c>
    </row>
    <row r="44" spans="8:15" ht="17">
      <c r="J44" s="21" t="s">
        <v>27</v>
      </c>
      <c r="K44" s="22">
        <v>2027</v>
      </c>
      <c r="L44" s="22">
        <v>2028</v>
      </c>
      <c r="M44" s="22">
        <v>2029</v>
      </c>
      <c r="N44" s="22">
        <v>2030</v>
      </c>
      <c r="O44" s="22">
        <v>2031</v>
      </c>
    </row>
    <row r="45" spans="8:15" ht="26.25" customHeight="1">
      <c r="J45" s="20" t="s">
        <v>22</v>
      </c>
      <c r="K45" s="23">
        <v>695538</v>
      </c>
      <c r="L45" s="23">
        <v>695538</v>
      </c>
      <c r="M45" s="23">
        <v>695538</v>
      </c>
      <c r="N45" s="23">
        <v>695538</v>
      </c>
      <c r="O45" s="23">
        <v>695538</v>
      </c>
    </row>
    <row r="46" spans="8:15" ht="26.25" customHeight="1">
      <c r="J46" s="20" t="s">
        <v>18</v>
      </c>
      <c r="K46" s="23">
        <v>182810.98505700103</v>
      </c>
      <c r="L46" s="23">
        <v>184605.88918127201</v>
      </c>
      <c r="M46" s="23">
        <v>186451.94807308473</v>
      </c>
      <c r="N46" s="23">
        <v>188316.46755381557</v>
      </c>
      <c r="O46" s="23">
        <v>190199.63222935374</v>
      </c>
    </row>
  </sheetData>
  <mergeCells count="4">
    <mergeCell ref="A13:F13"/>
    <mergeCell ref="A19:D19"/>
    <mergeCell ref="A7:C7"/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0E6DE-B6AE-4A59-B509-0733D8A05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3FD47C-D18B-49E2-B10D-F56EE5D62452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547ABD56-441A-47CA-8651-AE86300E8C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Cálculos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 Ponce</dc:creator>
  <cp:lastModifiedBy>Ronald Rivas</cp:lastModifiedBy>
  <dcterms:created xsi:type="dcterms:W3CDTF">2026-06-03T18:47:19Z</dcterms:created>
  <dcterms:modified xsi:type="dcterms:W3CDTF">2026-06-05T21:51:03Z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