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opalpr.sharepoint.com/sites/InformesAF2024/Shared Documents/👷‍♂️Informes Preliminares/P. de la C. 920/1. Datos/"/>
    </mc:Choice>
  </mc:AlternateContent>
  <xr:revisionPtr revIDLastSave="849" documentId="11_DF02EFA1350E6E2EA958962A61BA8ABC20A1F52A" xr6:coauthVersionLast="47" xr6:coauthVersionMax="47" xr10:uidLastSave="{43A42399-EB2D-4476-AEDC-54679D667E91}"/>
  <bookViews>
    <workbookView xWindow="21795" yWindow="-21600" windowWidth="26010" windowHeight="20985" activeTab="2" xr2:uid="{FDD19EEE-EF10-46F5-8A05-BB23E08B3925}"/>
  </bookViews>
  <sheets>
    <sheet name="Sheet1" sheetId="1" r:id="rId1"/>
    <sheet name="Ingresos" sheetId="3" r:id="rId2"/>
    <sheet name="Escenarios de Gasto" sheetId="2" r:id="rId3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  <c r="C12" i="2"/>
  <c r="G11" i="2"/>
  <c r="F11" i="2"/>
  <c r="E11" i="2"/>
  <c r="D11" i="2"/>
  <c r="C11" i="2"/>
  <c r="F20" i="2"/>
  <c r="E20" i="2"/>
  <c r="E19" i="2"/>
  <c r="E18" i="2"/>
  <c r="D20" i="2"/>
  <c r="D19" i="2"/>
  <c r="F19" i="2" s="1"/>
  <c r="D18" i="2"/>
  <c r="F18" i="2" s="1"/>
  <c r="C5" i="3"/>
  <c r="K5" i="1"/>
  <c r="K4" i="1"/>
  <c r="E13" i="1"/>
  <c r="C4" i="3"/>
  <c r="C3" i="3"/>
  <c r="H28" i="1"/>
  <c r="B4" i="3" s="1"/>
  <c r="I3" i="1"/>
  <c r="C32" i="1"/>
  <c r="D32" i="1" s="1"/>
  <c r="F60" i="1"/>
  <c r="F59" i="1"/>
  <c r="D27" i="1"/>
  <c r="D28" i="1"/>
  <c r="D29" i="1"/>
  <c r="D30" i="1"/>
  <c r="D26" i="1"/>
  <c r="B20" i="1"/>
  <c r="B19" i="1"/>
  <c r="B18" i="1"/>
  <c r="B17" i="1"/>
  <c r="D5" i="1"/>
  <c r="D6" i="1"/>
  <c r="D7" i="1"/>
  <c r="D8" i="1"/>
  <c r="D4" i="1"/>
  <c r="C16" i="1" s="1"/>
  <c r="E21" i="2" l="1"/>
  <c r="B5" i="3"/>
  <c r="D5" i="3" s="1"/>
  <c r="E5" i="3" s="1"/>
  <c r="F5" i="3" s="1"/>
  <c r="G5" i="3" s="1"/>
  <c r="I5" i="3" s="1"/>
  <c r="H26" i="1"/>
  <c r="B3" i="3" s="1"/>
  <c r="D3" i="3" s="1"/>
  <c r="D4" i="3"/>
  <c r="E4" i="3" s="1"/>
  <c r="F4" i="3" s="1"/>
  <c r="G4" i="3" s="1"/>
  <c r="I4" i="3" s="1"/>
  <c r="C18" i="1"/>
  <c r="C19" i="1"/>
  <c r="C20" i="1"/>
  <c r="L5" i="1"/>
  <c r="I28" i="1" s="1"/>
  <c r="J28" i="1" s="1"/>
  <c r="B21" i="1"/>
  <c r="F62" i="1" s="1"/>
  <c r="F63" i="1" s="1"/>
  <c r="C17" i="1"/>
  <c r="B9" i="3" l="1"/>
  <c r="B11" i="3"/>
  <c r="B10" i="3"/>
  <c r="C21" i="1"/>
  <c r="I26" i="1"/>
  <c r="J26" i="1" s="1"/>
  <c r="F13" i="1"/>
  <c r="G13" i="1" s="1"/>
  <c r="E3" i="3"/>
  <c r="F3" i="3" s="1"/>
  <c r="G3" i="3" s="1"/>
  <c r="C9" i="3" l="1"/>
  <c r="D9" i="3" s="1"/>
  <c r="C11" i="3"/>
  <c r="D11" i="3" s="1"/>
  <c r="C10" i="3"/>
  <c r="D10" i="3" s="1"/>
  <c r="D4" i="2"/>
  <c r="E4" i="2"/>
  <c r="G2" i="2"/>
  <c r="F4" i="2"/>
  <c r="C2" i="2"/>
  <c r="G4" i="2"/>
  <c r="C4" i="2"/>
  <c r="C3" i="2"/>
  <c r="D3" i="2"/>
  <c r="E3" i="2"/>
  <c r="F3" i="2"/>
  <c r="E2" i="2"/>
  <c r="G3" i="2"/>
  <c r="D2" i="2"/>
  <c r="F2" i="2"/>
  <c r="I3" i="3"/>
  <c r="D10" i="2" l="1"/>
  <c r="E10" i="2"/>
  <c r="F10" i="2"/>
  <c r="G10" i="2"/>
  <c r="C10" i="2"/>
  <c r="J10" i="2" s="1"/>
</calcChain>
</file>

<file path=xl/sharedStrings.xml><?xml version="1.0" encoding="utf-8"?>
<sst xmlns="http://schemas.openxmlformats.org/spreadsheetml/2006/main" count="187" uniqueCount="137">
  <si>
    <t>Clasificación y Retribución - Cuerpo de Oficiales Correccionales</t>
  </si>
  <si>
    <t>Titulo de la Clase</t>
  </si>
  <si>
    <t>Número de Escala</t>
  </si>
  <si>
    <t>min</t>
  </si>
  <si>
    <t>pto. Med.</t>
  </si>
  <si>
    <t>max</t>
  </si>
  <si>
    <t>Oficial Correccional</t>
  </si>
  <si>
    <t>Sargento</t>
  </si>
  <si>
    <t xml:space="preserve">Teniente Segundo </t>
  </si>
  <si>
    <t>Teniente Primero</t>
  </si>
  <si>
    <t>Capitán</t>
  </si>
  <si>
    <t>Puestos Ocupados</t>
  </si>
  <si>
    <t>Cadete Correccional</t>
  </si>
  <si>
    <t>Gasto Salarial Estimado</t>
  </si>
  <si>
    <t>TOTAL</t>
  </si>
  <si>
    <t>-</t>
  </si>
  <si>
    <t>Oficiales Correccionales en el DCR por titulo de clase</t>
  </si>
  <si>
    <t>Otros puestos en el DCR por titulo y clasificación</t>
  </si>
  <si>
    <t>Título de la clase</t>
  </si>
  <si>
    <t>Salario Min.</t>
  </si>
  <si>
    <t>Punto Medio</t>
  </si>
  <si>
    <t>Salario Máx.</t>
  </si>
  <si>
    <t>Psocólogo Clínico I</t>
  </si>
  <si>
    <t>Psocólogo Clínico II</t>
  </si>
  <si>
    <t>Trabajador(a) Social</t>
  </si>
  <si>
    <t>Trabajador(a) Social Principal</t>
  </si>
  <si>
    <t>Trabajador(a) Social Senior</t>
  </si>
  <si>
    <t>Escala Salarial</t>
  </si>
  <si>
    <t>Escenario 1</t>
  </si>
  <si>
    <t xml:space="preserve">Escenario </t>
  </si>
  <si>
    <t>Descripción</t>
  </si>
  <si>
    <t>Facilidades Correccionales</t>
  </si>
  <si>
    <t>Institucion</t>
  </si>
  <si>
    <t>Nivel de Seguridad</t>
  </si>
  <si>
    <t>Capacidad</t>
  </si>
  <si>
    <t>Clasificación</t>
  </si>
  <si>
    <t>Anexo Seguridad Máxima Bayamón 292</t>
  </si>
  <si>
    <t>Sentenciada</t>
  </si>
  <si>
    <t>Instituto de Bellas artes y Est. Universidarios</t>
  </si>
  <si>
    <t>Mín / Med</t>
  </si>
  <si>
    <t>C.I.D.C. 705 Bayamón</t>
  </si>
  <si>
    <t>Mín / Med / Máx</t>
  </si>
  <si>
    <t>Máx</t>
  </si>
  <si>
    <t>Sumariada</t>
  </si>
  <si>
    <t>Institución Correccional Bayamón 501</t>
  </si>
  <si>
    <t>Centro Detención de Bayamón 1072</t>
  </si>
  <si>
    <t>Complejo de Rehabilitación para Mujeres</t>
  </si>
  <si>
    <t>Mujeres / Sentenciada</t>
  </si>
  <si>
    <t>Hogar Intermedio para Mujeres (HIM)</t>
  </si>
  <si>
    <t>Mín</t>
  </si>
  <si>
    <t>Inst. Correccional Sabana Hoyos 728</t>
  </si>
  <si>
    <t>Inst. Correccional  Sábana Hoyos 216</t>
  </si>
  <si>
    <t>Centro de Tratamiento Residencial Arecibo</t>
  </si>
  <si>
    <t>Centro de Rehab. Y Nuevas Oportunidades</t>
  </si>
  <si>
    <t>Anexo Guayama 296</t>
  </si>
  <si>
    <t>Institución Correccional Guayama 500</t>
  </si>
  <si>
    <t>Inst. Máxima Seguridad Guayama 1000</t>
  </si>
  <si>
    <t>Institución Correccional Ponce Principal</t>
  </si>
  <si>
    <t xml:space="preserve">Mín / Med </t>
  </si>
  <si>
    <t>C.I.D.C. 676 Ponce</t>
  </si>
  <si>
    <t>Institución Máxima Seguridad Ponce</t>
  </si>
  <si>
    <t>Facilidad Médica Correccional Ponce 500</t>
  </si>
  <si>
    <t>Facilidad Médica</t>
  </si>
  <si>
    <t>Institución Adultos Ponce 1000</t>
  </si>
  <si>
    <t>Med / Máx</t>
  </si>
  <si>
    <t>Centro Tratamiento Social de Ponce</t>
  </si>
  <si>
    <t>Custodia  DCR</t>
  </si>
  <si>
    <t>Juvenil</t>
  </si>
  <si>
    <t>Centro Tratamiento Social de Villalba</t>
  </si>
  <si>
    <t>Custodia DCR</t>
  </si>
  <si>
    <t>Centor de Detención del Oeste (CDO)</t>
  </si>
  <si>
    <t>Institución Correccional Guerrero</t>
  </si>
  <si>
    <t>Capacidad total</t>
  </si>
  <si>
    <t>Oficiales Correccionales total</t>
  </si>
  <si>
    <t>prisoner/officer ratio</t>
  </si>
  <si>
    <t>Adultos en Instituciones</t>
  </si>
  <si>
    <t>Menores en Instituciones</t>
  </si>
  <si>
    <t>Costos de beneficios a empleados del DCR (Fringe Costs)</t>
  </si>
  <si>
    <t>Salarios</t>
  </si>
  <si>
    <t>Salarios y Beneficios Marginales</t>
  </si>
  <si>
    <t>FG</t>
  </si>
  <si>
    <t xml:space="preserve">Salarios </t>
  </si>
  <si>
    <t>Salarios Confianza</t>
  </si>
  <si>
    <t>Overtime</t>
  </si>
  <si>
    <t>Bono Navidad</t>
  </si>
  <si>
    <t>Seguro Salud</t>
  </si>
  <si>
    <t>Otros Beneficios</t>
  </si>
  <si>
    <t>early retirement benefits</t>
  </si>
  <si>
    <t>Benefits</t>
  </si>
  <si>
    <t>Parámetro de beneficios marginales en el DCR</t>
  </si>
  <si>
    <t>weighted average</t>
  </si>
  <si>
    <t>PLUS fringe costs</t>
  </si>
  <si>
    <t>gasto promedio estimado</t>
  </si>
  <si>
    <t>Costo promedio de emplear a un psicólogo</t>
  </si>
  <si>
    <t>Costo promedio de emplear a un trabajador social</t>
  </si>
  <si>
    <t>Nivel de Ingreso</t>
  </si>
  <si>
    <t>Tasa Efectiva Marginal</t>
  </si>
  <si>
    <t>Hasta 10,000</t>
  </si>
  <si>
    <t>10,001 a 12,500</t>
  </si>
  <si>
    <t>12,501 a 15,000</t>
  </si>
  <si>
    <t>15,001 a 20,000</t>
  </si>
  <si>
    <t>20,001 a 25,000</t>
  </si>
  <si>
    <t>25,001 a 30,000</t>
  </si>
  <si>
    <t>30,001 a 40,000</t>
  </si>
  <si>
    <t>40,001 a 50,000</t>
  </si>
  <si>
    <t>50,001 a 60,000</t>
  </si>
  <si>
    <t>60,001 a 70,000</t>
  </si>
  <si>
    <t>70,001 a 80,000</t>
  </si>
  <si>
    <t>Trabajador(a) Social 
Promedio</t>
  </si>
  <si>
    <t>Oficial Correccional 
Promedio</t>
  </si>
  <si>
    <t>Psicólogo(a) 
promedio</t>
  </si>
  <si>
    <t>Salario Promedio</t>
  </si>
  <si>
    <t>TEM</t>
  </si>
  <si>
    <t>Contribución Determinada</t>
  </si>
  <si>
    <t>Ingreso Personal Disponible</t>
  </si>
  <si>
    <t>Gasto en Bienes Tributables</t>
  </si>
  <si>
    <t>IVU Efectivo</t>
  </si>
  <si>
    <t>Ingresos al FG por individuo</t>
  </si>
  <si>
    <t>Escenario 2</t>
  </si>
  <si>
    <t>Escenario 3</t>
  </si>
  <si>
    <t>IVU</t>
  </si>
  <si>
    <t>NETO</t>
  </si>
  <si>
    <t>En general, se considera el costo de cumplimiento con la supervisión mínima establecida en la medida: 
(1) psicologo, (1) trabajador social y (2) Oficiales de Custodia</t>
  </si>
  <si>
    <t>100% de las facilidades</t>
  </si>
  <si>
    <t>50% de las facilidades</t>
  </si>
  <si>
    <t>1 facilidad</t>
  </si>
  <si>
    <t>Unitario</t>
  </si>
  <si>
    <t>Centro Médico Correccional (CMC)</t>
  </si>
  <si>
    <t>n/a</t>
  </si>
  <si>
    <t>Título de Puesto</t>
  </si>
  <si>
    <t>Título de puesto</t>
  </si>
  <si>
    <t>Beneficios Marginales</t>
  </si>
  <si>
    <t>Gasto Total</t>
  </si>
  <si>
    <t>Adopción del PRECC en 1 facilidad correccional</t>
  </si>
  <si>
    <t>Adopción del PRECC en 12 facilidades correccionales</t>
  </si>
  <si>
    <t>Adopción del PRECC en 24 facilidades correccionales</t>
  </si>
  <si>
    <t>Puestos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</si>
</sst>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-&quot;$&quot;* #,##0.0_-;\-&quot;$&quot;* #,##0.0_-;_-&quot;$&quot;* &quot;-&quot;??_-;_-@_-"/>
    <numFmt numFmtId="166" formatCode="0.0%"/>
    <numFmt numFmtId="169" formatCode="_-* #,##0_-;\-* #,##0_-;_-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0"/>
      <name val="Myriad pro condensed"/>
    </font>
    <font>
      <sz val="12"/>
      <color theme="1"/>
      <name val="Myriad pro condensed"/>
    </font>
    <font>
      <b/>
      <sz val="12"/>
      <color theme="0"/>
      <name val="Myriad Pro Condensed"/>
    </font>
    <font>
      <u/>
      <sz val="11"/>
      <color theme="1"/>
      <name val="Calibri"/>
      <family val="2"/>
      <scheme val="minor"/>
    </font>
    <font>
      <sz val="12"/>
      <color theme="1"/>
      <name val="Myriad pro condensed 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94A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4" fillId="0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wrapText="1"/>
    </xf>
    <xf numFmtId="164" fontId="0" fillId="0" borderId="2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164" fontId="0" fillId="0" borderId="0" xfId="1" applyNumberFormat="1" applyFont="1"/>
    <xf numFmtId="4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Border="1" applyAlignment="1">
      <alignment wrapText="1"/>
    </xf>
    <xf numFmtId="0" fontId="5" fillId="3" borderId="0" xfId="0" applyFont="1" applyFill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65" fontId="6" fillId="0" borderId="0" xfId="1" applyNumberFormat="1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6" fontId="6" fillId="0" borderId="1" xfId="3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169" fontId="0" fillId="0" borderId="0" xfId="2" applyNumberFormat="1" applyFont="1" applyFill="1" applyBorder="1" applyAlignment="1">
      <alignment horizontal="center" vertical="center"/>
    </xf>
    <xf numFmtId="169" fontId="0" fillId="0" borderId="0" xfId="2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5" fontId="6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194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3"/>
  <sheetViews>
    <sheetView topLeftCell="A21" workbookViewId="0">
      <selection activeCell="E32" sqref="E32"/>
    </sheetView>
  </sheetViews>
  <sheetFormatPr defaultRowHeight="14.25"/>
  <cols>
    <col min="1" max="1" width="15.06640625" customWidth="1"/>
    <col min="3" max="3" width="12.9296875" bestFit="1" customWidth="1"/>
    <col min="4" max="4" width="10.86328125" bestFit="1" customWidth="1"/>
    <col min="5" max="5" width="14.1328125" bestFit="1" customWidth="1"/>
    <col min="6" max="6" width="16.265625" customWidth="1"/>
    <col min="8" max="8" width="13.19921875" customWidth="1"/>
    <col min="9" max="9" width="15.3984375" bestFit="1" customWidth="1"/>
    <col min="11" max="11" width="12.9296875" bestFit="1" customWidth="1"/>
  </cols>
  <sheetData>
    <row r="1" spans="1:12">
      <c r="A1" s="1" t="s">
        <v>0</v>
      </c>
      <c r="H1" s="1" t="s">
        <v>77</v>
      </c>
    </row>
    <row r="2" spans="1:12">
      <c r="A2" s="1"/>
      <c r="I2" t="s">
        <v>80</v>
      </c>
    </row>
    <row r="3" spans="1:12" ht="5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H3" s="22" t="s">
        <v>79</v>
      </c>
      <c r="I3" s="31">
        <f>SUM(I4:I10)</f>
        <v>249141000</v>
      </c>
    </row>
    <row r="4" spans="1:12" s="2" customFormat="1" ht="29.35" customHeight="1">
      <c r="A4" s="5" t="s">
        <v>6</v>
      </c>
      <c r="B4" s="5">
        <v>1</v>
      </c>
      <c r="C4" s="6">
        <v>28200</v>
      </c>
      <c r="D4" s="6">
        <f>SUM(C4,E4)/2</f>
        <v>32160</v>
      </c>
      <c r="E4" s="6">
        <v>36120</v>
      </c>
      <c r="G4"/>
      <c r="H4" s="27" t="s">
        <v>81</v>
      </c>
      <c r="I4" s="30">
        <v>201115000</v>
      </c>
      <c r="J4" s="30" t="s">
        <v>78</v>
      </c>
      <c r="K4" s="30">
        <f>SUM(I4:I5)</f>
        <v>201715000</v>
      </c>
      <c r="L4" s="35" t="s">
        <v>89</v>
      </c>
    </row>
    <row r="5" spans="1:12" s="2" customFormat="1" ht="29.35" customHeight="1">
      <c r="A5" s="5" t="s">
        <v>7</v>
      </c>
      <c r="B5" s="5">
        <v>2</v>
      </c>
      <c r="C5" s="6">
        <v>31020</v>
      </c>
      <c r="D5" s="6">
        <f t="shared" ref="D5:D8" si="0">SUM(C5,E5)/2</f>
        <v>35970</v>
      </c>
      <c r="E5" s="6">
        <v>40920</v>
      </c>
      <c r="G5"/>
      <c r="H5" s="27" t="s">
        <v>82</v>
      </c>
      <c r="I5" s="30">
        <v>600000</v>
      </c>
      <c r="J5" s="30" t="s">
        <v>88</v>
      </c>
      <c r="K5" s="30">
        <f>SUM(I6:I10)</f>
        <v>47426000</v>
      </c>
      <c r="L5" s="36">
        <f>K5/K4</f>
        <v>0.23511389832188981</v>
      </c>
    </row>
    <row r="6" spans="1:12" s="2" customFormat="1" ht="29.35" customHeight="1">
      <c r="A6" s="5" t="s">
        <v>8</v>
      </c>
      <c r="B6" s="5">
        <v>3</v>
      </c>
      <c r="C6" s="6">
        <v>34128</v>
      </c>
      <c r="D6" s="6">
        <f t="shared" si="0"/>
        <v>40728</v>
      </c>
      <c r="E6" s="6">
        <v>47328</v>
      </c>
      <c r="G6"/>
      <c r="H6" s="27" t="s">
        <v>83</v>
      </c>
      <c r="I6" s="30">
        <v>11000000</v>
      </c>
      <c r="J6" s="30"/>
      <c r="K6" s="30"/>
    </row>
    <row r="7" spans="1:12" s="2" customFormat="1" ht="29.35" customHeight="1">
      <c r="A7" s="5" t="s">
        <v>9</v>
      </c>
      <c r="B7" s="5">
        <v>4</v>
      </c>
      <c r="C7" s="6">
        <v>37548</v>
      </c>
      <c r="D7" s="6">
        <f t="shared" si="0"/>
        <v>45798</v>
      </c>
      <c r="E7" s="6">
        <v>54048</v>
      </c>
      <c r="G7"/>
      <c r="H7" s="27" t="s">
        <v>84</v>
      </c>
      <c r="I7" s="30">
        <v>0</v>
      </c>
      <c r="J7" s="30"/>
      <c r="K7" s="30"/>
    </row>
    <row r="8" spans="1:12" s="2" customFormat="1" ht="29.35" customHeight="1">
      <c r="A8" s="5" t="s">
        <v>10</v>
      </c>
      <c r="B8" s="5">
        <v>5</v>
      </c>
      <c r="C8" s="6">
        <v>41304</v>
      </c>
      <c r="D8" s="6">
        <f t="shared" si="0"/>
        <v>49554</v>
      </c>
      <c r="E8" s="6">
        <v>57804</v>
      </c>
      <c r="G8"/>
      <c r="H8" s="25" t="s">
        <v>85</v>
      </c>
      <c r="I8" s="30">
        <v>10111000</v>
      </c>
      <c r="J8" s="30"/>
      <c r="K8" s="30"/>
    </row>
    <row r="9" spans="1:12" s="2" customFormat="1" ht="29.35" customHeight="1">
      <c r="A9" s="28"/>
      <c r="B9" s="28"/>
      <c r="C9" s="29"/>
      <c r="D9" s="29"/>
      <c r="E9" s="29"/>
      <c r="G9"/>
      <c r="H9" s="27" t="s">
        <v>86</v>
      </c>
      <c r="I9" s="30">
        <v>21815000</v>
      </c>
      <c r="J9" s="30"/>
      <c r="K9" s="30"/>
    </row>
    <row r="10" spans="1:12" s="2" customFormat="1" ht="42.75">
      <c r="A10" s="28"/>
      <c r="B10" s="28"/>
      <c r="C10" s="29"/>
      <c r="D10" s="29"/>
      <c r="G10"/>
      <c r="H10" s="27" t="s">
        <v>87</v>
      </c>
      <c r="I10" s="30">
        <v>4500000</v>
      </c>
      <c r="J10" s="30"/>
      <c r="K10" s="30"/>
    </row>
    <row r="12" spans="1:12">
      <c r="A12" s="3" t="s">
        <v>16</v>
      </c>
      <c r="E12" t="s">
        <v>90</v>
      </c>
      <c r="F12" t="s">
        <v>91</v>
      </c>
      <c r="G12" s="33" t="s">
        <v>92</v>
      </c>
    </row>
    <row r="13" spans="1:12">
      <c r="E13" s="8">
        <f>SUMPRODUCT(D4:D8,B16:B20)/SUM(B16:B20)</f>
        <v>32882.885674547986</v>
      </c>
      <c r="F13" s="32">
        <f>E13*L5</f>
        <v>7731.223439016002</v>
      </c>
      <c r="G13" s="34">
        <f>SUM(E13:F13)</f>
        <v>40614.109113563987</v>
      </c>
    </row>
    <row r="14" spans="1:12" ht="28.5">
      <c r="A14" s="4" t="s">
        <v>1</v>
      </c>
      <c r="B14" s="4" t="s">
        <v>11</v>
      </c>
      <c r="C14" s="4" t="s">
        <v>13</v>
      </c>
    </row>
    <row r="15" spans="1:12" ht="28.5" customHeight="1">
      <c r="A15" s="5" t="s">
        <v>12</v>
      </c>
      <c r="B15" s="5">
        <v>5</v>
      </c>
      <c r="C15" s="5" t="s">
        <v>15</v>
      </c>
    </row>
    <row r="16" spans="1:12" ht="28.5" customHeight="1">
      <c r="A16" s="5" t="s">
        <v>6</v>
      </c>
      <c r="B16" s="5">
        <v>3227</v>
      </c>
      <c r="C16" s="7">
        <f>B16*D4</f>
        <v>103780320</v>
      </c>
      <c r="D16" s="8"/>
    </row>
    <row r="17" spans="1:10" ht="29.35" customHeight="1">
      <c r="A17" s="5" t="s">
        <v>7</v>
      </c>
      <c r="B17" s="5">
        <f>164+2+8+6+2+10+5</f>
        <v>197</v>
      </c>
      <c r="C17" s="7">
        <f>B17*D5</f>
        <v>7086090</v>
      </c>
    </row>
    <row r="18" spans="1:10" ht="29.35" customHeight="1">
      <c r="A18" s="5" t="s">
        <v>8</v>
      </c>
      <c r="B18" s="5">
        <f>93+2+7+1+1+6+1</f>
        <v>111</v>
      </c>
      <c r="C18" s="7">
        <f>B18*D6</f>
        <v>4520808</v>
      </c>
    </row>
    <row r="19" spans="1:10" ht="29.35" customHeight="1">
      <c r="A19" s="5" t="s">
        <v>9</v>
      </c>
      <c r="B19" s="5">
        <f>33+3+1+2</f>
        <v>39</v>
      </c>
      <c r="C19" s="7">
        <f>B19*D7</f>
        <v>1786122</v>
      </c>
    </row>
    <row r="20" spans="1:10" ht="29.35" customHeight="1">
      <c r="A20" s="5" t="s">
        <v>10</v>
      </c>
      <c r="B20" s="5">
        <f>18+2+1</f>
        <v>21</v>
      </c>
      <c r="C20" s="7">
        <f>B20*D8</f>
        <v>1040634</v>
      </c>
    </row>
    <row r="21" spans="1:10">
      <c r="A21" s="5" t="s">
        <v>14</v>
      </c>
      <c r="B21" s="9">
        <f>SUM(B15:B20)</f>
        <v>3600</v>
      </c>
      <c r="C21" s="10">
        <f>SUM(C15:C20)</f>
        <v>118213974</v>
      </c>
      <c r="D21" s="32"/>
    </row>
    <row r="23" spans="1:10">
      <c r="A23" s="11" t="s">
        <v>17</v>
      </c>
    </row>
    <row r="24" spans="1:10" ht="14.65" thickBot="1"/>
    <row r="25" spans="1:10" ht="85.5">
      <c r="A25" s="4" t="s">
        <v>18</v>
      </c>
      <c r="B25" s="4" t="s">
        <v>11</v>
      </c>
      <c r="C25" s="4" t="s">
        <v>27</v>
      </c>
      <c r="D25" s="12" t="s">
        <v>13</v>
      </c>
      <c r="E25" s="14" t="s">
        <v>19</v>
      </c>
      <c r="F25" s="15" t="s">
        <v>20</v>
      </c>
      <c r="G25" s="16" t="s">
        <v>21</v>
      </c>
      <c r="J25" s="37" t="s">
        <v>93</v>
      </c>
    </row>
    <row r="26" spans="1:10" ht="28.5">
      <c r="A26" s="5" t="s">
        <v>22</v>
      </c>
      <c r="B26" s="5">
        <v>1</v>
      </c>
      <c r="C26" s="5">
        <v>12</v>
      </c>
      <c r="D26" s="13">
        <f>F26*B26</f>
        <v>55400</v>
      </c>
      <c r="E26" s="17">
        <v>44300</v>
      </c>
      <c r="F26" s="7">
        <v>55400</v>
      </c>
      <c r="G26" s="18">
        <v>66500</v>
      </c>
      <c r="H26" s="8">
        <f>SUMPRODUCT(D26:D27,B26:B27)/SUM(B26:B27)</f>
        <v>58150</v>
      </c>
      <c r="I26" s="32">
        <f>H26*$L$5</f>
        <v>13671.873187417892</v>
      </c>
      <c r="J26" s="34">
        <f>SUM(H26:I26)</f>
        <v>71821.873187417892</v>
      </c>
    </row>
    <row r="27" spans="1:10" ht="28.5">
      <c r="A27" s="5" t="s">
        <v>23</v>
      </c>
      <c r="B27" s="5">
        <v>1</v>
      </c>
      <c r="C27" s="5">
        <v>13</v>
      </c>
      <c r="D27" s="13">
        <f t="shared" ref="D27:D30" si="1">F27*B27</f>
        <v>60900</v>
      </c>
      <c r="E27" s="17">
        <v>48700</v>
      </c>
      <c r="F27" s="7">
        <v>60900</v>
      </c>
      <c r="G27" s="18">
        <v>73100</v>
      </c>
      <c r="H27" s="8"/>
      <c r="I27" s="32"/>
      <c r="J27" s="34" t="s">
        <v>94</v>
      </c>
    </row>
    <row r="28" spans="1:10" ht="28.5">
      <c r="A28" s="5" t="s">
        <v>24</v>
      </c>
      <c r="B28" s="5">
        <v>13</v>
      </c>
      <c r="C28" s="5">
        <v>6</v>
      </c>
      <c r="D28" s="13">
        <f t="shared" si="1"/>
        <v>444600</v>
      </c>
      <c r="E28" s="17">
        <v>28500</v>
      </c>
      <c r="F28" s="7">
        <v>34200</v>
      </c>
      <c r="G28" s="18">
        <v>39900</v>
      </c>
      <c r="H28" s="8">
        <f>SUMPRODUCT(F28:F30,B28:B30)/SUM(B28:B30)</f>
        <v>37336.84210526316</v>
      </c>
      <c r="I28" s="32">
        <f>H28*$L$5</f>
        <v>8778.4104983972975</v>
      </c>
      <c r="J28" s="34">
        <f t="shared" ref="J27:J28" si="2">SUM(H28:I28)</f>
        <v>46115.252603660454</v>
      </c>
    </row>
    <row r="29" spans="1:10" ht="42.75">
      <c r="A29" s="5" t="s">
        <v>25</v>
      </c>
      <c r="B29" s="5">
        <v>23</v>
      </c>
      <c r="C29" s="5">
        <v>8</v>
      </c>
      <c r="D29" s="13">
        <f t="shared" si="1"/>
        <v>910800</v>
      </c>
      <c r="E29" s="17">
        <v>33000</v>
      </c>
      <c r="F29" s="7">
        <v>39600</v>
      </c>
      <c r="G29" s="18">
        <v>46200</v>
      </c>
    </row>
    <row r="30" spans="1:10" ht="28.9" thickBot="1">
      <c r="A30" s="5" t="s">
        <v>26</v>
      </c>
      <c r="B30" s="5">
        <v>21</v>
      </c>
      <c r="C30" s="5">
        <v>7</v>
      </c>
      <c r="D30" s="13">
        <f t="shared" si="1"/>
        <v>772800</v>
      </c>
      <c r="E30" s="19">
        <v>30600</v>
      </c>
      <c r="F30" s="20">
        <v>36800</v>
      </c>
      <c r="G30" s="21">
        <v>4300</v>
      </c>
    </row>
    <row r="31" spans="1:10">
      <c r="C31" s="49">
        <v>1</v>
      </c>
      <c r="D31" s="49">
        <v>0.5</v>
      </c>
      <c r="E31" t="s">
        <v>126</v>
      </c>
    </row>
    <row r="32" spans="1:10">
      <c r="A32" s="23" t="s">
        <v>31</v>
      </c>
      <c r="C32">
        <f>COUNT(D35:D58)</f>
        <v>24</v>
      </c>
      <c r="D32" s="47">
        <f>ROUNDUP((C32*0.5),0)</f>
        <v>12</v>
      </c>
      <c r="E32" s="48">
        <v>1</v>
      </c>
    </row>
    <row r="34" spans="1:4" ht="28.5">
      <c r="A34" s="4" t="s">
        <v>32</v>
      </c>
      <c r="B34" s="4" t="s">
        <v>33</v>
      </c>
      <c r="C34" s="4" t="s">
        <v>35</v>
      </c>
      <c r="D34" s="4" t="s">
        <v>34</v>
      </c>
    </row>
    <row r="35" spans="1:4" ht="42.75">
      <c r="A35" s="5" t="s">
        <v>36</v>
      </c>
      <c r="B35" s="5" t="s">
        <v>42</v>
      </c>
      <c r="C35" s="5" t="s">
        <v>37</v>
      </c>
      <c r="D35" s="5">
        <v>292</v>
      </c>
    </row>
    <row r="36" spans="1:4" ht="42.75">
      <c r="A36" s="5" t="s">
        <v>38</v>
      </c>
      <c r="B36" s="5" t="s">
        <v>39</v>
      </c>
      <c r="C36" s="5" t="s">
        <v>37</v>
      </c>
      <c r="D36" s="5">
        <v>110</v>
      </c>
    </row>
    <row r="37" spans="1:4" ht="42.75">
      <c r="A37" s="5" t="s">
        <v>40</v>
      </c>
      <c r="B37" s="5" t="s">
        <v>41</v>
      </c>
      <c r="C37" s="5" t="s">
        <v>43</v>
      </c>
      <c r="D37" s="5">
        <v>705</v>
      </c>
    </row>
    <row r="38" spans="1:4" ht="42.75">
      <c r="A38" s="5" t="s">
        <v>44</v>
      </c>
      <c r="B38" s="5" t="s">
        <v>41</v>
      </c>
      <c r="C38" s="5" t="s">
        <v>37</v>
      </c>
      <c r="D38" s="5">
        <v>516</v>
      </c>
    </row>
    <row r="39" spans="1:4" ht="28.5">
      <c r="A39" s="5" t="s">
        <v>45</v>
      </c>
      <c r="B39" s="5" t="s">
        <v>39</v>
      </c>
      <c r="C39" s="5" t="s">
        <v>37</v>
      </c>
      <c r="D39" s="5">
        <v>1112</v>
      </c>
    </row>
    <row r="40" spans="1:4" ht="42.75">
      <c r="A40" s="5" t="s">
        <v>46</v>
      </c>
      <c r="B40" s="5" t="s">
        <v>41</v>
      </c>
      <c r="C40" s="5" t="s">
        <v>47</v>
      </c>
      <c r="D40" s="5">
        <v>374</v>
      </c>
    </row>
    <row r="41" spans="1:4" ht="42.75">
      <c r="A41" s="5" t="s">
        <v>127</v>
      </c>
      <c r="B41" s="5" t="s">
        <v>128</v>
      </c>
      <c r="C41" s="5" t="s">
        <v>62</v>
      </c>
      <c r="D41" s="5">
        <v>184</v>
      </c>
    </row>
    <row r="42" spans="1:4" ht="42.75">
      <c r="A42" s="5" t="s">
        <v>48</v>
      </c>
      <c r="B42" s="5" t="s">
        <v>49</v>
      </c>
      <c r="C42" s="5" t="s">
        <v>47</v>
      </c>
      <c r="D42" s="5">
        <v>45</v>
      </c>
    </row>
    <row r="43" spans="1:4" ht="42.75">
      <c r="A43" s="5" t="s">
        <v>50</v>
      </c>
      <c r="B43" s="5" t="s">
        <v>39</v>
      </c>
      <c r="C43" s="5" t="s">
        <v>37</v>
      </c>
      <c r="D43" s="5">
        <v>728</v>
      </c>
    </row>
    <row r="44" spans="1:4" ht="42.75">
      <c r="A44" s="5" t="s">
        <v>51</v>
      </c>
      <c r="B44" s="5" t="s">
        <v>49</v>
      </c>
      <c r="C44" s="5" t="s">
        <v>37</v>
      </c>
      <c r="D44" s="5">
        <v>216</v>
      </c>
    </row>
    <row r="45" spans="1:4" ht="57">
      <c r="A45" s="5" t="s">
        <v>52</v>
      </c>
      <c r="B45" s="5" t="s">
        <v>49</v>
      </c>
      <c r="C45" s="5" t="s">
        <v>37</v>
      </c>
      <c r="D45" s="5">
        <v>100</v>
      </c>
    </row>
    <row r="46" spans="1:4" ht="42.75">
      <c r="A46" s="5" t="s">
        <v>53</v>
      </c>
      <c r="B46" s="5" t="s">
        <v>49</v>
      </c>
      <c r="C46" s="5" t="s">
        <v>37</v>
      </c>
      <c r="D46" s="5">
        <v>30</v>
      </c>
    </row>
    <row r="47" spans="1:4" ht="28.5">
      <c r="A47" s="5" t="s">
        <v>54</v>
      </c>
      <c r="B47" s="5" t="s">
        <v>42</v>
      </c>
      <c r="C47" s="5" t="s">
        <v>37</v>
      </c>
      <c r="D47" s="5">
        <v>296</v>
      </c>
    </row>
    <row r="48" spans="1:4" ht="42.75">
      <c r="A48" s="5" t="s">
        <v>55</v>
      </c>
      <c r="B48" s="5" t="s">
        <v>41</v>
      </c>
      <c r="C48" s="5" t="s">
        <v>37</v>
      </c>
      <c r="D48" s="5">
        <v>516</v>
      </c>
    </row>
    <row r="49" spans="1:6" ht="42.75">
      <c r="A49" s="5" t="s">
        <v>56</v>
      </c>
      <c r="B49" s="5" t="s">
        <v>42</v>
      </c>
      <c r="C49" s="5" t="s">
        <v>37</v>
      </c>
      <c r="D49" s="5">
        <v>807</v>
      </c>
    </row>
    <row r="50" spans="1:6" s="46" customFormat="1" ht="42.75">
      <c r="A50" s="45" t="s">
        <v>57</v>
      </c>
      <c r="B50" s="45" t="s">
        <v>58</v>
      </c>
      <c r="C50" s="45" t="s">
        <v>37</v>
      </c>
      <c r="D50" s="45">
        <v>534</v>
      </c>
    </row>
    <row r="51" spans="1:6" ht="42.75">
      <c r="A51" s="5" t="s">
        <v>59</v>
      </c>
      <c r="B51" s="5" t="s">
        <v>41</v>
      </c>
      <c r="C51" s="5" t="s">
        <v>43</v>
      </c>
      <c r="D51" s="5">
        <v>676</v>
      </c>
    </row>
    <row r="52" spans="1:6" ht="42.75">
      <c r="A52" s="5" t="s">
        <v>60</v>
      </c>
      <c r="B52" s="5" t="s">
        <v>42</v>
      </c>
      <c r="C52" s="5" t="s">
        <v>37</v>
      </c>
      <c r="D52" s="5">
        <v>420</v>
      </c>
    </row>
    <row r="53" spans="1:6" ht="42.75">
      <c r="A53" s="5" t="s">
        <v>61</v>
      </c>
      <c r="B53" s="5" t="s">
        <v>39</v>
      </c>
      <c r="C53" s="5" t="s">
        <v>62</v>
      </c>
      <c r="D53" s="5">
        <v>486</v>
      </c>
    </row>
    <row r="54" spans="1:6" ht="42.75">
      <c r="A54" s="5" t="s">
        <v>63</v>
      </c>
      <c r="B54" s="5" t="s">
        <v>64</v>
      </c>
      <c r="C54" s="5" t="s">
        <v>37</v>
      </c>
      <c r="D54" s="5">
        <v>831</v>
      </c>
    </row>
    <row r="55" spans="1:6" ht="42.75">
      <c r="A55" s="5" t="s">
        <v>65</v>
      </c>
      <c r="B55" s="5" t="s">
        <v>66</v>
      </c>
      <c r="C55" s="5" t="s">
        <v>67</v>
      </c>
      <c r="D55" s="5">
        <v>1.0000000000000001E-18</v>
      </c>
    </row>
    <row r="56" spans="1:6" ht="42.75">
      <c r="A56" s="5" t="s">
        <v>68</v>
      </c>
      <c r="B56" s="5" t="s">
        <v>69</v>
      </c>
      <c r="C56" s="5" t="s">
        <v>67</v>
      </c>
      <c r="D56" s="5">
        <v>1.0000000000000001E-18</v>
      </c>
    </row>
    <row r="57" spans="1:6" ht="42.75">
      <c r="A57" s="5" t="s">
        <v>70</v>
      </c>
      <c r="B57" s="5" t="s">
        <v>64</v>
      </c>
      <c r="C57" s="5" t="s">
        <v>37</v>
      </c>
      <c r="D57" s="5">
        <v>546</v>
      </c>
    </row>
    <row r="58" spans="1:6" ht="42.75">
      <c r="A58" s="5" t="s">
        <v>71</v>
      </c>
      <c r="B58" s="5" t="s">
        <v>41</v>
      </c>
      <c r="C58" s="5" t="s">
        <v>37</v>
      </c>
      <c r="D58" s="5">
        <v>1000</v>
      </c>
    </row>
    <row r="59" spans="1:6">
      <c r="E59" t="s">
        <v>72</v>
      </c>
      <c r="F59">
        <f>SUM(D35:D58)</f>
        <v>10524</v>
      </c>
    </row>
    <row r="60" spans="1:6">
      <c r="E60" t="s">
        <v>75</v>
      </c>
      <c r="F60" s="26">
        <f>7141-32</f>
        <v>7109</v>
      </c>
    </row>
    <row r="61" spans="1:6">
      <c r="E61" t="s">
        <v>76</v>
      </c>
      <c r="F61">
        <v>79</v>
      </c>
    </row>
    <row r="62" spans="1:6">
      <c r="E62" t="s">
        <v>73</v>
      </c>
      <c r="F62">
        <f>B21</f>
        <v>3600</v>
      </c>
    </row>
    <row r="63" spans="1:6">
      <c r="E63" t="s">
        <v>74</v>
      </c>
      <c r="F63">
        <f>F59/F62</f>
        <v>2.9233333333333333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919E-544C-49E1-BCD2-C74093B6D716}">
  <dimension ref="A2:J29"/>
  <sheetViews>
    <sheetView workbookViewId="0">
      <selection activeCell="D9" sqref="D9"/>
    </sheetView>
  </sheetViews>
  <sheetFormatPr defaultRowHeight="14.25"/>
  <cols>
    <col min="1" max="1" width="16.19921875" customWidth="1"/>
    <col min="2" max="2" width="15.53125" customWidth="1"/>
    <col min="3" max="3" width="11" customWidth="1"/>
    <col min="4" max="6" width="10.86328125" bestFit="1" customWidth="1"/>
    <col min="7" max="7" width="9.86328125" bestFit="1" customWidth="1"/>
    <col min="9" max="9" width="9.86328125" bestFit="1" customWidth="1"/>
    <col min="10" max="10" width="10.86328125" bestFit="1" customWidth="1"/>
  </cols>
  <sheetData>
    <row r="2" spans="1:10" ht="30">
      <c r="A2" s="42" t="s">
        <v>129</v>
      </c>
      <c r="B2" s="42" t="s">
        <v>111</v>
      </c>
      <c r="C2" s="42" t="s">
        <v>112</v>
      </c>
      <c r="D2" t="s">
        <v>113</v>
      </c>
      <c r="E2" t="s">
        <v>114</v>
      </c>
      <c r="F2" t="s">
        <v>115</v>
      </c>
      <c r="G2" t="s">
        <v>116</v>
      </c>
      <c r="I2" t="s">
        <v>117</v>
      </c>
    </row>
    <row r="3" spans="1:10" ht="47.35" customHeight="1">
      <c r="A3" s="50" t="s">
        <v>110</v>
      </c>
      <c r="B3" s="51">
        <f>Sheet1!H26</f>
        <v>58150</v>
      </c>
      <c r="C3" s="52">
        <f>B27</f>
        <v>7.2261965659919394E-2</v>
      </c>
      <c r="D3" s="32">
        <f>B3*C3</f>
        <v>4202.0333031243126</v>
      </c>
      <c r="E3" s="32">
        <f>B3-D3</f>
        <v>53947.966696875686</v>
      </c>
      <c r="F3" s="32">
        <f>E3*0.4</f>
        <v>21579.186678750277</v>
      </c>
      <c r="G3" s="32">
        <f>F3*0.08</f>
        <v>1726.3349343000223</v>
      </c>
      <c r="I3" s="32">
        <f>SUM(G3,D3)</f>
        <v>5928.3682374243344</v>
      </c>
      <c r="J3" s="32"/>
    </row>
    <row r="4" spans="1:10" ht="47.35" customHeight="1">
      <c r="A4" s="50" t="s">
        <v>108</v>
      </c>
      <c r="B4" s="51">
        <f>Sheet1!H28</f>
        <v>37336.84210526316</v>
      </c>
      <c r="C4" s="52">
        <f>B25</f>
        <v>4.0388852786135597E-2</v>
      </c>
      <c r="D4" s="32">
        <f t="shared" ref="D4:D5" si="0">B4*C4</f>
        <v>1507.9922192886629</v>
      </c>
      <c r="E4" s="32">
        <f t="shared" ref="E4:E5" si="1">B4-D4</f>
        <v>35828.849885974494</v>
      </c>
      <c r="F4" s="32">
        <f t="shared" ref="F4:F5" si="2">E4*0.4</f>
        <v>14331.539954389798</v>
      </c>
      <c r="G4" s="32">
        <f t="shared" ref="G4:G5" si="3">F4*0.08</f>
        <v>1146.523196351184</v>
      </c>
      <c r="I4" s="32">
        <f t="shared" ref="I4:I5" si="4">SUM(G4,D4)</f>
        <v>2654.5154156398467</v>
      </c>
      <c r="J4" s="32"/>
    </row>
    <row r="5" spans="1:10" ht="47.35" customHeight="1">
      <c r="A5" s="50" t="s">
        <v>109</v>
      </c>
      <c r="B5" s="51">
        <f>Sheet1!E13</f>
        <v>32882.885674547986</v>
      </c>
      <c r="C5" s="52">
        <f>B25</f>
        <v>4.0388852786135597E-2</v>
      </c>
      <c r="D5" s="32">
        <f t="shared" si="0"/>
        <v>1328.1020286926457</v>
      </c>
      <c r="E5" s="32">
        <f t="shared" si="1"/>
        <v>31554.783645855339</v>
      </c>
      <c r="F5" s="32">
        <f t="shared" si="2"/>
        <v>12621.913458342136</v>
      </c>
      <c r="G5" s="32">
        <f t="shared" si="3"/>
        <v>1009.7530766673709</v>
      </c>
      <c r="I5" s="32">
        <f t="shared" si="4"/>
        <v>2337.8551053600168</v>
      </c>
      <c r="J5" s="32"/>
    </row>
    <row r="8" spans="1:10">
      <c r="A8" s="9"/>
      <c r="B8" s="9" t="s">
        <v>113</v>
      </c>
      <c r="C8" s="9" t="s">
        <v>120</v>
      </c>
      <c r="D8" s="9" t="s">
        <v>14</v>
      </c>
    </row>
    <row r="9" spans="1:10">
      <c r="A9" s="9" t="s">
        <v>28</v>
      </c>
      <c r="B9" s="10">
        <f>SUM(D3:D4)+(2*D5)</f>
        <v>8366.2295797982679</v>
      </c>
      <c r="C9" s="10">
        <f>(1*SUM(G3:G4))+(2*G5)</f>
        <v>4892.3642839859476</v>
      </c>
      <c r="D9" s="10">
        <f>SUM(B9:C9)</f>
        <v>13258.593863784216</v>
      </c>
    </row>
    <row r="10" spans="1:10">
      <c r="A10" s="9" t="s">
        <v>118</v>
      </c>
      <c r="B10" s="10">
        <f>(Sheet1!$D$32*SUM($D$3:$D$4))+(2*Sheet1!$D$32*$D$5)</f>
        <v>100394.75495757921</v>
      </c>
      <c r="C10" s="10">
        <f>(Sheet1!$D$32*SUM($G$3:$G$4))+(2*Sheet1!$D$32*$G$5)</f>
        <v>58708.371407831379</v>
      </c>
      <c r="D10" s="10">
        <f t="shared" ref="D10:D11" si="5">SUM(B10:C10)</f>
        <v>159103.12636541057</v>
      </c>
    </row>
    <row r="11" spans="1:10">
      <c r="A11" s="9" t="s">
        <v>119</v>
      </c>
      <c r="B11" s="10">
        <f>(Sheet1!$C$32*SUM($D$3:$D$4))+(2*Sheet1!$C$32*$D$5)</f>
        <v>200789.50991515841</v>
      </c>
      <c r="C11" s="10">
        <f>(Sheet1!$C$32*SUM($G$3:$G$4))+(2*Sheet1!$C$32*$G$5)</f>
        <v>117416.74281566276</v>
      </c>
      <c r="D11" s="10">
        <f>SUM(B11:C11)</f>
        <v>318206.25273082114</v>
      </c>
    </row>
    <row r="18" spans="1:2" ht="45">
      <c r="A18" s="42" t="s">
        <v>95</v>
      </c>
      <c r="B18" s="42" t="s">
        <v>96</v>
      </c>
    </row>
    <row r="19" spans="1:2" ht="15">
      <c r="A19" s="43" t="s">
        <v>97</v>
      </c>
      <c r="B19" s="44">
        <v>2.4344270772680698E-3</v>
      </c>
    </row>
    <row r="20" spans="1:2" ht="15">
      <c r="A20" s="43" t="s">
        <v>98</v>
      </c>
      <c r="B20" s="44">
        <v>1.8121406543288299E-3</v>
      </c>
    </row>
    <row r="21" spans="1:2" ht="15">
      <c r="A21" s="43" t="s">
        <v>99</v>
      </c>
      <c r="B21" s="44">
        <v>4.7814934893034696E-3</v>
      </c>
    </row>
    <row r="22" spans="1:2" ht="15">
      <c r="A22" s="43" t="s">
        <v>100</v>
      </c>
      <c r="B22" s="44">
        <v>1.30609639242764E-2</v>
      </c>
    </row>
    <row r="23" spans="1:2" ht="15">
      <c r="A23" s="43" t="s">
        <v>101</v>
      </c>
      <c r="B23" s="44">
        <v>2.1987429739628299E-2</v>
      </c>
    </row>
    <row r="24" spans="1:2" ht="15">
      <c r="A24" s="43" t="s">
        <v>102</v>
      </c>
      <c r="B24" s="44">
        <v>2.8378655349219899E-2</v>
      </c>
    </row>
    <row r="25" spans="1:2" ht="15">
      <c r="A25" s="43" t="s">
        <v>103</v>
      </c>
      <c r="B25" s="44">
        <v>4.0388852786135597E-2</v>
      </c>
    </row>
    <row r="26" spans="1:2" ht="15">
      <c r="A26" s="43" t="s">
        <v>104</v>
      </c>
      <c r="B26" s="44">
        <v>5.56848729602838E-2</v>
      </c>
    </row>
    <row r="27" spans="1:2" ht="15">
      <c r="A27" s="43" t="s">
        <v>105</v>
      </c>
      <c r="B27" s="44">
        <v>7.2261965659919394E-2</v>
      </c>
    </row>
    <row r="28" spans="1:2" ht="15">
      <c r="A28" s="43" t="s">
        <v>106</v>
      </c>
      <c r="B28" s="44">
        <v>8.7530293663582101E-2</v>
      </c>
    </row>
    <row r="29" spans="1:2" ht="15">
      <c r="A29" s="43" t="s">
        <v>107</v>
      </c>
      <c r="B29" s="44">
        <v>0.10130320675599901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BEE4-514D-4D18-B17A-928AE55E1381}">
  <dimension ref="A1:J21"/>
  <sheetViews>
    <sheetView tabSelected="1" workbookViewId="0">
      <selection activeCell="A9" sqref="A9:G12"/>
    </sheetView>
  </sheetViews>
  <sheetFormatPr defaultRowHeight="14.25"/>
  <cols>
    <col min="1" max="1" width="12.19921875" customWidth="1"/>
    <col min="2" max="2" width="23.73046875" customWidth="1"/>
    <col min="3" max="5" width="15.19921875" customWidth="1"/>
    <col min="6" max="8" width="15.73046875" customWidth="1"/>
    <col min="10" max="10" width="51.796875" bestFit="1" customWidth="1"/>
  </cols>
  <sheetData>
    <row r="1" spans="1:10" ht="21.75" customHeight="1">
      <c r="A1" s="38" t="s">
        <v>29</v>
      </c>
      <c r="B1" s="38" t="s">
        <v>30</v>
      </c>
      <c r="C1" s="38">
        <v>2027</v>
      </c>
      <c r="D1" s="38">
        <v>2028</v>
      </c>
      <c r="E1" s="38">
        <v>2029</v>
      </c>
      <c r="F1" s="38">
        <v>2030</v>
      </c>
      <c r="G1" s="38">
        <v>2031</v>
      </c>
    </row>
    <row r="2" spans="1:10" ht="61.5" customHeight="1">
      <c r="A2" s="39">
        <v>1</v>
      </c>
      <c r="B2" s="40" t="s">
        <v>123</v>
      </c>
      <c r="C2" s="41">
        <f>Sheet1!$C$32*((Sheet1!$J$26)+(Sheet1!$J$28)+(Sheet1!$G$13))/1000000</f>
        <v>3.8052296377114159</v>
      </c>
      <c r="D2" s="41">
        <f>Sheet1!$C$32*((Sheet1!$J$26)+(Sheet1!$J$28)+(Sheet1!$G$13))/1000000</f>
        <v>3.8052296377114159</v>
      </c>
      <c r="E2" s="41">
        <f>Sheet1!$C$32*((Sheet1!$J$26)+(Sheet1!$J$28)+(Sheet1!$G$13))/1000000</f>
        <v>3.8052296377114159</v>
      </c>
      <c r="F2" s="41">
        <f>Sheet1!$C$32*((Sheet1!$J$26)+(Sheet1!$J$28)+(Sheet1!$G$13))/1000000</f>
        <v>3.8052296377114159</v>
      </c>
      <c r="G2" s="41">
        <f>Sheet1!$C$32*((Sheet1!$J$26)+(Sheet1!$J$28)+(Sheet1!$G$13))/1000000</f>
        <v>3.8052296377114159</v>
      </c>
      <c r="J2" s="24" t="s">
        <v>122</v>
      </c>
    </row>
    <row r="3" spans="1:10" ht="61.5" customHeight="1">
      <c r="A3" s="39">
        <v>2</v>
      </c>
      <c r="B3" s="40" t="s">
        <v>124</v>
      </c>
      <c r="C3" s="41">
        <f>Sheet1!$D$32*(((Sheet1!$J$26)+(Sheet1!$J$28)+(Sheet1!$G$13))/1000000)</f>
        <v>1.9026148188557082</v>
      </c>
      <c r="D3" s="41">
        <f>Sheet1!$D$32*((Sheet1!$J$26)+(Sheet1!$J$28)+(Sheet1!$G$13))/1000000</f>
        <v>1.9026148188557079</v>
      </c>
      <c r="E3" s="41">
        <f>Sheet1!$D$32*((Sheet1!$J$26)+(Sheet1!$J$28)+(Sheet1!$G$13))/1000000</f>
        <v>1.9026148188557079</v>
      </c>
      <c r="F3" s="41">
        <f>Sheet1!$D$32*((Sheet1!$J$26)+(Sheet1!$J$28)+(Sheet1!$G$13))/1000000</f>
        <v>1.9026148188557079</v>
      </c>
      <c r="G3" s="41">
        <f>Sheet1!$D$32*((Sheet1!$J$26)+(Sheet1!$J$28)+(Sheet1!$G$13))/1000000</f>
        <v>1.9026148188557079</v>
      </c>
    </row>
    <row r="4" spans="1:10" ht="61.5" customHeight="1">
      <c r="A4" s="39">
        <v>3</v>
      </c>
      <c r="B4" s="40" t="s">
        <v>125</v>
      </c>
      <c r="C4" s="41">
        <f>Sheet1!$E$32*(((Sheet1!$J$26)+(Sheet1!$J$28)+(Sheet1!$G$13))/1000000)</f>
        <v>0.15855123490464235</v>
      </c>
      <c r="D4" s="41">
        <f>Sheet1!$E$32*(((Sheet1!$J$26)+(Sheet1!$J$28)+(Sheet1!$G$13))/1000000)</f>
        <v>0.15855123490464235</v>
      </c>
      <c r="E4" s="41">
        <f>Sheet1!$E$32*(((Sheet1!$J$26)+(Sheet1!$J$28)+(Sheet1!$G$13))/1000000)</f>
        <v>0.15855123490464235</v>
      </c>
      <c r="F4" s="41">
        <f>Sheet1!$E$32*(((Sheet1!$J$26)+(Sheet1!$J$28)+(Sheet1!$G$13))/1000000)</f>
        <v>0.15855123490464235</v>
      </c>
      <c r="G4" s="41">
        <f>Sheet1!$E$32*(((Sheet1!$J$26)+(Sheet1!$J$28)+(Sheet1!$G$13))/1000000)</f>
        <v>0.15855123490464235</v>
      </c>
    </row>
    <row r="8" spans="1:10">
      <c r="A8" t="s">
        <v>121</v>
      </c>
    </row>
    <row r="9" spans="1:10" ht="21.75" customHeight="1">
      <c r="A9" s="42" t="s">
        <v>29</v>
      </c>
      <c r="B9" s="42" t="s">
        <v>30</v>
      </c>
      <c r="C9" s="42">
        <v>2027</v>
      </c>
      <c r="D9" s="42">
        <v>2028</v>
      </c>
      <c r="E9" s="42">
        <v>2029</v>
      </c>
      <c r="F9" s="42">
        <v>2030</v>
      </c>
      <c r="G9" s="42">
        <v>2031</v>
      </c>
    </row>
    <row r="10" spans="1:10" ht="57.85" customHeight="1">
      <c r="A10" s="53">
        <v>1</v>
      </c>
      <c r="B10" s="54" t="s">
        <v>133</v>
      </c>
      <c r="C10" s="55">
        <f>($E$21-Ingresos!$D$9)/1000000</f>
        <v>0.26713496838155004</v>
      </c>
      <c r="D10" s="55">
        <f>($E$21-Ingresos!$D$9)/1000000</f>
        <v>0.26713496838155004</v>
      </c>
      <c r="E10" s="55">
        <f>($E$21-Ingresos!$D$9)/1000000</f>
        <v>0.26713496838155004</v>
      </c>
      <c r="F10" s="55">
        <f>($E$21-Ingresos!$D$9)/1000000</f>
        <v>0.26713496838155004</v>
      </c>
      <c r="G10" s="55">
        <f>($E$21-Ingresos!$D$9)/1000000</f>
        <v>0.26713496838155004</v>
      </c>
      <c r="J10" s="55">
        <f>C10*1000000</f>
        <v>267134.96838155005</v>
      </c>
    </row>
    <row r="11" spans="1:10" ht="57.85" customHeight="1">
      <c r="A11" s="53">
        <v>2</v>
      </c>
      <c r="B11" s="54" t="s">
        <v>134</v>
      </c>
      <c r="C11" s="55">
        <f>((Sheet1!$D$32*'Escenarios de Gasto'!$E$21)-Ingresos!$D$10)/1000000</f>
        <v>3.2056196205786005</v>
      </c>
      <c r="D11" s="55">
        <f>((Sheet1!$D$32*'Escenarios de Gasto'!$E$21)-Ingresos!$D$10)/1000000</f>
        <v>3.2056196205786005</v>
      </c>
      <c r="E11" s="55">
        <f>((Sheet1!$D$32*'Escenarios de Gasto'!$E$21)-Ingresos!$D$10)/1000000</f>
        <v>3.2056196205786005</v>
      </c>
      <c r="F11" s="55">
        <f>((Sheet1!$D$32*'Escenarios de Gasto'!$E$21)-Ingresos!$D$10)/1000000</f>
        <v>3.2056196205786005</v>
      </c>
      <c r="G11" s="55">
        <f>((Sheet1!$D$32*'Escenarios de Gasto'!$E$21)-Ingresos!$D$10)/1000000</f>
        <v>3.2056196205786005</v>
      </c>
      <c r="J11">
        <v>1000000</v>
      </c>
    </row>
    <row r="12" spans="1:10" ht="57.85" customHeight="1">
      <c r="A12" s="53">
        <v>3</v>
      </c>
      <c r="B12" s="54" t="s">
        <v>135</v>
      </c>
      <c r="C12" s="55">
        <f>((Sheet1!$C$32*'Escenarios de Gasto'!$E$21)-Ingresos!$D$11)/1000000</f>
        <v>6.411239241157201</v>
      </c>
      <c r="D12" s="55">
        <f>((Sheet1!$C$32*'Escenarios de Gasto'!$E$21)-Ingresos!$D$11)/1000000</f>
        <v>6.411239241157201</v>
      </c>
      <c r="E12" s="55">
        <f>((Sheet1!$C$32*'Escenarios de Gasto'!$E$21)-Ingresos!$D$11)/1000000</f>
        <v>6.411239241157201</v>
      </c>
      <c r="F12" s="55">
        <f>((Sheet1!$C$32*'Escenarios de Gasto'!$E$21)-Ingresos!$D$11)/1000000</f>
        <v>6.411239241157201</v>
      </c>
      <c r="G12" s="55">
        <f>((Sheet1!$C$32*'Escenarios de Gasto'!$E$21)-Ingresos!$D$11)/1000000</f>
        <v>6.411239241157201</v>
      </c>
    </row>
    <row r="17" spans="2:6" ht="34.5" customHeight="1">
      <c r="B17" s="42" t="s">
        <v>130</v>
      </c>
      <c r="C17" s="42" t="s">
        <v>136</v>
      </c>
      <c r="D17" s="42" t="s">
        <v>78</v>
      </c>
      <c r="E17" s="42" t="s">
        <v>131</v>
      </c>
      <c r="F17" s="42" t="s">
        <v>132</v>
      </c>
    </row>
    <row r="18" spans="2:6" ht="34.5" customHeight="1">
      <c r="B18" s="50" t="s">
        <v>110</v>
      </c>
      <c r="C18" s="56">
        <v>1</v>
      </c>
      <c r="D18" s="51">
        <f>Sheet1!H26</f>
        <v>58150</v>
      </c>
      <c r="E18" s="51">
        <f>Sheet1!I26</f>
        <v>13671.873187417892</v>
      </c>
      <c r="F18" s="51">
        <f>SUM(D18:E18)</f>
        <v>71821.873187417892</v>
      </c>
    </row>
    <row r="19" spans="2:6" ht="34.5" customHeight="1">
      <c r="B19" s="50" t="s">
        <v>108</v>
      </c>
      <c r="C19" s="56">
        <v>1</v>
      </c>
      <c r="D19" s="51">
        <f>Sheet1!H28</f>
        <v>37336.84210526316</v>
      </c>
      <c r="E19" s="51">
        <f>Sheet1!I28</f>
        <v>8778.4104983972975</v>
      </c>
      <c r="F19" s="51">
        <f t="shared" ref="F19:F20" si="0">SUM(D19:E19)</f>
        <v>46115.252603660454</v>
      </c>
    </row>
    <row r="20" spans="2:6" ht="34.5" customHeight="1">
      <c r="B20" s="50" t="s">
        <v>109</v>
      </c>
      <c r="C20" s="56">
        <v>2</v>
      </c>
      <c r="D20" s="51">
        <f>Sheet1!E13</f>
        <v>32882.885674547986</v>
      </c>
      <c r="E20" s="51">
        <f>Sheet1!F13</f>
        <v>7731.223439016002</v>
      </c>
      <c r="F20" s="51">
        <f>SUM(D20:E20)*C20</f>
        <v>81228.218227127974</v>
      </c>
    </row>
    <row r="21" spans="2:6">
      <c r="E21" s="32">
        <f>SUM(F18:F19)+(2*F20)</f>
        <v>280393.56224533427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_ip_UnifiedCompliancePolicyUIAction xmlns="http://schemas.microsoft.com/sharepoint/v3" xsi:nil="true"/>
    <TaxCatchAll xmlns="a09e65a3-c7c6-46c4-8cad-d2b1e4cef29c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5" ma:contentTypeDescription="Create a new document." ma:contentTypeScope="" ma:versionID="ac809ca55fc7002d74a9772506effe29">
  <xsd:schema xmlns:xsd="http://www.w3.org/2001/XMLSchema" xmlns:xs="http://www.w3.org/2001/XMLSchema" xmlns:p="http://schemas.microsoft.com/office/2006/metadata/properties" xmlns:ns1="http://schemas.microsoft.com/sharepoint/v3" xmlns:ns2="1f23fbc9-fed8-4fe5-aa4f-ed739643a384" xmlns:ns3="a09e65a3-c7c6-46c4-8cad-d2b1e4cef29c" targetNamespace="http://schemas.microsoft.com/office/2006/metadata/properties" ma:root="true" ma:fieldsID="6b24f4ca2dda56f0b82b1f329a45acd9" ns1:_="" ns2:_="" ns3:_="">
    <xsd:import namespace="http://schemas.microsoft.com/sharepoint/v3"/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7C3B3-6B3D-429D-9406-B1207DB4D0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4883A1-B27D-4D7C-A7BB-45DA74AA57B3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http://schemas.microsoft.com/sharepoint/v3"/>
    <ds:schemaRef ds:uri="a09e65a3-c7c6-46c4-8cad-d2b1e4cef29c"/>
  </ds:schemaRefs>
</ds:datastoreItem>
</file>

<file path=customXml/itemProps3.xml><?xml version="1.0" encoding="utf-8"?>
<ds:datastoreItem xmlns:ds="http://schemas.openxmlformats.org/officeDocument/2006/customXml" ds:itemID="{62F4335F-8E6A-438F-93B6-F20EBB70E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Ingresos</vt:lpstr>
      <vt:lpstr>Escenarios de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Ortiz Ponce</dc:creator>
  <cp:lastModifiedBy>Diego Ortiz Ponce</cp:lastModifiedBy>
  <dcterms:created xsi:type="dcterms:W3CDTF">2015-06-05T18:17:20Z</dcterms:created>
  <dcterms:modified xsi:type="dcterms:W3CDTF">2026-05-14T20:21:18Z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MediaServiceImageTags">
    <vt:lpwstr/>
  </property>
</Properties>
</file>