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edler\Dropbox\05 - Cases\Mgmt Acctg &amp; Control\03 - Salem Telephone\"/>
    </mc:Choice>
  </mc:AlternateContent>
  <bookViews>
    <workbookView xWindow="120" yWindow="60" windowWidth="12120" windowHeight="9120"/>
  </bookViews>
  <sheets>
    <sheet name="1 READ THIS FIRST" sheetId="37" r:id="rId1"/>
    <sheet name="2a CB (abr)" sheetId="30" r:id="rId2"/>
    <sheet name="3a CIS basic (abr)" sheetId="32" r:id="rId3"/>
    <sheet name="4 Marketing" sheetId="19" r:id="rId4"/>
    <sheet name="5a Decision (abr)" sheetId="39" r:id="rId5"/>
    <sheet name="6a CIS advcd (abr)" sheetId="33" r:id="rId6"/>
    <sheet name="7a SIS (abr)" sheetId="34" r:id="rId7"/>
    <sheet name="2b CB" sheetId="2" r:id="rId8"/>
    <sheet name="3b CIS basic" sheetId="24" r:id="rId9"/>
    <sheet name="5b Decision" sheetId="25" r:id="rId10"/>
    <sheet name="6b CIS advcd" sheetId="31" r:id="rId11"/>
    <sheet name="6c CIS advcd Alt.1" sheetId="35" r:id="rId12"/>
    <sheet name="6d CIS advcd Alt.2" sheetId="29" r:id="rId13"/>
    <sheet name="7b SIS" sheetId="27" r:id="rId14"/>
  </sheets>
  <calcPr calcId="162913"/>
</workbook>
</file>

<file path=xl/calcChain.xml><?xml version="1.0" encoding="utf-8"?>
<calcChain xmlns="http://schemas.openxmlformats.org/spreadsheetml/2006/main">
  <c r="L23" i="39" l="1"/>
  <c r="L33" i="39"/>
  <c r="P22" i="39"/>
  <c r="P23" i="39"/>
  <c r="P33" i="39"/>
  <c r="P35" i="39"/>
  <c r="G28" i="39"/>
  <c r="G32" i="39"/>
  <c r="G31" i="39"/>
  <c r="C23" i="39"/>
  <c r="B22" i="39"/>
  <c r="G22" i="39"/>
  <c r="G23" i="39"/>
  <c r="G19" i="39"/>
  <c r="C17" i="39"/>
  <c r="B15" i="39"/>
  <c r="G15" i="39"/>
  <c r="G13" i="39"/>
  <c r="E43" i="35"/>
  <c r="G43" i="35"/>
  <c r="C38" i="35"/>
  <c r="B36" i="35"/>
  <c r="G36" i="35"/>
  <c r="G34" i="35"/>
  <c r="G50" i="35"/>
  <c r="G53" i="35"/>
  <c r="E29" i="35"/>
  <c r="G28" i="35"/>
  <c r="G27" i="35"/>
  <c r="G24" i="35"/>
  <c r="G22" i="35"/>
  <c r="G21" i="35"/>
  <c r="G20" i="35"/>
  <c r="G19" i="35"/>
  <c r="G17" i="35"/>
  <c r="G16" i="35"/>
  <c r="G29" i="35"/>
  <c r="G31" i="35"/>
  <c r="C13" i="35"/>
  <c r="B11" i="35"/>
  <c r="G11" i="35"/>
  <c r="G9" i="35"/>
  <c r="E17" i="34"/>
  <c r="G17" i="34"/>
  <c r="C28" i="34"/>
  <c r="B26" i="34"/>
  <c r="B27" i="34"/>
  <c r="G27" i="34"/>
  <c r="G24" i="34"/>
  <c r="G28" i="34"/>
  <c r="G16" i="34"/>
  <c r="C13" i="34"/>
  <c r="B11" i="34"/>
  <c r="B12" i="34"/>
  <c r="G12" i="34"/>
  <c r="G10" i="34"/>
  <c r="G9" i="34"/>
  <c r="C38" i="31"/>
  <c r="G24" i="32"/>
  <c r="G28" i="32"/>
  <c r="G15" i="32"/>
  <c r="G19" i="32"/>
  <c r="C19" i="32"/>
  <c r="B17" i="32"/>
  <c r="B18" i="32"/>
  <c r="G18" i="32"/>
  <c r="C28" i="33"/>
  <c r="B26" i="33"/>
  <c r="B27" i="33"/>
  <c r="G27" i="33"/>
  <c r="G24" i="33"/>
  <c r="G16" i="33"/>
  <c r="C13" i="33"/>
  <c r="B11" i="33"/>
  <c r="G11" i="33"/>
  <c r="G9" i="33"/>
  <c r="C13" i="32"/>
  <c r="G27" i="32"/>
  <c r="B11" i="32"/>
  <c r="B12" i="32"/>
  <c r="G12" i="32"/>
  <c r="G9" i="32"/>
  <c r="G34" i="31"/>
  <c r="B36" i="31"/>
  <c r="B37" i="31"/>
  <c r="G37" i="31"/>
  <c r="E29" i="31"/>
  <c r="G28" i="31"/>
  <c r="G27" i="31"/>
  <c r="G24" i="31"/>
  <c r="G22" i="31"/>
  <c r="G21" i="31"/>
  <c r="G20" i="31"/>
  <c r="G19" i="31"/>
  <c r="G17" i="31"/>
  <c r="G29" i="31"/>
  <c r="G16" i="31"/>
  <c r="C13" i="31"/>
  <c r="B11" i="31"/>
  <c r="G11" i="31"/>
  <c r="B12" i="31"/>
  <c r="G12" i="31"/>
  <c r="G9" i="31"/>
  <c r="G26" i="30"/>
  <c r="G21" i="30"/>
  <c r="G18" i="30"/>
  <c r="G15" i="30"/>
  <c r="H12" i="30"/>
  <c r="I12" i="30"/>
  <c r="G12" i="30"/>
  <c r="H11" i="30"/>
  <c r="I11" i="30"/>
  <c r="G11" i="30"/>
  <c r="I7" i="30"/>
  <c r="I13" i="30"/>
  <c r="H7" i="30"/>
  <c r="H18" i="30"/>
  <c r="G7" i="30"/>
  <c r="G25" i="30"/>
  <c r="G22" i="30"/>
  <c r="G23" i="30"/>
  <c r="D21" i="30"/>
  <c r="E21" i="30"/>
  <c r="H21" i="30"/>
  <c r="H23" i="30"/>
  <c r="H27" i="30"/>
  <c r="D15" i="30"/>
  <c r="E15" i="30"/>
  <c r="D17" i="30"/>
  <c r="E17" i="30"/>
  <c r="E25" i="32"/>
  <c r="E19" i="30"/>
  <c r="D23" i="30"/>
  <c r="D27" i="30"/>
  <c r="C23" i="30"/>
  <c r="C27" i="30"/>
  <c r="C19" i="30"/>
  <c r="E13" i="30"/>
  <c r="D13" i="30"/>
  <c r="H13" i="30"/>
  <c r="H28" i="30"/>
  <c r="C13" i="30"/>
  <c r="G13" i="30"/>
  <c r="E7" i="30"/>
  <c r="D7" i="30"/>
  <c r="C7" i="30"/>
  <c r="E28" i="19"/>
  <c r="E29" i="19"/>
  <c r="E30" i="19"/>
  <c r="G43" i="29"/>
  <c r="E37" i="29"/>
  <c r="B9" i="29"/>
  <c r="G36" i="29"/>
  <c r="G35" i="29"/>
  <c r="G34" i="29"/>
  <c r="G42" i="29"/>
  <c r="E42" i="29"/>
  <c r="E43" i="29"/>
  <c r="E29" i="29"/>
  <c r="G28" i="29"/>
  <c r="G27" i="29"/>
  <c r="G24" i="29"/>
  <c r="G22" i="29"/>
  <c r="G21" i="29"/>
  <c r="G20" i="29"/>
  <c r="G19" i="29"/>
  <c r="G17" i="29"/>
  <c r="G16" i="29"/>
  <c r="G29" i="29"/>
  <c r="C13" i="29"/>
  <c r="B11" i="29"/>
  <c r="B12" i="29"/>
  <c r="G12" i="29"/>
  <c r="G9" i="29"/>
  <c r="G13" i="29"/>
  <c r="G31" i="29"/>
  <c r="G39" i="29"/>
  <c r="G45" i="29"/>
  <c r="E41" i="24"/>
  <c r="E35" i="24"/>
  <c r="G35" i="24"/>
  <c r="L39" i="27"/>
  <c r="N39" i="27"/>
  <c r="E39" i="27"/>
  <c r="G39" i="27"/>
  <c r="P39" i="27"/>
  <c r="L21" i="27"/>
  <c r="E21" i="27"/>
  <c r="J14" i="27"/>
  <c r="I12" i="27"/>
  <c r="I13" i="27"/>
  <c r="N13" i="27"/>
  <c r="N10" i="27"/>
  <c r="N20" i="27"/>
  <c r="P20" i="27"/>
  <c r="N19" i="27"/>
  <c r="P19" i="27"/>
  <c r="L36" i="27"/>
  <c r="N36" i="27"/>
  <c r="L35" i="27"/>
  <c r="N35" i="27"/>
  <c r="L34" i="27"/>
  <c r="L37" i="27"/>
  <c r="N37" i="27"/>
  <c r="N34" i="27"/>
  <c r="L31" i="27"/>
  <c r="N31" i="27"/>
  <c r="L30" i="27"/>
  <c r="N30" i="27"/>
  <c r="L28" i="27"/>
  <c r="N28" i="27"/>
  <c r="L27" i="27"/>
  <c r="N27" i="27"/>
  <c r="N18" i="27"/>
  <c r="N17" i="27"/>
  <c r="P17" i="27"/>
  <c r="E36" i="27"/>
  <c r="G36" i="27"/>
  <c r="P36" i="27"/>
  <c r="E35" i="27"/>
  <c r="G35" i="27"/>
  <c r="P35" i="27"/>
  <c r="E34" i="27"/>
  <c r="E37" i="27"/>
  <c r="G37" i="27"/>
  <c r="P37" i="27"/>
  <c r="E31" i="27"/>
  <c r="G31" i="27"/>
  <c r="P31" i="27"/>
  <c r="E30" i="27"/>
  <c r="G30" i="27"/>
  <c r="P30" i="27"/>
  <c r="E28" i="27"/>
  <c r="G28" i="27"/>
  <c r="P28" i="27"/>
  <c r="E27" i="27"/>
  <c r="G27" i="27"/>
  <c r="G18" i="27"/>
  <c r="G21" i="27"/>
  <c r="P18" i="27"/>
  <c r="G17" i="27"/>
  <c r="G20" i="27"/>
  <c r="G19" i="27"/>
  <c r="C14" i="27"/>
  <c r="B12" i="27"/>
  <c r="B13" i="27"/>
  <c r="G13" i="27"/>
  <c r="G10" i="27"/>
  <c r="P10" i="27"/>
  <c r="P12" i="25"/>
  <c r="P13" i="25"/>
  <c r="P14" i="25"/>
  <c r="G45" i="25"/>
  <c r="G44" i="25"/>
  <c r="E42" i="25"/>
  <c r="G42" i="25"/>
  <c r="G41" i="25"/>
  <c r="G40" i="25"/>
  <c r="G39" i="25"/>
  <c r="G38" i="25"/>
  <c r="E36" i="25"/>
  <c r="E46" i="25"/>
  <c r="G46" i="25"/>
  <c r="G35" i="25"/>
  <c r="G34" i="25"/>
  <c r="G32" i="25"/>
  <c r="G31" i="25"/>
  <c r="E29" i="25"/>
  <c r="G29" i="25"/>
  <c r="G28" i="25"/>
  <c r="G27" i="25"/>
  <c r="C23" i="25"/>
  <c r="B22" i="25"/>
  <c r="G19" i="25"/>
  <c r="C16" i="25"/>
  <c r="B14" i="25"/>
  <c r="B15" i="25"/>
  <c r="G15" i="25"/>
  <c r="G12" i="25"/>
  <c r="L13" i="25"/>
  <c r="G27" i="24"/>
  <c r="G31" i="24"/>
  <c r="G30" i="24"/>
  <c r="G33" i="24"/>
  <c r="G34" i="24"/>
  <c r="G38" i="24"/>
  <c r="G39" i="24"/>
  <c r="G40" i="24"/>
  <c r="G37" i="24"/>
  <c r="G43" i="24"/>
  <c r="G44" i="24"/>
  <c r="G26" i="24"/>
  <c r="G16" i="24"/>
  <c r="G20" i="24"/>
  <c r="G9" i="24"/>
  <c r="G41" i="24"/>
  <c r="E28" i="24"/>
  <c r="G28" i="24"/>
  <c r="C20" i="24"/>
  <c r="B18" i="24"/>
  <c r="G18" i="24"/>
  <c r="B19" i="24"/>
  <c r="G19" i="24"/>
  <c r="C13" i="24"/>
  <c r="B11" i="24"/>
  <c r="B12" i="24"/>
  <c r="G12" i="24"/>
  <c r="C41" i="2"/>
  <c r="C42" i="2"/>
  <c r="D41" i="2"/>
  <c r="D43" i="2"/>
  <c r="D42" i="2"/>
  <c r="B41" i="2"/>
  <c r="B43" i="2"/>
  <c r="D8" i="19"/>
  <c r="E8" i="19"/>
  <c r="C8" i="19"/>
  <c r="E22" i="19"/>
  <c r="E23" i="19"/>
  <c r="E24" i="19"/>
  <c r="E9" i="19"/>
  <c r="C9" i="19"/>
  <c r="D9" i="19"/>
  <c r="D13" i="19"/>
  <c r="E12" i="19"/>
  <c r="E13" i="19"/>
  <c r="C12" i="19"/>
  <c r="C13" i="19"/>
  <c r="H17" i="2"/>
  <c r="H18" i="2"/>
  <c r="D19" i="2"/>
  <c r="D10" i="2"/>
  <c r="H21" i="2"/>
  <c r="H19" i="2"/>
  <c r="D23" i="2"/>
  <c r="H23" i="2"/>
  <c r="H28" i="2"/>
  <c r="H29" i="2"/>
  <c r="D31" i="2"/>
  <c r="H31" i="2"/>
  <c r="H33" i="2"/>
  <c r="H36" i="2"/>
  <c r="H37" i="2"/>
  <c r="D38" i="2"/>
  <c r="D45" i="2"/>
  <c r="H40" i="2"/>
  <c r="H44" i="2"/>
  <c r="C10" i="2"/>
  <c r="G26" i="2"/>
  <c r="G25" i="2"/>
  <c r="B10" i="2"/>
  <c r="F33" i="2"/>
  <c r="F21" i="2"/>
  <c r="B23" i="2"/>
  <c r="F23" i="2"/>
  <c r="C23" i="2"/>
  <c r="G23" i="2"/>
  <c r="B31" i="2"/>
  <c r="F31" i="2"/>
  <c r="C31" i="2"/>
  <c r="C45" i="2"/>
  <c r="G36" i="2"/>
  <c r="F37" i="2"/>
  <c r="B38" i="2"/>
  <c r="F38" i="2"/>
  <c r="C38" i="2"/>
  <c r="G38" i="2"/>
  <c r="G40" i="2"/>
  <c r="F44" i="2"/>
  <c r="G44" i="2"/>
  <c r="B19" i="2"/>
  <c r="C19" i="2"/>
  <c r="G19" i="2"/>
  <c r="G22" i="2"/>
  <c r="F22" i="2"/>
  <c r="F18" i="2"/>
  <c r="G18" i="2"/>
  <c r="G17" i="2"/>
  <c r="F17" i="2"/>
  <c r="C43" i="2"/>
  <c r="F30" i="2"/>
  <c r="F28" i="2"/>
  <c r="G29" i="2"/>
  <c r="G11" i="24"/>
  <c r="G22" i="25"/>
  <c r="G21" i="25"/>
  <c r="G23" i="25"/>
  <c r="G37" i="29"/>
  <c r="G11" i="29"/>
  <c r="E45" i="24"/>
  <c r="G45" i="24"/>
  <c r="H35" i="2"/>
  <c r="H26" i="2"/>
  <c r="H22" i="2"/>
  <c r="N12" i="27"/>
  <c r="G14" i="25"/>
  <c r="G16" i="25"/>
  <c r="G28" i="2"/>
  <c r="G37" i="2"/>
  <c r="G35" i="2"/>
  <c r="H34" i="2"/>
  <c r="H41" i="2"/>
  <c r="H30" i="2"/>
  <c r="H25" i="2"/>
  <c r="D19" i="30"/>
  <c r="G17" i="32"/>
  <c r="G26" i="33"/>
  <c r="G36" i="31"/>
  <c r="G38" i="31"/>
  <c r="B12" i="33"/>
  <c r="G12" i="33"/>
  <c r="G13" i="33"/>
  <c r="H17" i="30"/>
  <c r="H19" i="30"/>
  <c r="H15" i="30"/>
  <c r="H22" i="30"/>
  <c r="H25" i="30"/>
  <c r="H26" i="30"/>
  <c r="G17" i="30"/>
  <c r="G19" i="30"/>
  <c r="G11" i="34"/>
  <c r="G13" i="34"/>
  <c r="G26" i="34"/>
  <c r="G25" i="34"/>
  <c r="B37" i="35"/>
  <c r="G37" i="35"/>
  <c r="B12" i="35"/>
  <c r="G12" i="35"/>
  <c r="G13" i="35"/>
  <c r="B16" i="39"/>
  <c r="G16" i="39"/>
  <c r="G21" i="39"/>
  <c r="G13" i="31"/>
  <c r="G31" i="31"/>
  <c r="G40" i="31"/>
  <c r="G48" i="25"/>
  <c r="G25" i="32"/>
  <c r="G29" i="32"/>
  <c r="E29" i="32"/>
  <c r="G28" i="33"/>
  <c r="I21" i="30"/>
  <c r="E18" i="33"/>
  <c r="G18" i="33"/>
  <c r="E30" i="39"/>
  <c r="G30" i="39"/>
  <c r="E26" i="32"/>
  <c r="G26" i="32"/>
  <c r="E23" i="30"/>
  <c r="E27" i="30"/>
  <c r="E28" i="30"/>
  <c r="E18" i="34"/>
  <c r="H45" i="2"/>
  <c r="D46" i="2"/>
  <c r="H46" i="2"/>
  <c r="G13" i="24"/>
  <c r="G17" i="39"/>
  <c r="G25" i="39"/>
  <c r="C46" i="2"/>
  <c r="G46" i="2"/>
  <c r="G45" i="2"/>
  <c r="H43" i="2"/>
  <c r="H42" i="2"/>
  <c r="G49" i="24"/>
  <c r="B49" i="24"/>
  <c r="P13" i="27"/>
  <c r="P27" i="27"/>
  <c r="N14" i="27"/>
  <c r="G47" i="29"/>
  <c r="B47" i="29"/>
  <c r="G38" i="35"/>
  <c r="G45" i="35"/>
  <c r="G47" i="35"/>
  <c r="G55" i="35"/>
  <c r="G27" i="30"/>
  <c r="G28" i="30"/>
  <c r="I25" i="30"/>
  <c r="G31" i="2"/>
  <c r="G36" i="25"/>
  <c r="G34" i="27"/>
  <c r="P34" i="27"/>
  <c r="L32" i="27"/>
  <c r="N32" i="27"/>
  <c r="I26" i="30"/>
  <c r="E31" i="34"/>
  <c r="D28" i="30"/>
  <c r="B42" i="2"/>
  <c r="F36" i="2"/>
  <c r="N21" i="27"/>
  <c r="P21" i="27"/>
  <c r="E17" i="33"/>
  <c r="H38" i="2"/>
  <c r="F40" i="2"/>
  <c r="F29" i="2"/>
  <c r="I22" i="30"/>
  <c r="E29" i="39"/>
  <c r="I15" i="30"/>
  <c r="E32" i="27"/>
  <c r="G32" i="27"/>
  <c r="P32" i="27"/>
  <c r="F35" i="2"/>
  <c r="C28" i="30"/>
  <c r="G11" i="32"/>
  <c r="G13" i="32"/>
  <c r="G21" i="32"/>
  <c r="G31" i="32"/>
  <c r="G21" i="2"/>
  <c r="G30" i="2"/>
  <c r="F25" i="2"/>
  <c r="G34" i="2"/>
  <c r="F26" i="2"/>
  <c r="G33" i="2"/>
  <c r="G41" i="2"/>
  <c r="B45" i="2"/>
  <c r="F19" i="2"/>
  <c r="I17" i="30"/>
  <c r="I18" i="30"/>
  <c r="G12" i="27"/>
  <c r="F34" i="2"/>
  <c r="F41" i="2"/>
  <c r="G42" i="2"/>
  <c r="G43" i="2"/>
  <c r="F43" i="2"/>
  <c r="F42" i="2"/>
  <c r="P12" i="27"/>
  <c r="G14" i="27"/>
  <c r="E33" i="39"/>
  <c r="G29" i="39"/>
  <c r="G33" i="39"/>
  <c r="G35" i="39"/>
  <c r="G18" i="34"/>
  <c r="G19" i="34"/>
  <c r="G21" i="34"/>
  <c r="E19" i="34"/>
  <c r="E32" i="34"/>
  <c r="G32" i="34"/>
  <c r="G33" i="32"/>
  <c r="B33" i="32"/>
  <c r="I19" i="30"/>
  <c r="G31" i="34"/>
  <c r="G33" i="34"/>
  <c r="G35" i="34"/>
  <c r="E33" i="34"/>
  <c r="F45" i="2"/>
  <c r="B46" i="2"/>
  <c r="F46" i="2"/>
  <c r="E19" i="33"/>
  <c r="G17" i="33"/>
  <c r="G19" i="33"/>
  <c r="G21" i="33"/>
  <c r="G30" i="33"/>
  <c r="N41" i="27"/>
  <c r="N47" i="27"/>
  <c r="N48" i="27"/>
  <c r="N23" i="27"/>
  <c r="G22" i="24"/>
  <c r="G47" i="24"/>
  <c r="I23" i="30"/>
  <c r="I27" i="30"/>
  <c r="I28" i="30"/>
  <c r="P14" i="27"/>
  <c r="G41" i="27"/>
  <c r="G23" i="27"/>
  <c r="P23" i="27"/>
  <c r="G43" i="27"/>
  <c r="B43" i="27"/>
  <c r="G37" i="34"/>
  <c r="P41" i="27"/>
  <c r="G47" i="27"/>
  <c r="G48" i="27"/>
  <c r="P48" i="27"/>
  <c r="P47" i="27"/>
</calcChain>
</file>

<file path=xl/sharedStrings.xml><?xml version="1.0" encoding="utf-8"?>
<sst xmlns="http://schemas.openxmlformats.org/spreadsheetml/2006/main" count="622" uniqueCount="235">
  <si>
    <t>January</t>
  </si>
  <si>
    <t>February</t>
  </si>
  <si>
    <t>March</t>
  </si>
  <si>
    <t>Revenues</t>
  </si>
  <si>
    <t xml:space="preserve">   Commercial sales</t>
  </si>
  <si>
    <t xml:space="preserve">          Total revenue</t>
  </si>
  <si>
    <t xml:space="preserve">    Space costs:</t>
  </si>
  <si>
    <t xml:space="preserve">         Rent</t>
  </si>
  <si>
    <t xml:space="preserve">         Custodial services</t>
  </si>
  <si>
    <t>Equipment costs</t>
  </si>
  <si>
    <t xml:space="preserve">    Computer leases</t>
  </si>
  <si>
    <t xml:space="preserve">    Maintenance</t>
  </si>
  <si>
    <t xml:space="preserve">    Depreciation:</t>
  </si>
  <si>
    <t xml:space="preserve">       Computer equipment</t>
  </si>
  <si>
    <t xml:space="preserve">       Office equipment and fixtures</t>
  </si>
  <si>
    <t xml:space="preserve">   Power</t>
  </si>
  <si>
    <t>Wages and salaries</t>
  </si>
  <si>
    <t xml:space="preserve">   Systems development and maintenance</t>
  </si>
  <si>
    <t xml:space="preserve">   Administration</t>
  </si>
  <si>
    <t xml:space="preserve">   Sales</t>
  </si>
  <si>
    <t>Sales promotions</t>
  </si>
  <si>
    <t>Total expenses</t>
  </si>
  <si>
    <t>Net income (loss)</t>
  </si>
  <si>
    <t xml:space="preserve">   Operations: hourly</t>
  </si>
  <si>
    <t xml:space="preserve">   Operations: salaried</t>
  </si>
  <si>
    <t>Salem Telephone Company</t>
  </si>
  <si>
    <t>Variable</t>
  </si>
  <si>
    <t>Fixed</t>
  </si>
  <si>
    <t>Corporate services</t>
  </si>
  <si>
    <t>Income Statement</t>
  </si>
  <si>
    <t>Level of Activity</t>
  </si>
  <si>
    <t>Cost Behavior Income Statement</t>
  </si>
  <si>
    <t>Total</t>
  </si>
  <si>
    <t>Revenue Hours</t>
  </si>
  <si>
    <t>Rate</t>
  </si>
  <si>
    <t>Hours</t>
  </si>
  <si>
    <t>Contribution margin</t>
  </si>
  <si>
    <t>Intracompany = "artificial", as subject to discretion.</t>
  </si>
  <si>
    <t>Demand</t>
  </si>
  <si>
    <t>Change</t>
  </si>
  <si>
    <t>Division</t>
  </si>
  <si>
    <t>Intracompany (fixed income!)</t>
  </si>
  <si>
    <t>Scenarios: Price Change</t>
  </si>
  <si>
    <t>$ for an average month. Alternatively, you can use actual March data.</t>
  </si>
  <si>
    <t>Market Price</t>
  </si>
  <si>
    <t>Scenario: Sales Promotion</t>
  </si>
  <si>
    <t>(measure of volume)</t>
  </si>
  <si>
    <r>
      <t xml:space="preserve">(All amounts for </t>
    </r>
    <r>
      <rPr>
        <b/>
        <i/>
        <sz val="10"/>
        <rFont val="Arial"/>
        <family val="2"/>
      </rPr>
      <t>total</t>
    </r>
    <r>
      <rPr>
        <b/>
        <sz val="10"/>
        <rFont val="Arial"/>
        <family val="2"/>
      </rPr>
      <t xml:space="preserve"> revenue hours)</t>
    </r>
  </si>
  <si>
    <r>
      <t xml:space="preserve">(All amounts per </t>
    </r>
    <r>
      <rPr>
        <b/>
        <i/>
        <sz val="10"/>
        <rFont val="Arial"/>
        <family val="2"/>
      </rPr>
      <t>one</t>
    </r>
    <r>
      <rPr>
        <b/>
        <sz val="10"/>
        <rFont val="Arial"/>
        <family val="2"/>
      </rPr>
      <t xml:space="preserve"> revenue hour)</t>
    </r>
  </si>
  <si>
    <t>Allocation base: "salaried"</t>
  </si>
  <si>
    <t>Allocation base: "hourly"</t>
  </si>
  <si>
    <t>Corp. Serv. as % of Operations</t>
  </si>
  <si>
    <t>Comment:
I use our skills &amp; tools to make a rough (but effective!) inference about the likely behavior of all the individual cost positions. In practice, you typically have more qualitative information available (or can easily get it from the accounting department) so that you don't have to "guesstimate".</t>
  </si>
  <si>
    <t>(Indicative of average month)</t>
  </si>
  <si>
    <t>Pure management discretion = "strange" cost behavior.</t>
  </si>
  <si>
    <t>Comment</t>
  </si>
  <si>
    <t>Operations: salaried</t>
  </si>
  <si>
    <t>Systems development and maintenance</t>
  </si>
  <si>
    <t>Administration</t>
  </si>
  <si>
    <t>Sales</t>
  </si>
  <si>
    <t>Computer leases</t>
  </si>
  <si>
    <t>Maintenance</t>
  </si>
  <si>
    <t>Depreciation:</t>
  </si>
  <si>
    <t>Computer equipment</t>
  </si>
  <si>
    <t>Office equipment and fixtures</t>
  </si>
  <si>
    <t>Rent</t>
  </si>
  <si>
    <t>Custodial services</t>
  </si>
  <si>
    <t>Space costs</t>
  </si>
  <si>
    <t>Conclusion: keep the prices at their current level. Both other alternatives yield a smaller total contribution.</t>
  </si>
  <si>
    <t>Accounting Break-even hours</t>
  </si>
  <si>
    <t>B/E units = Fixed cost / Unit contribution margin</t>
  </si>
  <si>
    <t>External sourcing of IT-needs from a service provider in the market</t>
  </si>
  <si>
    <t>for the CONSOLIDATED ENTITY</t>
  </si>
  <si>
    <t>Alternative:
"KEEP OPEN AS IS"</t>
  </si>
  <si>
    <t>Alternative:
"SHUT DOWN"</t>
  </si>
  <si>
    <t>!!</t>
  </si>
  <si>
    <t>Salem Data Services</t>
  </si>
  <si>
    <t>Comments</t>
  </si>
  <si>
    <t>Note:</t>
  </si>
  <si>
    <t>This analysis does not consider the possible cash income from the disposal of fixed assets or the likely stickiness of costs in case Salem decides to shut down Data Services.</t>
  </si>
  <si>
    <t>Conclusion: "yes we can" … but (1) you can't spend much and (2) you must be pretty certain that sales will increase by almost 30%.</t>
  </si>
  <si>
    <t>Lo</t>
  </si>
  <si>
    <t>Now</t>
  </si>
  <si>
    <t>Hi</t>
  </si>
  <si>
    <t>Current price.</t>
  </si>
  <si>
    <t>That is, I illustrate the "long-run" consequences of shutting down. In the "short run", you may actually be a little bit better (cash from disposal) or worse (stickiness) off. More information - or many "guesstimates" - are needed to model this "short run".</t>
  </si>
  <si>
    <t>Division break-even, commercial sales</t>
  </si>
  <si>
    <t>Commercial sales given the fixed cost and the intracompany contribution!</t>
  </si>
  <si>
    <t>Commercial Sales</t>
  </si>
  <si>
    <t>Variable costs</t>
  </si>
  <si>
    <t>Intracompany Sales</t>
  </si>
  <si>
    <t>Fixed Costs</t>
  </si>
  <si>
    <t>Total fixed costs</t>
  </si>
  <si>
    <t>March data (as are all subsequent positions except the intracompany revenue hours).</t>
  </si>
  <si>
    <t>Revenue hours = average month. Observe: the hourly rate ($400) has been chosen to meet the regulator's requirements!!! Thus, you could make an argument that these revenues are fixed rather than variable.</t>
  </si>
  <si>
    <t>Contribution (per unit)</t>
  </si>
  <si>
    <t>New contribution</t>
  </si>
  <si>
    <t>Demand (volume)</t>
  </si>
  <si>
    <t>Market Price (per unit)</t>
  </si>
  <si>
    <t>Contribution (total)</t>
  </si>
  <si>
    <t>Total net fixed cost</t>
  </si>
  <si>
    <t>Fixed cost</t>
  </si>
  <si>
    <t>Direct Fixed Cost</t>
  </si>
  <si>
    <t>Direct Segment Contribution</t>
  </si>
  <si>
    <t>Segment Income Statement</t>
  </si>
  <si>
    <t>Profit/Loss</t>
  </si>
  <si>
    <t>Indirect Fixed Cost</t>
  </si>
  <si>
    <t>I do not assign any rent or custodial service cost to "Commercial". These costs appear to be unaffected by operating this segment or not operating it
(you need the facilities and the services anyway for "Internal").</t>
  </si>
  <si>
    <t>Sales (salaries)</t>
  </si>
  <si>
    <t>This spreadsheet is an example of an "improved" Income Statement format that provides a more immediate decision support than a IFRS/GAAP format. It is intended only to illustrate how some simple steps can vastly improve the quality of information; it is not intended to be taken as "the ultimate" format.</t>
  </si>
  <si>
    <t>On the other hand, I make a rough guess about the capacity needs of each business segment (the case doesn't provide sufficient information). Some
simple calculations lead me to believe that the "internal" segment needs approx. 50% of the resources. I thus assign all other common resources with a crude but illustrative 50%-50% split.</t>
  </si>
  <si>
    <t>(alternative format)</t>
  </si>
  <si>
    <t>CM-Ratio = 771.30/800.00 = 0.96</t>
  </si>
  <si>
    <t>Revenues (at market price)</t>
  </si>
  <si>
    <t>Revenue adjustment</t>
  </si>
  <si>
    <t>Direct fixed costs</t>
  </si>
  <si>
    <t>Total direct fixed costs</t>
  </si>
  <si>
    <t>Division break-even</t>
  </si>
  <si>
    <t>Profit "as if" (stand alone operation)</t>
  </si>
  <si>
    <t>Indirect fixed costs</t>
  </si>
  <si>
    <t>Direct profit "as if" (stand alone operation)</t>
  </si>
  <si>
    <t>Assumption: the allocated costs perfectly measure the opportunity costs that an independent SDS would have to pay to a third party in order to obtain the needed space and services.</t>
  </si>
  <si>
    <t>Other costs</t>
  </si>
  <si>
    <t>In substance, the "discount" to STC is similar to a special tax (involuntary, unavoidable reduction in profits imposed by a public authority).</t>
  </si>
  <si>
    <t>Total sales, ignoring the intracompany revenue adjustment!</t>
  </si>
  <si>
    <t>Here, I list the direct fixed costs in their approximate order of "cost stickiness": from "discretionary" over "less committed" and "more comitted" to "sunk". You may have a different assessment of how sticky each cost position is and may therefore arrive at a different order; we don't really have sufficient information (contracts, management practice, …) to make a definite assessment.</t>
  </si>
  <si>
    <r>
      <t xml:space="preserve">Market price for </t>
    </r>
    <r>
      <rPr>
        <i/>
        <u/>
        <sz val="10"/>
        <rFont val="Arial"/>
        <family val="2"/>
      </rPr>
      <t>all</t>
    </r>
    <r>
      <rPr>
        <i/>
        <sz val="10"/>
        <rFont val="Arial"/>
        <family val="2"/>
      </rPr>
      <t xml:space="preserve"> revenue hours.</t>
    </r>
  </si>
  <si>
    <t>What if SDS was an independent entity? How profitable would it be?</t>
  </si>
  <si>
    <t>Segment break-even, commercial sales</t>
  </si>
  <si>
    <t>Proft/Loss without intra-company transfers</t>
  </si>
  <si>
    <t>Remark:</t>
  </si>
  <si>
    <t>Cash flow</t>
  </si>
  <si>
    <t>Contribution Income Statement</t>
  </si>
  <si>
    <t>Leases, Depreciation, Maintenance</t>
  </si>
  <si>
    <t>Power</t>
  </si>
  <si>
    <t>Operations: hourly</t>
  </si>
  <si>
    <t>Operation Salaries &amp; SGA</t>
  </si>
  <si>
    <t>Commercial sales</t>
  </si>
  <si>
    <t>Total revenue</t>
  </si>
  <si>
    <t>Space</t>
  </si>
  <si>
    <t>Equipment</t>
  </si>
  <si>
    <t>Direct profit</t>
  </si>
  <si>
    <t>Contribution of SDS to STC</t>
  </si>
  <si>
    <t>Cost savings generated</t>
  </si>
  <si>
    <t>Contribution of SDS to the parent company STC</t>
  </si>
  <si>
    <t>Contribution before any intra-company effects</t>
  </si>
  <si>
    <t>Net cost savings</t>
  </si>
  <si>
    <t>Opportunity benefit: the cost of the next best alternative forgone.</t>
  </si>
  <si>
    <t>Contribution margin of commercial sales to SDS</t>
  </si>
  <si>
    <t>(indicative of average month)</t>
  </si>
  <si>
    <t>Service needs (at market price)</t>
  </si>
  <si>
    <t>Revenues (at subsidized price)</t>
  </si>
  <si>
    <t>Total contribution margin</t>
  </si>
  <si>
    <t>Contribution margin of commercial sales</t>
  </si>
  <si>
    <t>As these 2 positions are not critical, treat them as "fixed" for simplicity.</t>
  </si>
  <si>
    <t xml:space="preserve">   Intracompany sales</t>
  </si>
  <si>
    <t>Intracompany sales</t>
  </si>
  <si>
    <t>Contribution margin of intracompany sales</t>
  </si>
  <si>
    <t>Possible sales promotion (= increase in fixed cost)</t>
  </si>
  <si>
    <t>If no other fixed cost changes, then you can spend this much
on promotion and still break even.</t>
  </si>
  <si>
    <t>(suggested format)</t>
  </si>
  <si>
    <t>(suggested format, abridged)</t>
  </si>
  <si>
    <t>(abridged)</t>
  </si>
  <si>
    <t>(basic)</t>
  </si>
  <si>
    <t>(basic, abridged)</t>
  </si>
  <si>
    <t>(suggested CIS format, abridged)</t>
  </si>
  <si>
    <t>Identifiable fixed costs</t>
  </si>
  <si>
    <t>Total identifiable fixed costs</t>
  </si>
  <si>
    <t>@ 50% (for illustration only)</t>
  </si>
  <si>
    <t>Net variable cost savings</t>
  </si>
  <si>
    <t>Segment contribution margin</t>
  </si>
  <si>
    <t>Intracompany transactions (effect on SDS)</t>
  </si>
  <si>
    <t>Intracompany transactions (effect on parent company STC)</t>
  </si>
  <si>
    <t>Service needs (at transfer price)</t>
  </si>
  <si>
    <t>Use of corporate resources:</t>
  </si>
  <si>
    <t>Intracompany transactions, profit effect</t>
  </si>
  <si>
    <t>Accounting profit of SDS</t>
  </si>
  <si>
    <t>Cost savings on service needs</t>
  </si>
  <si>
    <t>Incremental benefit: the cost of the next best alternative forgone.</t>
  </si>
  <si>
    <t>1: Overview</t>
  </si>
  <si>
    <t>Worksheet</t>
  </si>
  <si>
    <t>Content</t>
  </si>
  <si>
    <t>Case sources used</t>
  </si>
  <si>
    <t>Exhibits</t>
  </si>
  <si>
    <t>Text</t>
  </si>
  <si>
    <t>2b: Analysis of Cost Behavior</t>
  </si>
  <si>
    <t>2a: Analysis of Cost Behavior</t>
  </si>
  <si>
    <t>4: Considered marketing actions to improve divisional profit</t>
  </si>
  <si>
    <t>3b: Contribution income statement</t>
  </si>
  <si>
    <t>3a: Contribution income statement</t>
  </si>
  <si>
    <t>4 Marketing</t>
  </si>
  <si>
    <r>
      <t xml:space="preserve">This table lists the worksheets with additional content that is </t>
    </r>
    <r>
      <rPr>
        <b/>
        <sz val="10"/>
        <rFont val="Arial"/>
        <family val="2"/>
      </rPr>
      <t>not</t>
    </r>
    <r>
      <rPr>
        <sz val="10"/>
        <rFont val="Arial"/>
        <family val="2"/>
      </rPr>
      <t xml:space="preserve"> necessary or required for appreciating the key learning points of the case. </t>
    </r>
  </si>
  <si>
    <t>a. Worksheets for case discussion (core content; all students)</t>
  </si>
  <si>
    <t>b. Worksheets for case discussion (extra content; advanced students)</t>
  </si>
  <si>
    <t>6a CIS advcd (abr)</t>
  </si>
  <si>
    <t>This table contains the worksheets with the numbers developed and discussed in class, either on the board or in the slides.</t>
  </si>
  <si>
    <t>Comparison of the two alternatives "keep open as is" and "shut down" (developed on the board). The decision between these two alternatives rests exclusively on the transactions with third parties outside of Salem Telephone. Put differently, it ignores any "left-pocket-right-pocket" transactions between the parent and the subsidiary.</t>
  </si>
  <si>
    <t>3b CIS basic (abr)</t>
  </si>
  <si>
    <t>Analysis of the alternatives proposed by the marketing manager (developed on the board).</t>
  </si>
  <si>
    <t>Analysis of the cost behavior (variable or fixed) of the line items in the Income Statements; abridged version (shown in the class slides).</t>
  </si>
  <si>
    <t>Detailed version of worksheet 2a that shows all line items as listed in Exhibit 2.</t>
  </si>
  <si>
    <t>2b CB</t>
  </si>
  <si>
    <t>2a CB (abr)</t>
  </si>
  <si>
    <t>1, 2</t>
  </si>
  <si>
    <t>p.2, bottom</t>
  </si>
  <si>
    <t>Detailed version of worksheet 3a that shows all line items as listed in Exhibit 2.</t>
  </si>
  <si>
    <t>3b CIS basic</t>
  </si>
  <si>
    <r>
      <rPr>
        <b/>
        <sz val="10"/>
        <rFont val="Arial"/>
        <family val="2"/>
      </rPr>
      <t>C</t>
    </r>
    <r>
      <rPr>
        <sz val="10"/>
        <rFont val="Arial"/>
        <family val="2"/>
      </rPr>
      <t xml:space="preserve">ontribution </t>
    </r>
    <r>
      <rPr>
        <b/>
        <sz val="10"/>
        <rFont val="Arial"/>
        <family val="2"/>
      </rPr>
      <t>I</t>
    </r>
    <r>
      <rPr>
        <sz val="10"/>
        <rFont val="Arial"/>
        <family val="2"/>
      </rPr>
      <t xml:space="preserve">ncome </t>
    </r>
    <r>
      <rPr>
        <b/>
        <sz val="10"/>
        <rFont val="Arial"/>
        <family val="2"/>
      </rPr>
      <t>S</t>
    </r>
    <r>
      <rPr>
        <sz val="10"/>
        <rFont val="Arial"/>
        <family val="2"/>
      </rPr>
      <t>tatement, abridged version (as shown in the class slides). A simple but powerful step towards generating a truly informative accounting report is to reorganize the original Income Statement and to highlight contribution margins per client and fixed costs.</t>
    </r>
  </si>
  <si>
    <t>One possible layout for a CIS that explicitly shows the parent company's benefit of operating the subsidiary "as is" as compared to the alternative "shut down". Abridged version (used in the class slides).</t>
  </si>
  <si>
    <t>6b CIS advcd</t>
  </si>
  <si>
    <t>Detailed version of worksheet 6a that shows all line items as listed in Exhibit 2.</t>
  </si>
  <si>
    <t>6c CIS advcd Alt.1</t>
  </si>
  <si>
    <t>6d CIS advcd Alt.2</t>
  </si>
  <si>
    <t xml:space="preserve">As there is no unique "best" CIS, yet another possible layout (you could come up with more alternative layouts). The choice for a specific layout depends on the preference of the manager, his desire to highlight a certain aspects, and the specific company context. </t>
  </si>
  <si>
    <t>7a SIS (abr)</t>
  </si>
  <si>
    <t>If we can identify which proportion of the productive capacity is attributable to serving the parent company, then we can also separate out the fixed costs across the two clients. Abridged version (used in the class slides).</t>
  </si>
  <si>
    <t>7b SIS</t>
  </si>
  <si>
    <t>Detailed version of worksheet 7a that shows all line items as listed in Exhibit 2.</t>
  </si>
  <si>
    <t>(continued below)</t>
  </si>
  <si>
    <t>(continued from above)</t>
  </si>
  <si>
    <t>Another possible layout for a CIS that explicitly shows the parent company's benefit. This version links this benefit to the accounting profit/loss.</t>
  </si>
  <si>
    <t>6a: Contribution income statement</t>
  </si>
  <si>
    <t>7a: Segment income statement</t>
  </si>
  <si>
    <t>6b: Contribution income statement</t>
  </si>
  <si>
    <t>6c: Contribution income statement</t>
  </si>
  <si>
    <t>6d: Contribution income statement</t>
  </si>
  <si>
    <t>7b: Segment reporting</t>
  </si>
  <si>
    <t>External sourcing of IT-needs from a service provider (at market price)</t>
  </si>
  <si>
    <t>Total costs</t>
  </si>
  <si>
    <t>5b Decision</t>
  </si>
  <si>
    <t>Detailed version of worksheet 5a that shows all line items as listed in Exhibit 2.</t>
  </si>
  <si>
    <t>5a Decision (abr)</t>
  </si>
  <si>
    <t>5b: Retention vs. Divestment Decision</t>
  </si>
  <si>
    <t>5a: Retention vs. Divestment Decision</t>
  </si>
  <si>
    <t xml:space="preserve">This Excel file contains some calculations and numbers that serve as the basis for class discussion. It has been prepared solely for your personal use with the purpose to foster your learning progress as participant in a program personally taught by the author. This file and any information contained therein may not be circulated, transmitted, reproduced, quoted, referred to or otherwise used, in part or in full, without the prior written consent of the author. Copyright (c) 2009-2022 Markus Maedler.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</si>
</sst>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180" formatCode="&quot;$&quot;#,##0"/>
    <numFmt numFmtId="194" formatCode="0.0"/>
    <numFmt numFmtId="196" formatCode="&quot;$&quot;#,##0.00"/>
  </numFmts>
  <fonts count="15" x14ac:knownFonts="1">
    <font>
      <sz val="10"/>
      <name val="Arial"/>
    </font>
    <font>
      <sz val="10"/>
      <name val="Arial"/>
    </font>
    <font>
      <b/>
      <sz val="10"/>
      <name val="Arial"/>
      <family val="2"/>
    </font>
    <font>
      <i/>
      <sz val="10"/>
      <name val="Arial"/>
      <family val="2"/>
    </font>
    <font>
      <sz val="10"/>
      <name val="Arial"/>
      <family val="2"/>
    </font>
    <font>
      <sz val="10"/>
      <name val="Arial"/>
      <family val="2"/>
    </font>
    <font>
      <b/>
      <i/>
      <sz val="10"/>
      <name val="Arial"/>
      <family val="2"/>
    </font>
    <font>
      <b/>
      <u/>
      <sz val="10"/>
      <name val="Arial"/>
      <family val="2"/>
    </font>
    <font>
      <u/>
      <sz val="10"/>
      <name val="Arial"/>
      <family val="2"/>
    </font>
    <font>
      <i/>
      <u/>
      <sz val="10"/>
      <name val="Arial"/>
      <family val="2"/>
    </font>
    <font>
      <sz val="8"/>
      <name val="Arial"/>
      <family val="2"/>
    </font>
    <font>
      <sz val="10"/>
      <color rgb="FFFF0000"/>
      <name val="Arial"/>
      <family val="2"/>
    </font>
    <font>
      <b/>
      <sz val="10"/>
      <color rgb="FF00B050"/>
      <name val="Arial"/>
      <family val="2"/>
    </font>
    <font>
      <b/>
      <sz val="10"/>
      <color rgb="FFFF0000"/>
      <name val="Arial"/>
      <family val="2"/>
    </font>
    <font>
      <b/>
      <sz val="10"/>
      <color rgb="FF0070C0"/>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diagonal/>
    </border>
    <border>
      <left/>
      <right/>
      <top style="double">
        <color indexed="64"/>
      </top>
      <bottom/>
      <diagonal/>
    </border>
    <border>
      <left/>
      <right/>
      <top style="thin">
        <color indexed="64"/>
      </top>
      <bottom/>
      <diagonal/>
    </border>
  </borders>
  <cellStyleXfs count="3">
    <xf numFmtId="0" fontId="0" fillId="0" borderId="0"/>
    <xf numFmtId="0" fontId="4" fillId="0" borderId="0"/>
    <xf numFmtId="9" fontId="1" fillId="0" borderId="0" applyFont="0" applyFill="0" applyBorder="0" applyAlignment="0" applyProtection="0"/>
  </cellStyleXfs>
  <cellXfs count="165">
    <xf numFmtId="0" fontId="0" fillId="0" borderId="0" xfId="0"/>
    <xf numFmtId="0" fontId="2" fillId="0" borderId="0" xfId="0" applyFont="1"/>
    <xf numFmtId="0" fontId="0" fillId="0" borderId="1" xfId="0" applyBorder="1"/>
    <xf numFmtId="0" fontId="2" fillId="0" borderId="2" xfId="0" applyFont="1" applyBorder="1" applyAlignment="1">
      <alignment horizontal="center"/>
    </xf>
    <xf numFmtId="180" fontId="0" fillId="0" borderId="0" xfId="0" applyNumberFormat="1"/>
    <xf numFmtId="3" fontId="0" fillId="0" borderId="0" xfId="0" applyNumberFormat="1"/>
    <xf numFmtId="3" fontId="0" fillId="0" borderId="1" xfId="0" applyNumberFormat="1" applyBorder="1"/>
    <xf numFmtId="180" fontId="0" fillId="0" borderId="3" xfId="0" applyNumberFormat="1" applyBorder="1"/>
    <xf numFmtId="42" fontId="0" fillId="0" borderId="0" xfId="0" applyNumberFormat="1"/>
    <xf numFmtId="42" fontId="0" fillId="0" borderId="1" xfId="0" applyNumberFormat="1" applyBorder="1"/>
    <xf numFmtId="0" fontId="2" fillId="0" borderId="0" xfId="0" applyFont="1" applyFill="1" applyBorder="1" applyAlignment="1">
      <alignment horizontal="center"/>
    </xf>
    <xf numFmtId="2" fontId="0" fillId="0" borderId="0" xfId="0" applyNumberFormat="1"/>
    <xf numFmtId="2" fontId="0" fillId="0" borderId="1" xfId="0" applyNumberFormat="1" applyBorder="1"/>
    <xf numFmtId="2" fontId="0" fillId="0" borderId="3" xfId="0" applyNumberFormat="1" applyBorder="1"/>
    <xf numFmtId="0" fontId="2" fillId="0" borderId="0" xfId="0" applyFont="1" applyAlignment="1">
      <alignment horizontal="center"/>
    </xf>
    <xf numFmtId="0" fontId="5" fillId="0" borderId="0" xfId="0" applyFont="1"/>
    <xf numFmtId="2" fontId="6" fillId="0" borderId="1" xfId="0" applyNumberFormat="1" applyFont="1" applyBorder="1"/>
    <xf numFmtId="2" fontId="6" fillId="0" borderId="0" xfId="0" applyNumberFormat="1" applyFont="1"/>
    <xf numFmtId="194" fontId="0" fillId="0" borderId="0" xfId="0" applyNumberFormat="1"/>
    <xf numFmtId="4" fontId="0" fillId="0" borderId="0" xfId="0" applyNumberFormat="1"/>
    <xf numFmtId="1" fontId="0" fillId="0" borderId="0" xfId="0" applyNumberFormat="1"/>
    <xf numFmtId="3" fontId="0" fillId="0" borderId="0" xfId="0" applyNumberFormat="1" applyBorder="1"/>
    <xf numFmtId="2" fontId="11" fillId="0" borderId="0" xfId="0" applyNumberFormat="1" applyFont="1"/>
    <xf numFmtId="180" fontId="2" fillId="0" borderId="0" xfId="0" applyNumberFormat="1" applyFont="1"/>
    <xf numFmtId="2" fontId="2" fillId="0" borderId="0" xfId="0" applyNumberFormat="1" applyFont="1"/>
    <xf numFmtId="9" fontId="0" fillId="0" borderId="0" xfId="2" applyFont="1"/>
    <xf numFmtId="9" fontId="2" fillId="0" borderId="0" xfId="0" applyNumberFormat="1" applyFont="1"/>
    <xf numFmtId="194" fontId="2" fillId="0" borderId="0" xfId="0" applyNumberFormat="1" applyFont="1"/>
    <xf numFmtId="0" fontId="5" fillId="0" borderId="0" xfId="0" applyFont="1" applyAlignment="1">
      <alignment horizontal="center"/>
    </xf>
    <xf numFmtId="0" fontId="5" fillId="0" borderId="0" xfId="0" applyFont="1" applyAlignment="1"/>
    <xf numFmtId="194" fontId="5" fillId="0" borderId="0" xfId="0" applyNumberFormat="1" applyFont="1"/>
    <xf numFmtId="9" fontId="5" fillId="0" borderId="0" xfId="0" applyNumberFormat="1" applyFont="1"/>
    <xf numFmtId="2" fontId="5" fillId="0" borderId="0" xfId="0" applyNumberFormat="1" applyFont="1"/>
    <xf numFmtId="2" fontId="5" fillId="0" borderId="1" xfId="0" applyNumberFormat="1" applyFont="1" applyBorder="1"/>
    <xf numFmtId="0" fontId="5" fillId="0" borderId="0" xfId="0" applyFont="1" applyAlignment="1">
      <alignment horizontal="left" indent="1"/>
    </xf>
    <xf numFmtId="0" fontId="0" fillId="0" borderId="0" xfId="0" applyAlignment="1">
      <alignment horizontal="center"/>
    </xf>
    <xf numFmtId="0" fontId="2" fillId="0" borderId="0" xfId="0" applyFont="1" applyAlignment="1"/>
    <xf numFmtId="0" fontId="2" fillId="0" borderId="1" xfId="0" applyFont="1" applyBorder="1" applyAlignment="1"/>
    <xf numFmtId="0" fontId="3" fillId="0" borderId="0" xfId="0" applyFont="1"/>
    <xf numFmtId="180" fontId="0" fillId="0" borderId="1" xfId="0" applyNumberFormat="1" applyBorder="1"/>
    <xf numFmtId="196" fontId="0" fillId="0" borderId="0" xfId="0" applyNumberFormat="1" applyBorder="1"/>
    <xf numFmtId="0" fontId="5" fillId="0" borderId="0" xfId="0" applyFont="1" applyAlignment="1">
      <alignment horizontal="left" indent="2"/>
    </xf>
    <xf numFmtId="0" fontId="6" fillId="0" borderId="0" xfId="0" applyFont="1" applyAlignment="1">
      <alignment horizontal="center"/>
    </xf>
    <xf numFmtId="194" fontId="0" fillId="0" borderId="1" xfId="0" applyNumberFormat="1" applyBorder="1"/>
    <xf numFmtId="0" fontId="2" fillId="0" borderId="0" xfId="0" applyFont="1" applyBorder="1" applyAlignment="1">
      <alignment horizontal="center"/>
    </xf>
    <xf numFmtId="0" fontId="0" fillId="0" borderId="0" xfId="0" applyAlignment="1">
      <alignment horizontal="left" indent="1"/>
    </xf>
    <xf numFmtId="0" fontId="3" fillId="0" borderId="0" xfId="0" applyFont="1" applyAlignment="1">
      <alignment vertical="top" wrapText="1"/>
    </xf>
    <xf numFmtId="3" fontId="8" fillId="0" borderId="1" xfId="0" applyNumberFormat="1" applyFont="1" applyBorder="1"/>
    <xf numFmtId="0" fontId="4" fillId="0" borderId="0" xfId="0" applyFont="1"/>
    <xf numFmtId="0" fontId="4" fillId="0" borderId="0" xfId="0" applyFont="1" applyAlignment="1"/>
    <xf numFmtId="0" fontId="0" fillId="0" borderId="0" xfId="0" applyBorder="1"/>
    <xf numFmtId="180" fontId="0" fillId="0" borderId="0" xfId="0" applyNumberFormat="1" applyBorder="1"/>
    <xf numFmtId="1" fontId="0" fillId="0" borderId="0" xfId="0" applyNumberFormat="1" applyBorder="1"/>
    <xf numFmtId="180" fontId="2" fillId="0" borderId="0" xfId="0" applyNumberFormat="1" applyFont="1" applyBorder="1"/>
    <xf numFmtId="2" fontId="0" fillId="0" borderId="0" xfId="0" applyNumberFormat="1" applyBorder="1"/>
    <xf numFmtId="0" fontId="2" fillId="0" borderId="0" xfId="0" applyFont="1" applyBorder="1" applyAlignment="1"/>
    <xf numFmtId="0" fontId="2" fillId="0" borderId="0" xfId="0" applyFont="1" applyBorder="1"/>
    <xf numFmtId="0" fontId="3" fillId="0" borderId="0" xfId="0" applyFont="1" applyBorder="1"/>
    <xf numFmtId="0" fontId="3" fillId="0" borderId="0" xfId="0" applyFont="1" applyBorder="1" applyAlignment="1">
      <alignment vertical="top" wrapText="1"/>
    </xf>
    <xf numFmtId="0" fontId="0" fillId="0" borderId="4" xfId="0" applyBorder="1"/>
    <xf numFmtId="0" fontId="0" fillId="0" borderId="5" xfId="0" applyBorder="1"/>
    <xf numFmtId="0" fontId="3" fillId="0" borderId="6" xfId="0" applyFont="1" applyBorder="1" applyAlignment="1">
      <alignment vertical="top" wrapText="1"/>
    </xf>
    <xf numFmtId="3" fontId="8" fillId="0" borderId="0" xfId="0" applyNumberFormat="1" applyFont="1" applyBorder="1"/>
    <xf numFmtId="0" fontId="4" fillId="0" borderId="1" xfId="0" applyFont="1" applyBorder="1"/>
    <xf numFmtId="2" fontId="4" fillId="0" borderId="1" xfId="0" applyNumberFormat="1" applyFont="1" applyBorder="1"/>
    <xf numFmtId="0" fontId="0" fillId="0" borderId="6" xfId="0" applyBorder="1"/>
    <xf numFmtId="0" fontId="2" fillId="0" borderId="6" xfId="0" applyFont="1" applyBorder="1"/>
    <xf numFmtId="0" fontId="4" fillId="0" borderId="0" xfId="0" applyFont="1" applyAlignment="1">
      <alignment horizontal="center"/>
    </xf>
    <xf numFmtId="0" fontId="2" fillId="0" borderId="7" xfId="0" applyFont="1" applyBorder="1" applyAlignment="1">
      <alignment horizontal="center"/>
    </xf>
    <xf numFmtId="0" fontId="0" fillId="0" borderId="7" xfId="0" applyBorder="1" applyAlignment="1">
      <alignment horizontal="center"/>
    </xf>
    <xf numFmtId="0" fontId="0" fillId="0" borderId="7" xfId="0" applyBorder="1"/>
    <xf numFmtId="0" fontId="4" fillId="0" borderId="7" xfId="0" applyFont="1" applyBorder="1"/>
    <xf numFmtId="0" fontId="2" fillId="0" borderId="0" xfId="0" applyFont="1" applyAlignment="1">
      <alignment horizontal="center" wrapText="1"/>
    </xf>
    <xf numFmtId="0" fontId="2" fillId="0" borderId="0" xfId="0" applyFont="1" applyAlignment="1">
      <alignment horizontal="left"/>
    </xf>
    <xf numFmtId="196" fontId="2" fillId="0" borderId="0" xfId="0" applyNumberFormat="1" applyFont="1" applyBorder="1"/>
    <xf numFmtId="0" fontId="4" fillId="0" borderId="0" xfId="0" applyFont="1" applyAlignment="1">
      <alignment horizontal="left"/>
    </xf>
    <xf numFmtId="0" fontId="4" fillId="0" borderId="0" xfId="0" applyFont="1" applyAlignment="1">
      <alignment horizontal="left" indent="1"/>
    </xf>
    <xf numFmtId="0" fontId="0" fillId="0" borderId="0" xfId="0" applyAlignment="1">
      <alignment vertical="center"/>
    </xf>
    <xf numFmtId="0" fontId="2" fillId="0" borderId="2" xfId="0" applyFont="1" applyBorder="1" applyAlignment="1">
      <alignment horizontal="center" vertical="center"/>
    </xf>
    <xf numFmtId="0" fontId="6" fillId="0" borderId="0" xfId="0" applyFont="1"/>
    <xf numFmtId="194" fontId="4" fillId="0" borderId="0" xfId="0" applyNumberFormat="1" applyFont="1"/>
    <xf numFmtId="0" fontId="4" fillId="0" borderId="0" xfId="0" applyFont="1" applyBorder="1"/>
    <xf numFmtId="180" fontId="4" fillId="0" borderId="0" xfId="0" applyNumberFormat="1" applyFont="1"/>
    <xf numFmtId="0" fontId="3" fillId="0" borderId="0" xfId="0" applyFont="1" applyAlignment="1">
      <alignment vertical="top"/>
    </xf>
    <xf numFmtId="0" fontId="3" fillId="0" borderId="0" xfId="0" applyFont="1" applyAlignment="1">
      <alignment horizontal="left" vertical="top" wrapText="1"/>
    </xf>
    <xf numFmtId="180" fontId="4" fillId="0" borderId="0" xfId="0" applyNumberFormat="1" applyFont="1" applyBorder="1"/>
    <xf numFmtId="2" fontId="5" fillId="0" borderId="0" xfId="0" applyNumberFormat="1" applyFont="1" applyBorder="1"/>
    <xf numFmtId="194" fontId="5" fillId="0" borderId="1" xfId="0" applyNumberFormat="1" applyFont="1" applyBorder="1"/>
    <xf numFmtId="0" fontId="5" fillId="0" borderId="1" xfId="0" applyFont="1" applyBorder="1"/>
    <xf numFmtId="180" fontId="2" fillId="0" borderId="3" xfId="0" applyNumberFormat="1" applyFont="1" applyBorder="1"/>
    <xf numFmtId="196" fontId="0" fillId="0" borderId="0" xfId="0" applyNumberFormat="1"/>
    <xf numFmtId="196" fontId="0" fillId="0" borderId="3" xfId="0" applyNumberFormat="1" applyBorder="1"/>
    <xf numFmtId="196" fontId="2" fillId="0" borderId="0" xfId="0" applyNumberFormat="1" applyFont="1"/>
    <xf numFmtId="0" fontId="12" fillId="0" borderId="0" xfId="0" applyFont="1" applyAlignment="1">
      <alignment horizontal="left"/>
    </xf>
    <xf numFmtId="3" fontId="12" fillId="0" borderId="1" xfId="0" applyNumberFormat="1" applyFont="1" applyBorder="1"/>
    <xf numFmtId="0" fontId="12" fillId="0" borderId="0" xfId="0" applyFont="1"/>
    <xf numFmtId="0" fontId="13" fillId="0" borderId="0" xfId="0" applyFont="1"/>
    <xf numFmtId="3" fontId="13" fillId="0" borderId="0" xfId="0" applyNumberFormat="1" applyFont="1"/>
    <xf numFmtId="4" fontId="13" fillId="0" borderId="0" xfId="0" applyNumberFormat="1" applyFont="1"/>
    <xf numFmtId="196" fontId="0" fillId="0" borderId="1" xfId="0" applyNumberFormat="1" applyBorder="1"/>
    <xf numFmtId="4" fontId="12" fillId="0" borderId="1" xfId="0" applyNumberFormat="1" applyFont="1" applyBorder="1"/>
    <xf numFmtId="0" fontId="14" fillId="0" borderId="0" xfId="0" applyFont="1"/>
    <xf numFmtId="3" fontId="14" fillId="0" borderId="0" xfId="0" applyNumberFormat="1" applyFont="1"/>
    <xf numFmtId="4" fontId="14" fillId="0" borderId="0" xfId="0" applyNumberFormat="1" applyFont="1"/>
    <xf numFmtId="2" fontId="4" fillId="0" borderId="0" xfId="0" applyNumberFormat="1" applyFont="1" applyBorder="1"/>
    <xf numFmtId="0" fontId="3" fillId="0" borderId="0" xfId="0" applyFont="1" applyAlignment="1">
      <alignment horizontal="left"/>
    </xf>
    <xf numFmtId="0" fontId="4" fillId="0" borderId="0" xfId="0" applyFont="1" applyAlignment="1">
      <alignment horizontal="left" indent="2"/>
    </xf>
    <xf numFmtId="2" fontId="4" fillId="0" borderId="0" xfId="0" applyNumberFormat="1" applyFont="1"/>
    <xf numFmtId="3" fontId="4" fillId="0" borderId="0" xfId="0" applyNumberFormat="1" applyFont="1"/>
    <xf numFmtId="0" fontId="4" fillId="0" borderId="0" xfId="1"/>
    <xf numFmtId="0" fontId="2" fillId="0" borderId="0" xfId="1" applyFont="1"/>
    <xf numFmtId="0" fontId="4" fillId="0" borderId="0" xfId="1" applyFont="1"/>
    <xf numFmtId="0" fontId="2" fillId="0" borderId="0" xfId="1" applyFont="1" applyAlignment="1">
      <alignment vertical="top"/>
    </xf>
    <xf numFmtId="0" fontId="4" fillId="0" borderId="0" xfId="1" applyAlignment="1">
      <alignment vertical="top"/>
    </xf>
    <xf numFmtId="0" fontId="2" fillId="0" borderId="1" xfId="1" applyFont="1" applyBorder="1" applyAlignment="1">
      <alignment horizontal="left"/>
    </xf>
    <xf numFmtId="0" fontId="4" fillId="0" borderId="0" xfId="1" applyFont="1" applyAlignment="1">
      <alignment horizontal="left"/>
    </xf>
    <xf numFmtId="0" fontId="2" fillId="0" borderId="0" xfId="1" applyFont="1" applyAlignment="1">
      <alignment horizontal="center"/>
    </xf>
    <xf numFmtId="0" fontId="4" fillId="0" borderId="0" xfId="1" applyFont="1" applyAlignment="1">
      <alignment horizontal="center"/>
    </xf>
    <xf numFmtId="0" fontId="4" fillId="0" borderId="0" xfId="1" applyFont="1" applyAlignment="1">
      <alignment vertical="top"/>
    </xf>
    <xf numFmtId="0" fontId="4" fillId="0" borderId="0" xfId="1" applyFont="1" applyAlignment="1">
      <alignment horizontal="left" vertical="top"/>
    </xf>
    <xf numFmtId="0" fontId="4" fillId="0" borderId="0" xfId="1" applyFont="1" applyAlignment="1">
      <alignment vertical="top" wrapText="1"/>
    </xf>
    <xf numFmtId="0" fontId="4" fillId="0" borderId="0" xfId="1" applyAlignment="1">
      <alignment horizontal="left" vertical="top"/>
    </xf>
    <xf numFmtId="0" fontId="2" fillId="0" borderId="0" xfId="1" applyFont="1" applyBorder="1" applyAlignment="1">
      <alignment horizontal="left" vertical="center"/>
    </xf>
    <xf numFmtId="0" fontId="2" fillId="0" borderId="0" xfId="1" applyFont="1" applyBorder="1" applyAlignment="1">
      <alignment horizontal="left"/>
    </xf>
    <xf numFmtId="2" fontId="6" fillId="0" borderId="3" xfId="0" applyNumberFormat="1" applyFont="1" applyBorder="1"/>
    <xf numFmtId="3" fontId="6" fillId="0" borderId="0" xfId="0" applyNumberFormat="1" applyFont="1" applyBorder="1"/>
    <xf numFmtId="3" fontId="6" fillId="0" borderId="0" xfId="0" applyNumberFormat="1" applyFont="1"/>
    <xf numFmtId="180" fontId="6" fillId="0" borderId="3" xfId="0" applyNumberFormat="1" applyFont="1" applyBorder="1"/>
    <xf numFmtId="0" fontId="6" fillId="0" borderId="0" xfId="0" applyFont="1" applyAlignment="1">
      <alignment horizontal="left"/>
    </xf>
    <xf numFmtId="0" fontId="6" fillId="0" borderId="0" xfId="0" applyFont="1" applyBorder="1"/>
    <xf numFmtId="180" fontId="6" fillId="0" borderId="0" xfId="0" applyNumberFormat="1" applyFont="1" applyBorder="1"/>
    <xf numFmtId="0" fontId="4" fillId="0" borderId="0" xfId="1" applyAlignment="1">
      <alignment vertical="top" wrapText="1"/>
    </xf>
    <xf numFmtId="0" fontId="4" fillId="0" borderId="0" xfId="1" applyFont="1" applyBorder="1" applyAlignment="1">
      <alignment horizontal="left" vertical="center"/>
    </xf>
    <xf numFmtId="0" fontId="4" fillId="0" borderId="0" xfId="1" applyFont="1" applyBorder="1" applyAlignment="1">
      <alignment horizontal="left"/>
    </xf>
    <xf numFmtId="0" fontId="10" fillId="0" borderId="0" xfId="1" applyFont="1" applyBorder="1" applyAlignment="1">
      <alignment horizontal="left" vertical="center"/>
    </xf>
    <xf numFmtId="180" fontId="2" fillId="0" borderId="0" xfId="0" applyNumberFormat="1" applyFont="1" applyBorder="1" applyAlignment="1"/>
    <xf numFmtId="0" fontId="3" fillId="0" borderId="4" xfId="0" applyFont="1" applyBorder="1"/>
    <xf numFmtId="0" fontId="6" fillId="0" borderId="4" xfId="0" applyFont="1" applyBorder="1"/>
    <xf numFmtId="0" fontId="3" fillId="0" borderId="4" xfId="0" applyFont="1" applyBorder="1" applyAlignment="1">
      <alignment vertical="top" wrapText="1"/>
    </xf>
    <xf numFmtId="0" fontId="4" fillId="0" borderId="0" xfId="0" applyFont="1" applyAlignment="1">
      <alignment horizontal="left" vertical="top" wrapText="1"/>
    </xf>
    <xf numFmtId="0" fontId="2" fillId="0" borderId="0" xfId="1" applyFont="1" applyBorder="1" applyAlignment="1">
      <alignment horizontal="left" vertical="top"/>
    </xf>
    <xf numFmtId="0" fontId="2" fillId="0" borderId="1" xfId="1" applyFont="1" applyBorder="1" applyAlignment="1">
      <alignment horizontal="left" vertical="top"/>
    </xf>
    <xf numFmtId="0" fontId="2" fillId="0" borderId="0" xfId="1" applyFont="1" applyAlignment="1">
      <alignment horizontal="left" vertical="center"/>
    </xf>
    <xf numFmtId="0" fontId="2" fillId="0" borderId="0" xfId="0" applyFont="1" applyAlignment="1">
      <alignment horizontal="center"/>
    </xf>
    <xf numFmtId="0" fontId="2" fillId="0" borderId="0" xfId="0" applyFont="1" applyAlignment="1">
      <alignment horizontal="center" wrapText="1"/>
    </xf>
    <xf numFmtId="0" fontId="2" fillId="0" borderId="2" xfId="0" applyFont="1" applyBorder="1" applyAlignment="1">
      <alignment horizontal="center"/>
    </xf>
    <xf numFmtId="0" fontId="3"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horizontal="center" vertical="center" wrapText="1"/>
    </xf>
    <xf numFmtId="0" fontId="7" fillId="0" borderId="0" xfId="0" applyFont="1" applyAlignment="1">
      <alignment horizontal="center"/>
    </xf>
    <xf numFmtId="0" fontId="4" fillId="0" borderId="0" xfId="0" applyFont="1" applyAlignment="1">
      <alignment horizontal="left" vertical="top" wrapText="1" indent="1"/>
    </xf>
    <xf numFmtId="0" fontId="5" fillId="0" borderId="0" xfId="0" applyFont="1" applyAlignment="1">
      <alignment horizontal="left" vertical="top" wrapText="1" indent="1"/>
    </xf>
    <xf numFmtId="0" fontId="4" fillId="0" borderId="0" xfId="0" quotePrefix="1" applyFont="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wrapText="1"/>
    </xf>
    <xf numFmtId="180" fontId="2" fillId="0" borderId="0" xfId="0" applyNumberFormat="1" applyFont="1" applyBorder="1" applyAlignment="1">
      <alignment horizontal="left"/>
    </xf>
    <xf numFmtId="180" fontId="2" fillId="0" borderId="8" xfId="0" applyNumberFormat="1" applyFont="1" applyBorder="1" applyAlignment="1">
      <alignment horizontal="left"/>
    </xf>
    <xf numFmtId="180" fontId="2" fillId="0" borderId="0" xfId="0" applyNumberFormat="1" applyFont="1" applyAlignment="1">
      <alignment horizontal="left"/>
    </xf>
    <xf numFmtId="180" fontId="2" fillId="0" borderId="8" xfId="0" applyNumberFormat="1" applyFont="1" applyBorder="1" applyAlignment="1">
      <alignment horizontal="right"/>
    </xf>
    <xf numFmtId="180" fontId="2" fillId="0" borderId="0" xfId="0" applyNumberFormat="1" applyFont="1" applyAlignment="1">
      <alignment horizontal="right"/>
    </xf>
    <xf numFmtId="0" fontId="5" fillId="0" borderId="0" xfId="0" applyFont="1" applyAlignment="1">
      <alignment horizontal="left" vertical="top" wrapText="1"/>
    </xf>
    <xf numFmtId="0" fontId="2" fillId="0" borderId="0" xfId="0" applyFont="1" applyAlignment="1">
      <alignment horizontal="left"/>
    </xf>
    <xf numFmtId="0" fontId="2" fillId="0" borderId="8" xfId="0" applyFont="1" applyBorder="1" applyAlignment="1">
      <alignment horizontal="left"/>
    </xf>
    <xf numFmtId="0" fontId="3" fillId="0" borderId="0" xfId="0" applyFont="1" applyBorder="1" applyAlignment="1">
      <alignment horizontal="left" vertical="top" wrapText="1"/>
    </xf>
    <xf numFmtId="0" fontId="2" fillId="0" borderId="9" xfId="0" applyFont="1" applyBorder="1" applyAlignment="1">
      <alignment horizontal="center" vertical="center"/>
    </xf>
  </cellXfs>
  <cellStyles count="3">
    <cellStyle name="Normal" xfId="0" builtinId="0"/>
    <cellStyle name="Normal 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8"/>
  <sheetViews>
    <sheetView tabSelected="1" zoomScaleNormal="100" workbookViewId="0"/>
  </sheetViews>
  <sheetFormatPr defaultColWidth="8.85546875" defaultRowHeight="12.75" x14ac:dyDescent="0.2"/>
  <cols>
    <col min="1" max="1" width="4.5703125" style="109" customWidth="1"/>
    <col min="2" max="2" width="16.7109375" style="109" customWidth="1"/>
    <col min="3" max="3" width="1.7109375" style="109" customWidth="1"/>
    <col min="4" max="4" width="81.140625" style="109" customWidth="1"/>
    <col min="5" max="5" width="1.7109375" style="109" customWidth="1"/>
    <col min="6" max="6" width="8.85546875" style="109"/>
    <col min="7" max="7" width="1.7109375" style="109" customWidth="1"/>
    <col min="8" max="8" width="18" style="109" bestFit="1" customWidth="1"/>
    <col min="9" max="16384" width="8.85546875" style="109"/>
  </cols>
  <sheetData>
    <row r="1" spans="1:9" x14ac:dyDescent="0.2">
      <c r="A1" s="110" t="s">
        <v>25</v>
      </c>
      <c r="C1" s="110"/>
      <c r="E1" s="110"/>
      <c r="G1" s="110"/>
    </row>
    <row r="2" spans="1:9" x14ac:dyDescent="0.2">
      <c r="A2" s="111" t="s">
        <v>179</v>
      </c>
      <c r="C2" s="111"/>
      <c r="E2" s="111"/>
      <c r="G2" s="111"/>
    </row>
    <row r="3" spans="1:9" x14ac:dyDescent="0.2">
      <c r="A3" s="111"/>
      <c r="C3" s="111"/>
      <c r="E3" s="111"/>
      <c r="G3" s="111"/>
    </row>
    <row r="5" spans="1:9" ht="52.9" customHeight="1" x14ac:dyDescent="0.2">
      <c r="A5" s="139" t="s">
        <v>234</v>
      </c>
      <c r="B5" s="139"/>
      <c r="C5" s="139"/>
      <c r="D5" s="139"/>
      <c r="E5" s="139"/>
      <c r="F5" s="139"/>
      <c r="G5" s="139"/>
      <c r="H5" s="139"/>
    </row>
    <row r="6" spans="1:9" x14ac:dyDescent="0.2">
      <c r="A6" s="111"/>
      <c r="C6" s="111"/>
      <c r="E6" s="111"/>
      <c r="G6" s="111"/>
    </row>
    <row r="7" spans="1:9" x14ac:dyDescent="0.2">
      <c r="A7" s="111"/>
      <c r="C7" s="111"/>
      <c r="E7" s="111"/>
      <c r="G7" s="111"/>
    </row>
    <row r="8" spans="1:9" x14ac:dyDescent="0.2">
      <c r="A8" s="110" t="s">
        <v>192</v>
      </c>
      <c r="C8" s="110"/>
      <c r="D8" s="110"/>
      <c r="E8" s="110"/>
      <c r="F8" s="111"/>
      <c r="G8" s="111"/>
      <c r="H8" s="111"/>
      <c r="I8" s="111"/>
    </row>
    <row r="9" spans="1:9" x14ac:dyDescent="0.2">
      <c r="B9" s="111"/>
      <c r="C9" s="111"/>
      <c r="D9" s="111"/>
      <c r="E9" s="111"/>
      <c r="F9" s="111"/>
      <c r="G9" s="111"/>
      <c r="H9" s="111"/>
      <c r="I9" s="111"/>
    </row>
    <row r="10" spans="1:9" x14ac:dyDescent="0.2">
      <c r="B10" s="111" t="s">
        <v>195</v>
      </c>
      <c r="D10" s="111"/>
      <c r="E10" s="111"/>
      <c r="F10" s="111"/>
      <c r="G10" s="111"/>
      <c r="H10" s="111"/>
      <c r="I10" s="111"/>
    </row>
    <row r="12" spans="1:9" s="110" customFormat="1" x14ac:dyDescent="0.2">
      <c r="B12" s="140" t="s">
        <v>180</v>
      </c>
      <c r="C12" s="112"/>
      <c r="D12" s="140" t="s">
        <v>181</v>
      </c>
      <c r="F12" s="142" t="s">
        <v>182</v>
      </c>
      <c r="G12" s="142"/>
      <c r="H12" s="142"/>
    </row>
    <row r="13" spans="1:9" x14ac:dyDescent="0.2">
      <c r="B13" s="141"/>
      <c r="C13" s="113"/>
      <c r="D13" s="141"/>
      <c r="F13" s="114" t="s">
        <v>183</v>
      </c>
      <c r="G13" s="115"/>
      <c r="H13" s="114" t="s">
        <v>184</v>
      </c>
    </row>
    <row r="14" spans="1:9" ht="7.15" customHeight="1" x14ac:dyDescent="0.2">
      <c r="F14" s="116"/>
      <c r="G14" s="117"/>
      <c r="H14" s="116"/>
    </row>
    <row r="15" spans="1:9" s="113" customFormat="1" ht="39.6" customHeight="1" x14ac:dyDescent="0.2">
      <c r="B15" s="120" t="s">
        <v>202</v>
      </c>
      <c r="C15" s="118"/>
      <c r="D15" s="120" t="s">
        <v>199</v>
      </c>
      <c r="E15" s="118"/>
      <c r="F15" s="119" t="s">
        <v>203</v>
      </c>
      <c r="G15" s="118"/>
      <c r="H15" s="118" t="s">
        <v>204</v>
      </c>
    </row>
    <row r="16" spans="1:9" s="113" customFormat="1" ht="52.9" customHeight="1" x14ac:dyDescent="0.2">
      <c r="B16" s="120" t="s">
        <v>197</v>
      </c>
      <c r="C16" s="118"/>
      <c r="D16" s="120" t="s">
        <v>207</v>
      </c>
      <c r="E16" s="118"/>
      <c r="F16" s="121" t="s">
        <v>203</v>
      </c>
      <c r="G16" s="118"/>
      <c r="H16" s="118" t="s">
        <v>204</v>
      </c>
    </row>
    <row r="17" spans="1:9" s="113" customFormat="1" ht="26.45" customHeight="1" x14ac:dyDescent="0.2">
      <c r="B17" s="118" t="s">
        <v>190</v>
      </c>
      <c r="C17" s="118"/>
      <c r="D17" s="120" t="s">
        <v>198</v>
      </c>
      <c r="E17" s="118"/>
      <c r="G17" s="118"/>
    </row>
    <row r="18" spans="1:9" s="113" customFormat="1" ht="66" customHeight="1" x14ac:dyDescent="0.2">
      <c r="B18" s="113" t="s">
        <v>231</v>
      </c>
      <c r="D18" s="131" t="s">
        <v>196</v>
      </c>
    </row>
    <row r="19" spans="1:9" s="113" customFormat="1" ht="52.9" customHeight="1" x14ac:dyDescent="0.2">
      <c r="B19" s="118" t="s">
        <v>194</v>
      </c>
      <c r="C19" s="118"/>
      <c r="D19" s="120" t="s">
        <v>208</v>
      </c>
      <c r="E19" s="118"/>
      <c r="G19" s="118"/>
    </row>
    <row r="20" spans="1:9" s="113" customFormat="1" ht="52.9" customHeight="1" x14ac:dyDescent="0.2">
      <c r="B20" s="118" t="s">
        <v>214</v>
      </c>
      <c r="C20" s="118"/>
      <c r="D20" s="120" t="s">
        <v>215</v>
      </c>
      <c r="E20" s="118"/>
      <c r="G20" s="118"/>
    </row>
    <row r="21" spans="1:9" s="111" customFormat="1" x14ac:dyDescent="0.2">
      <c r="B21" s="132"/>
      <c r="D21" s="132"/>
      <c r="F21" s="133"/>
      <c r="G21" s="115"/>
      <c r="H21" s="133"/>
    </row>
    <row r="22" spans="1:9" s="111" customFormat="1" x14ac:dyDescent="0.2">
      <c r="A22" s="134" t="s">
        <v>218</v>
      </c>
      <c r="D22" s="132"/>
      <c r="F22" s="133"/>
      <c r="G22" s="115"/>
      <c r="H22" s="133"/>
    </row>
    <row r="23" spans="1:9" s="111" customFormat="1" x14ac:dyDescent="0.2">
      <c r="A23" s="134" t="s">
        <v>219</v>
      </c>
      <c r="D23" s="132"/>
      <c r="F23" s="133"/>
      <c r="G23" s="115"/>
      <c r="H23" s="133"/>
    </row>
    <row r="24" spans="1:9" s="111" customFormat="1" x14ac:dyDescent="0.2">
      <c r="A24" s="132"/>
      <c r="D24" s="132"/>
      <c r="F24" s="133"/>
      <c r="G24" s="115"/>
      <c r="H24" s="133"/>
    </row>
    <row r="25" spans="1:9" x14ac:dyDescent="0.2">
      <c r="A25" s="110" t="s">
        <v>193</v>
      </c>
      <c r="E25" s="122"/>
      <c r="G25" s="123"/>
      <c r="H25" s="115"/>
      <c r="I25" s="123"/>
    </row>
    <row r="26" spans="1:9" x14ac:dyDescent="0.2">
      <c r="E26" s="122"/>
      <c r="G26" s="123"/>
      <c r="H26" s="115"/>
      <c r="I26" s="123"/>
    </row>
    <row r="27" spans="1:9" x14ac:dyDescent="0.2">
      <c r="B27" s="109" t="s">
        <v>191</v>
      </c>
      <c r="E27" s="122"/>
      <c r="G27" s="123"/>
      <c r="H27" s="115"/>
      <c r="I27" s="123"/>
    </row>
    <row r="29" spans="1:9" s="110" customFormat="1" x14ac:dyDescent="0.2">
      <c r="B29" s="140" t="s">
        <v>180</v>
      </c>
      <c r="C29" s="112"/>
      <c r="D29" s="140" t="s">
        <v>181</v>
      </c>
      <c r="F29" s="142" t="s">
        <v>182</v>
      </c>
      <c r="G29" s="142"/>
      <c r="H29" s="142"/>
    </row>
    <row r="30" spans="1:9" x14ac:dyDescent="0.2">
      <c r="B30" s="141"/>
      <c r="C30" s="113"/>
      <c r="D30" s="141"/>
      <c r="F30" s="114" t="s">
        <v>183</v>
      </c>
      <c r="G30" s="115"/>
      <c r="H30" s="114" t="s">
        <v>184</v>
      </c>
    </row>
    <row r="31" spans="1:9" ht="7.15" customHeight="1" x14ac:dyDescent="0.2">
      <c r="F31" s="116"/>
      <c r="G31" s="117"/>
      <c r="H31" s="116"/>
    </row>
    <row r="32" spans="1:9" s="113" customFormat="1" ht="26.45" customHeight="1" x14ac:dyDescent="0.2">
      <c r="B32" s="118" t="s">
        <v>201</v>
      </c>
      <c r="C32" s="118"/>
      <c r="D32" s="118" t="s">
        <v>200</v>
      </c>
      <c r="E32" s="118"/>
      <c r="F32" s="119"/>
      <c r="G32" s="118"/>
    </row>
    <row r="33" spans="2:7" s="113" customFormat="1" ht="26.45" customHeight="1" x14ac:dyDescent="0.2">
      <c r="B33" s="118" t="s">
        <v>206</v>
      </c>
      <c r="C33" s="118"/>
      <c r="D33" s="118" t="s">
        <v>205</v>
      </c>
      <c r="E33" s="118"/>
      <c r="G33" s="118"/>
    </row>
    <row r="34" spans="2:7" s="113" customFormat="1" ht="26.45" customHeight="1" x14ac:dyDescent="0.2">
      <c r="B34" s="113" t="s">
        <v>229</v>
      </c>
      <c r="D34" s="118" t="s">
        <v>230</v>
      </c>
    </row>
    <row r="35" spans="2:7" s="113" customFormat="1" ht="26.45" customHeight="1" x14ac:dyDescent="0.2">
      <c r="B35" s="118" t="s">
        <v>209</v>
      </c>
      <c r="C35" s="118"/>
      <c r="D35" s="118" t="s">
        <v>210</v>
      </c>
      <c r="E35" s="118"/>
      <c r="G35" s="118"/>
    </row>
    <row r="36" spans="2:7" s="113" customFormat="1" ht="39.6" customHeight="1" x14ac:dyDescent="0.2">
      <c r="B36" s="118" t="s">
        <v>211</v>
      </c>
      <c r="C36" s="118"/>
      <c r="D36" s="120" t="s">
        <v>220</v>
      </c>
      <c r="E36" s="118"/>
      <c r="G36" s="118"/>
    </row>
    <row r="37" spans="2:7" ht="52.9" customHeight="1" x14ac:dyDescent="0.2">
      <c r="B37" s="118" t="s">
        <v>212</v>
      </c>
      <c r="D37" s="131" t="s">
        <v>213</v>
      </c>
    </row>
    <row r="38" spans="2:7" ht="26.45" customHeight="1" x14ac:dyDescent="0.2">
      <c r="B38" s="118" t="s">
        <v>216</v>
      </c>
      <c r="D38" s="118" t="s">
        <v>217</v>
      </c>
    </row>
  </sheetData>
  <mergeCells count="7">
    <mergeCell ref="A5:H5"/>
    <mergeCell ref="B12:B13"/>
    <mergeCell ref="D12:D13"/>
    <mergeCell ref="F12:H12"/>
    <mergeCell ref="B29:B30"/>
    <mergeCell ref="D29:D30"/>
    <mergeCell ref="F29:H29"/>
  </mergeCells>
  <pageMargins left="0.51181102362204722" right="0.51181102362204722" top="1.1417322834645669" bottom="0.74803149606299213" header="0.51181102362204722" footer="0.51181102362204722"/>
  <pageSetup paperSize="9" scale="80" orientation="landscape" r:id="rId1"/>
  <headerFooter scaleWithDoc="0">
    <oddFooter>&amp;L&amp;"Agfa Rotis Sans Serif,Regular"(c) Markus Maedler | 2009-2022&amp;R&amp;"Agfa Rotis Sans Serif,Regular"&amp;F | 1</oddFooter>
  </headerFooter>
  <rowBreaks count="1" manualBreakCount="1">
    <brk id="2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zoomScaleNormal="100" workbookViewId="0"/>
  </sheetViews>
  <sheetFormatPr defaultRowHeight="12.75" x14ac:dyDescent="0.2"/>
  <cols>
    <col min="1" max="1" width="36.5703125" customWidth="1"/>
    <col min="2" max="2" width="8.5703125" bestFit="1" customWidth="1"/>
    <col min="3" max="3" width="7.5703125" bestFit="1" customWidth="1"/>
    <col min="4" max="4" width="1.7109375" style="50" customWidth="1"/>
    <col min="5" max="5" width="11.140625" customWidth="1"/>
    <col min="6" max="6" width="1.7109375" style="50" customWidth="1"/>
    <col min="7" max="7" width="11.140625" customWidth="1"/>
    <col min="8" max="8" width="3" style="35" customWidth="1"/>
    <col min="9" max="9" width="3" customWidth="1"/>
    <col min="10" max="10" width="29.7109375" customWidth="1"/>
    <col min="11" max="11" width="8.5703125" bestFit="1" customWidth="1"/>
    <col min="12" max="12" width="7.5703125" bestFit="1" customWidth="1"/>
    <col min="13" max="13" width="1.7109375" style="50" customWidth="1"/>
    <col min="14" max="14" width="11.140625" customWidth="1"/>
    <col min="15" max="15" width="1.7109375" style="50" customWidth="1"/>
    <col min="16" max="16" width="11.140625" customWidth="1"/>
  </cols>
  <sheetData>
    <row r="1" spans="1:16" x14ac:dyDescent="0.2">
      <c r="A1" s="1" t="s">
        <v>25</v>
      </c>
      <c r="J1" s="1"/>
      <c r="K1" s="1"/>
      <c r="L1" s="1"/>
      <c r="M1" s="53"/>
      <c r="N1" s="23"/>
      <c r="O1" s="53"/>
      <c r="P1" s="23"/>
    </row>
    <row r="2" spans="1:16" x14ac:dyDescent="0.2">
      <c r="A2" s="48" t="s">
        <v>232</v>
      </c>
      <c r="M2" s="21"/>
      <c r="N2" s="5"/>
      <c r="O2" s="21"/>
      <c r="P2" s="5"/>
    </row>
    <row r="3" spans="1:16" x14ac:dyDescent="0.2">
      <c r="A3" s="15"/>
    </row>
    <row r="4" spans="1:16" ht="12.75" customHeight="1" x14ac:dyDescent="0.2">
      <c r="A4" s="148" t="s">
        <v>73</v>
      </c>
      <c r="B4" s="149" t="s">
        <v>25</v>
      </c>
      <c r="C4" s="149"/>
      <c r="D4" s="149"/>
      <c r="E4" s="149"/>
      <c r="F4" s="149"/>
      <c r="G4" s="149"/>
      <c r="I4" s="59"/>
      <c r="J4" s="148" t="s">
        <v>74</v>
      </c>
      <c r="K4" s="149" t="s">
        <v>25</v>
      </c>
      <c r="L4" s="149"/>
      <c r="M4" s="149"/>
      <c r="N4" s="149"/>
      <c r="O4" s="149"/>
      <c r="P4" s="149"/>
    </row>
    <row r="5" spans="1:16" x14ac:dyDescent="0.2">
      <c r="A5" s="148"/>
      <c r="B5" s="143" t="s">
        <v>31</v>
      </c>
      <c r="C5" s="143"/>
      <c r="D5" s="143"/>
      <c r="E5" s="143"/>
      <c r="F5" s="143"/>
      <c r="G5" s="143"/>
      <c r="I5" s="59"/>
      <c r="J5" s="148"/>
      <c r="K5" s="143" t="s">
        <v>31</v>
      </c>
      <c r="L5" s="143"/>
      <c r="M5" s="143"/>
      <c r="N5" s="143"/>
      <c r="O5" s="143"/>
      <c r="P5" s="143"/>
    </row>
    <row r="6" spans="1:16" x14ac:dyDescent="0.2">
      <c r="A6" s="148"/>
      <c r="B6" s="143" t="s">
        <v>72</v>
      </c>
      <c r="C6" s="143"/>
      <c r="D6" s="143"/>
      <c r="E6" s="143"/>
      <c r="F6" s="143"/>
      <c r="G6" s="143"/>
      <c r="I6" s="59"/>
      <c r="J6" s="148"/>
      <c r="K6" s="143" t="s">
        <v>72</v>
      </c>
      <c r="L6" s="143"/>
      <c r="M6" s="143"/>
      <c r="N6" s="143"/>
      <c r="O6" s="143"/>
      <c r="P6" s="143"/>
    </row>
    <row r="7" spans="1:16" ht="12.75" customHeight="1" x14ac:dyDescent="0.2">
      <c r="A7" s="148"/>
      <c r="B7" s="144" t="s">
        <v>149</v>
      </c>
      <c r="C7" s="144"/>
      <c r="D7" s="144"/>
      <c r="E7" s="144"/>
      <c r="F7" s="144"/>
      <c r="G7" s="144"/>
      <c r="I7" s="59"/>
      <c r="J7" s="148"/>
      <c r="K7" s="144" t="s">
        <v>149</v>
      </c>
      <c r="L7" s="144"/>
      <c r="M7" s="144"/>
      <c r="N7" s="144"/>
      <c r="O7" s="144"/>
      <c r="P7" s="144"/>
    </row>
    <row r="8" spans="1:16" x14ac:dyDescent="0.2">
      <c r="A8" s="1"/>
      <c r="B8" s="37"/>
      <c r="C8" s="37"/>
      <c r="D8" s="55"/>
      <c r="E8" s="37"/>
      <c r="F8" s="55"/>
      <c r="G8" s="37"/>
      <c r="I8" s="59"/>
      <c r="K8" s="37"/>
      <c r="L8" s="37"/>
      <c r="M8" s="55"/>
      <c r="N8" s="37"/>
      <c r="O8" s="55"/>
      <c r="P8" s="37"/>
    </row>
    <row r="9" spans="1:16" x14ac:dyDescent="0.2">
      <c r="B9" s="145" t="s">
        <v>26</v>
      </c>
      <c r="C9" s="145"/>
      <c r="D9" s="44"/>
      <c r="E9" s="3" t="s">
        <v>27</v>
      </c>
      <c r="F9" s="44"/>
      <c r="G9" s="3" t="s">
        <v>32</v>
      </c>
      <c r="I9" s="59"/>
      <c r="K9" s="145" t="s">
        <v>26</v>
      </c>
      <c r="L9" s="145"/>
      <c r="M9" s="44"/>
      <c r="N9" s="3" t="s">
        <v>27</v>
      </c>
      <c r="O9" s="44"/>
      <c r="P9" s="3" t="s">
        <v>32</v>
      </c>
    </row>
    <row r="10" spans="1:16" x14ac:dyDescent="0.2">
      <c r="B10" s="15" t="s">
        <v>35</v>
      </c>
      <c r="C10" s="15" t="s">
        <v>34</v>
      </c>
      <c r="D10" s="44"/>
      <c r="E10" s="44"/>
      <c r="F10" s="44"/>
      <c r="G10" s="44"/>
      <c r="I10" s="59"/>
      <c r="K10" s="28" t="s">
        <v>35</v>
      </c>
      <c r="L10" s="28" t="s">
        <v>34</v>
      </c>
    </row>
    <row r="11" spans="1:16" x14ac:dyDescent="0.2">
      <c r="A11" s="1" t="s">
        <v>88</v>
      </c>
      <c r="I11" s="59"/>
      <c r="J11" s="160" t="s">
        <v>71</v>
      </c>
    </row>
    <row r="12" spans="1:16" x14ac:dyDescent="0.2">
      <c r="A12" t="s">
        <v>3</v>
      </c>
      <c r="B12">
        <v>138</v>
      </c>
      <c r="C12" s="11">
        <v>800</v>
      </c>
      <c r="D12" s="51"/>
      <c r="G12" s="4">
        <f>B12*C12</f>
        <v>110400</v>
      </c>
      <c r="H12" s="28"/>
      <c r="I12" s="59"/>
      <c r="J12" s="160"/>
      <c r="K12" s="2">
        <v>205</v>
      </c>
      <c r="L12" s="4">
        <v>800</v>
      </c>
      <c r="M12" s="51"/>
      <c r="N12" s="4">
        <v>0</v>
      </c>
      <c r="O12" s="51"/>
      <c r="P12" s="4">
        <f>K12*L12</f>
        <v>164000</v>
      </c>
    </row>
    <row r="13" spans="1:16" ht="13.5" thickBot="1" x14ac:dyDescent="0.25">
      <c r="A13" s="48" t="s">
        <v>89</v>
      </c>
      <c r="C13" s="11"/>
      <c r="D13" s="51"/>
      <c r="G13" s="4"/>
      <c r="I13" s="59"/>
      <c r="J13" t="s">
        <v>21</v>
      </c>
      <c r="L13" s="7">
        <f>SUM(L12:L12)</f>
        <v>800</v>
      </c>
      <c r="M13" s="51"/>
      <c r="N13" s="7">
        <v>0</v>
      </c>
      <c r="O13" s="51"/>
      <c r="P13" s="7">
        <f>SUM(P12:P12)</f>
        <v>164000</v>
      </c>
    </row>
    <row r="14" spans="1:16" ht="13.5" thickTop="1" x14ac:dyDescent="0.2">
      <c r="A14" t="s">
        <v>15</v>
      </c>
      <c r="B14">
        <f>B12</f>
        <v>138</v>
      </c>
      <c r="C14" s="11">
        <v>4.7</v>
      </c>
      <c r="D14" s="21"/>
      <c r="E14" s="21"/>
      <c r="F14" s="21"/>
      <c r="G14" s="4">
        <f>B14*C14</f>
        <v>648.6</v>
      </c>
      <c r="I14" s="59"/>
      <c r="J14" s="161" t="s">
        <v>22</v>
      </c>
      <c r="K14" s="161"/>
      <c r="L14" s="162"/>
      <c r="M14" s="155"/>
      <c r="N14" s="156"/>
      <c r="O14" s="155"/>
      <c r="P14" s="158">
        <f>-P13</f>
        <v>-164000</v>
      </c>
    </row>
    <row r="15" spans="1:16" x14ac:dyDescent="0.2">
      <c r="A15" t="s">
        <v>23</v>
      </c>
      <c r="B15" s="63">
        <f>B14</f>
        <v>138</v>
      </c>
      <c r="C15" s="64">
        <v>24</v>
      </c>
      <c r="D15" s="62"/>
      <c r="E15" s="47"/>
      <c r="F15" s="62"/>
      <c r="G15" s="4">
        <f>B15*C15</f>
        <v>3312</v>
      </c>
      <c r="I15" s="59"/>
      <c r="J15" s="161"/>
      <c r="K15" s="161"/>
      <c r="L15" s="161"/>
      <c r="M15" s="155"/>
      <c r="N15" s="157"/>
      <c r="O15" s="155"/>
      <c r="P15" s="159"/>
    </row>
    <row r="16" spans="1:16" ht="13.5" thickBot="1" x14ac:dyDescent="0.25">
      <c r="A16" s="48" t="s">
        <v>36</v>
      </c>
      <c r="C16" s="13">
        <f>C12-C14-C15</f>
        <v>771.3</v>
      </c>
      <c r="D16" s="21"/>
      <c r="E16" s="5"/>
      <c r="F16" s="21"/>
      <c r="G16" s="7">
        <f>G12-G14-G15</f>
        <v>106439.4</v>
      </c>
      <c r="I16" s="60"/>
      <c r="J16" s="61"/>
      <c r="K16" s="61"/>
      <c r="L16" s="61"/>
      <c r="M16" s="61"/>
      <c r="N16" s="61"/>
      <c r="O16" s="61"/>
      <c r="P16" s="61"/>
    </row>
    <row r="17" spans="1:16" ht="13.5" thickTop="1" x14ac:dyDescent="0.2">
      <c r="A17" s="15"/>
      <c r="C17" s="11"/>
      <c r="D17" s="21"/>
      <c r="E17" s="5"/>
      <c r="F17" s="21"/>
      <c r="G17" s="20"/>
      <c r="H17" s="28"/>
      <c r="I17" s="59"/>
      <c r="J17" s="46"/>
      <c r="K17" s="46"/>
      <c r="L17" s="46"/>
      <c r="M17" s="58"/>
      <c r="N17" s="46"/>
      <c r="O17" s="58"/>
      <c r="P17" s="38"/>
    </row>
    <row r="18" spans="1:16" ht="12.75" customHeight="1" x14ac:dyDescent="0.2">
      <c r="A18" s="1" t="s">
        <v>90</v>
      </c>
      <c r="C18" s="11"/>
      <c r="D18" s="21"/>
      <c r="E18" s="5"/>
      <c r="F18" s="21"/>
      <c r="G18" s="20"/>
      <c r="H18" s="28"/>
      <c r="I18" s="59"/>
    </row>
    <row r="19" spans="1:16" x14ac:dyDescent="0.2">
      <c r="A19" s="48" t="s">
        <v>3</v>
      </c>
      <c r="B19">
        <v>0</v>
      </c>
      <c r="C19" s="11">
        <v>400</v>
      </c>
      <c r="D19" s="51"/>
      <c r="G19" s="4">
        <f>B19*C19</f>
        <v>0</v>
      </c>
      <c r="H19" s="67" t="s">
        <v>75</v>
      </c>
      <c r="I19" s="59"/>
    </row>
    <row r="20" spans="1:16" ht="12.75" customHeight="1" x14ac:dyDescent="0.2">
      <c r="A20" s="48" t="s">
        <v>89</v>
      </c>
      <c r="G20" s="4"/>
      <c r="I20" s="59"/>
      <c r="J20" s="38" t="s">
        <v>78</v>
      </c>
      <c r="K20" s="1"/>
      <c r="L20" s="1"/>
      <c r="M20" s="1"/>
      <c r="N20" s="1"/>
      <c r="O20" s="1"/>
      <c r="P20" s="1"/>
    </row>
    <row r="21" spans="1:16" x14ac:dyDescent="0.2">
      <c r="A21" t="s">
        <v>15</v>
      </c>
      <c r="B21">
        <v>205</v>
      </c>
      <c r="C21" s="11">
        <v>4.7</v>
      </c>
      <c r="D21" s="21"/>
      <c r="E21" s="21"/>
      <c r="F21" s="21"/>
      <c r="G21" s="4">
        <f>B21*C21</f>
        <v>963.5</v>
      </c>
      <c r="I21" s="59"/>
      <c r="K21" s="38"/>
      <c r="L21" s="38"/>
      <c r="M21" s="38"/>
      <c r="N21" s="57"/>
      <c r="O21" s="38"/>
    </row>
    <row r="22" spans="1:16" ht="12.75" customHeight="1" x14ac:dyDescent="0.2">
      <c r="A22" t="s">
        <v>23</v>
      </c>
      <c r="B22" s="63">
        <f>B21</f>
        <v>205</v>
      </c>
      <c r="C22" s="64">
        <v>24</v>
      </c>
      <c r="D22" s="21"/>
      <c r="E22" s="21"/>
      <c r="F22" s="21"/>
      <c r="G22" s="4">
        <f>B22*C22</f>
        <v>4920</v>
      </c>
      <c r="I22" s="59"/>
      <c r="J22" s="146" t="s">
        <v>79</v>
      </c>
      <c r="K22" s="146"/>
      <c r="L22" s="146"/>
      <c r="M22" s="146"/>
      <c r="N22" s="146"/>
      <c r="O22" s="146"/>
      <c r="P22" s="146"/>
    </row>
    <row r="23" spans="1:16" ht="13.5" thickBot="1" x14ac:dyDescent="0.25">
      <c r="A23" s="48" t="s">
        <v>36</v>
      </c>
      <c r="C23" s="13">
        <f>C19-C21-C22</f>
        <v>371.3</v>
      </c>
      <c r="D23" s="52"/>
      <c r="E23" s="11"/>
      <c r="F23" s="54"/>
      <c r="G23" s="7">
        <f>G19-G21-G22</f>
        <v>-5883.5</v>
      </c>
      <c r="I23" s="59"/>
      <c r="J23" s="146"/>
      <c r="K23" s="146"/>
      <c r="L23" s="146"/>
      <c r="M23" s="146"/>
      <c r="N23" s="146"/>
      <c r="O23" s="146"/>
      <c r="P23" s="146"/>
    </row>
    <row r="24" spans="1:16" ht="13.5" customHeight="1" thickTop="1" x14ac:dyDescent="0.2">
      <c r="A24" s="48"/>
      <c r="C24" s="11"/>
      <c r="D24" s="52"/>
      <c r="E24" s="11"/>
      <c r="F24" s="54"/>
      <c r="G24" s="20"/>
      <c r="I24" s="59"/>
      <c r="J24" s="146"/>
      <c r="K24" s="146"/>
      <c r="L24" s="146"/>
      <c r="M24" s="146"/>
      <c r="N24" s="146"/>
      <c r="O24" s="146"/>
      <c r="P24" s="146"/>
    </row>
    <row r="25" spans="1:16" x14ac:dyDescent="0.2">
      <c r="A25" s="1" t="s">
        <v>91</v>
      </c>
      <c r="C25" s="11"/>
      <c r="D25" s="21"/>
      <c r="E25" s="5"/>
      <c r="F25" s="21"/>
      <c r="G25" s="20"/>
      <c r="I25" s="59"/>
      <c r="J25" s="46"/>
      <c r="K25" s="46"/>
      <c r="L25" s="46"/>
      <c r="M25" s="46"/>
      <c r="N25" s="46"/>
      <c r="O25" s="46"/>
      <c r="P25" s="46"/>
    </row>
    <row r="26" spans="1:16" ht="12.75" customHeight="1" x14ac:dyDescent="0.2">
      <c r="A26" s="15" t="s">
        <v>67</v>
      </c>
      <c r="I26" s="59"/>
      <c r="J26" s="146" t="s">
        <v>85</v>
      </c>
      <c r="K26" s="146"/>
      <c r="L26" s="146"/>
      <c r="M26" s="146"/>
      <c r="N26" s="146"/>
      <c r="O26" s="146"/>
      <c r="P26" s="146"/>
    </row>
    <row r="27" spans="1:16" x14ac:dyDescent="0.2">
      <c r="A27" s="34" t="s">
        <v>65</v>
      </c>
      <c r="D27" s="51"/>
      <c r="E27" s="4">
        <v>0</v>
      </c>
      <c r="F27" s="51"/>
      <c r="G27" s="4">
        <f>E27</f>
        <v>0</v>
      </c>
      <c r="H27" s="67" t="s">
        <v>75</v>
      </c>
      <c r="I27" s="59"/>
      <c r="J27" s="146"/>
      <c r="K27" s="146"/>
      <c r="L27" s="146"/>
      <c r="M27" s="146"/>
      <c r="N27" s="146"/>
      <c r="O27" s="146"/>
      <c r="P27" s="146"/>
    </row>
    <row r="28" spans="1:16" x14ac:dyDescent="0.2">
      <c r="A28" s="34" t="s">
        <v>66</v>
      </c>
      <c r="B28" s="50"/>
      <c r="C28" s="50"/>
      <c r="D28" s="21"/>
      <c r="E28" s="39">
        <v>0</v>
      </c>
      <c r="F28" s="51"/>
      <c r="G28" s="39">
        <f t="shared" ref="G28:G46" si="0">E28</f>
        <v>0</v>
      </c>
      <c r="H28" s="67" t="s">
        <v>75</v>
      </c>
      <c r="I28" s="59"/>
      <c r="J28" s="146"/>
      <c r="K28" s="146"/>
      <c r="L28" s="146"/>
      <c r="M28" s="146"/>
      <c r="N28" s="146"/>
      <c r="O28" s="146"/>
      <c r="P28" s="146"/>
    </row>
    <row r="29" spans="1:16" x14ac:dyDescent="0.2">
      <c r="B29" s="21"/>
      <c r="C29" s="21"/>
      <c r="D29" s="21"/>
      <c r="E29" s="4">
        <f>SUM(E27:E28)</f>
        <v>0</v>
      </c>
      <c r="F29" s="51"/>
      <c r="G29" s="4">
        <f t="shared" si="0"/>
        <v>0</v>
      </c>
      <c r="I29" s="59"/>
    </row>
    <row r="30" spans="1:16" x14ac:dyDescent="0.2">
      <c r="A30" t="s">
        <v>9</v>
      </c>
      <c r="B30" s="50"/>
      <c r="C30" s="50"/>
      <c r="D30" s="21"/>
      <c r="E30" s="5"/>
      <c r="F30" s="21"/>
      <c r="G30" s="4"/>
      <c r="I30" s="59"/>
    </row>
    <row r="31" spans="1:16" x14ac:dyDescent="0.2">
      <c r="A31" s="34" t="s">
        <v>60</v>
      </c>
      <c r="B31" s="50"/>
      <c r="C31" s="50"/>
      <c r="D31" s="51"/>
      <c r="E31" s="4">
        <v>95000</v>
      </c>
      <c r="F31" s="51"/>
      <c r="G31" s="4">
        <f t="shared" si="0"/>
        <v>95000</v>
      </c>
      <c r="I31" s="59"/>
    </row>
    <row r="32" spans="1:16" x14ac:dyDescent="0.2">
      <c r="A32" s="34" t="s">
        <v>61</v>
      </c>
      <c r="B32" s="50"/>
      <c r="C32" s="50"/>
      <c r="D32" s="51"/>
      <c r="E32" s="4">
        <v>5400</v>
      </c>
      <c r="F32" s="51"/>
      <c r="G32" s="4">
        <f t="shared" si="0"/>
        <v>5400</v>
      </c>
      <c r="I32" s="59"/>
    </row>
    <row r="33" spans="1:16" x14ac:dyDescent="0.2">
      <c r="A33" s="34" t="s">
        <v>62</v>
      </c>
      <c r="B33" s="50"/>
      <c r="C33" s="50"/>
      <c r="D33" s="21"/>
      <c r="E33" s="5"/>
      <c r="F33" s="21"/>
      <c r="G33" s="4"/>
      <c r="I33" s="59"/>
    </row>
    <row r="34" spans="1:16" x14ac:dyDescent="0.2">
      <c r="A34" s="41" t="s">
        <v>63</v>
      </c>
      <c r="B34" s="50"/>
      <c r="C34" s="50"/>
      <c r="D34" s="51"/>
      <c r="E34" s="4">
        <v>25500</v>
      </c>
      <c r="F34" s="51"/>
      <c r="G34" s="4">
        <f t="shared" si="0"/>
        <v>25500</v>
      </c>
      <c r="I34" s="59"/>
    </row>
    <row r="35" spans="1:16" x14ac:dyDescent="0.2">
      <c r="A35" s="41" t="s">
        <v>64</v>
      </c>
      <c r="B35" s="50"/>
      <c r="C35" s="50"/>
      <c r="D35" s="51"/>
      <c r="E35" s="39">
        <v>680</v>
      </c>
      <c r="F35" s="51"/>
      <c r="G35" s="39">
        <f t="shared" si="0"/>
        <v>680</v>
      </c>
      <c r="I35" s="59"/>
    </row>
    <row r="36" spans="1:16" x14ac:dyDescent="0.2">
      <c r="B36" s="21"/>
      <c r="C36" s="40"/>
      <c r="D36" s="51"/>
      <c r="E36" s="4">
        <f>SUM(E31:E35)</f>
        <v>126580</v>
      </c>
      <c r="F36" s="51"/>
      <c r="G36" s="4">
        <f t="shared" si="0"/>
        <v>126580</v>
      </c>
      <c r="I36" s="59"/>
    </row>
    <row r="37" spans="1:16" x14ac:dyDescent="0.2">
      <c r="A37" t="s">
        <v>16</v>
      </c>
      <c r="B37" s="50"/>
      <c r="C37" s="40"/>
      <c r="D37" s="51"/>
      <c r="E37" s="4"/>
      <c r="F37" s="51"/>
      <c r="G37" s="4"/>
      <c r="H37" s="28"/>
      <c r="I37" s="59"/>
    </row>
    <row r="38" spans="1:16" ht="12.75" customHeight="1" x14ac:dyDescent="0.2">
      <c r="A38" s="34" t="s">
        <v>56</v>
      </c>
      <c r="B38" s="50"/>
      <c r="C38" s="40"/>
      <c r="D38" s="51"/>
      <c r="E38" s="4">
        <v>21600</v>
      </c>
      <c r="F38" s="51"/>
      <c r="G38" s="4">
        <f t="shared" si="0"/>
        <v>21600</v>
      </c>
      <c r="I38" s="59"/>
    </row>
    <row r="39" spans="1:16" s="1" customFormat="1" x14ac:dyDescent="0.2">
      <c r="A39" s="34" t="s">
        <v>57</v>
      </c>
      <c r="B39" s="50"/>
      <c r="C39" s="40"/>
      <c r="D39" s="51"/>
      <c r="E39" s="4">
        <v>12000</v>
      </c>
      <c r="F39" s="51"/>
      <c r="G39" s="4">
        <f t="shared" si="0"/>
        <v>12000</v>
      </c>
      <c r="H39" s="14"/>
      <c r="I39" s="59"/>
      <c r="J39"/>
      <c r="K39"/>
      <c r="L39"/>
      <c r="M39" s="50"/>
      <c r="N39"/>
      <c r="O39" s="50"/>
      <c r="P39"/>
    </row>
    <row r="40" spans="1:16" ht="12.75" customHeight="1" x14ac:dyDescent="0.2">
      <c r="A40" s="34" t="s">
        <v>58</v>
      </c>
      <c r="B40" s="50"/>
      <c r="C40" s="40"/>
      <c r="D40" s="51"/>
      <c r="E40" s="4">
        <v>9000</v>
      </c>
      <c r="F40" s="51"/>
      <c r="G40" s="4">
        <f t="shared" si="0"/>
        <v>9000</v>
      </c>
      <c r="H40" s="14"/>
      <c r="I40" s="59"/>
    </row>
    <row r="41" spans="1:16" x14ac:dyDescent="0.2">
      <c r="A41" s="34" t="s">
        <v>59</v>
      </c>
      <c r="B41" s="50"/>
      <c r="C41" s="40"/>
      <c r="D41" s="51"/>
      <c r="E41" s="39">
        <v>11200</v>
      </c>
      <c r="F41" s="51"/>
      <c r="G41" s="39">
        <f t="shared" si="0"/>
        <v>11200</v>
      </c>
      <c r="H41" s="68"/>
    </row>
    <row r="42" spans="1:16" s="1" customFormat="1" x14ac:dyDescent="0.2">
      <c r="A42"/>
      <c r="B42" s="21"/>
      <c r="C42" s="40"/>
      <c r="D42" s="51"/>
      <c r="E42" s="4">
        <f>SUM(E38:E41)</f>
        <v>53800</v>
      </c>
      <c r="F42" s="51"/>
      <c r="G42" s="4">
        <f t="shared" si="0"/>
        <v>53800</v>
      </c>
      <c r="H42" s="68"/>
      <c r="I42"/>
      <c r="J42"/>
      <c r="K42"/>
      <c r="L42"/>
      <c r="M42" s="50"/>
      <c r="N42"/>
      <c r="O42" s="50"/>
      <c r="P42"/>
    </row>
    <row r="43" spans="1:16" ht="12.75" customHeight="1" x14ac:dyDescent="0.2">
      <c r="D43" s="51"/>
      <c r="E43" s="4"/>
      <c r="F43" s="51"/>
      <c r="G43" s="4"/>
      <c r="H43" s="69"/>
    </row>
    <row r="44" spans="1:16" ht="12.75" customHeight="1" x14ac:dyDescent="0.2">
      <c r="A44" t="s">
        <v>20</v>
      </c>
      <c r="D44" s="51"/>
      <c r="E44" s="4">
        <v>8083</v>
      </c>
      <c r="F44" s="51"/>
      <c r="G44" s="4">
        <f t="shared" si="0"/>
        <v>8083</v>
      </c>
      <c r="H44" s="70"/>
    </row>
    <row r="45" spans="1:16" ht="12.75" customHeight="1" x14ac:dyDescent="0.2">
      <c r="A45" t="s">
        <v>28</v>
      </c>
      <c r="D45" s="51"/>
      <c r="E45" s="4">
        <v>0</v>
      </c>
      <c r="F45" s="51"/>
      <c r="G45" s="4">
        <f t="shared" si="0"/>
        <v>0</v>
      </c>
      <c r="H45" s="71" t="s">
        <v>75</v>
      </c>
    </row>
    <row r="46" spans="1:16" ht="13.5" customHeight="1" thickBot="1" x14ac:dyDescent="0.25">
      <c r="A46" s="48" t="s">
        <v>92</v>
      </c>
      <c r="C46" s="40"/>
      <c r="D46" s="51"/>
      <c r="E46" s="7">
        <f>+SUM(E44:E45)+E42+E36+E29</f>
        <v>188463</v>
      </c>
      <c r="F46" s="51"/>
      <c r="G46" s="7">
        <f t="shared" si="0"/>
        <v>188463</v>
      </c>
      <c r="H46" s="70"/>
    </row>
    <row r="47" spans="1:16" ht="13.5" customHeight="1" thickTop="1" x14ac:dyDescent="0.2">
      <c r="C47" s="40"/>
      <c r="D47" s="51"/>
      <c r="E47" s="51"/>
      <c r="F47" s="51"/>
      <c r="G47" s="51"/>
      <c r="H47" s="69"/>
    </row>
    <row r="48" spans="1:16" x14ac:dyDescent="0.2">
      <c r="A48" s="1" t="s">
        <v>22</v>
      </c>
      <c r="B48" s="1"/>
      <c r="C48" s="1"/>
      <c r="D48" s="53"/>
      <c r="E48" s="23"/>
      <c r="F48" s="53"/>
      <c r="G48" s="23">
        <f>G16+G23-G46</f>
        <v>-87907.1</v>
      </c>
      <c r="H48" s="69"/>
    </row>
  </sheetData>
  <mergeCells count="22">
    <mergeCell ref="A4:A7"/>
    <mergeCell ref="B4:G4"/>
    <mergeCell ref="J4:J7"/>
    <mergeCell ref="K4:P4"/>
    <mergeCell ref="B5:G5"/>
    <mergeCell ref="K5:P5"/>
    <mergeCell ref="B6:G6"/>
    <mergeCell ref="K6:P6"/>
    <mergeCell ref="B7:G7"/>
    <mergeCell ref="K7:P7"/>
    <mergeCell ref="B9:C9"/>
    <mergeCell ref="K9:L9"/>
    <mergeCell ref="J11:J12"/>
    <mergeCell ref="J14:J15"/>
    <mergeCell ref="K14:K15"/>
    <mergeCell ref="L14:L15"/>
    <mergeCell ref="J26:P28"/>
    <mergeCell ref="J22:P24"/>
    <mergeCell ref="M14:M15"/>
    <mergeCell ref="N14:N15"/>
    <mergeCell ref="O14:O15"/>
    <mergeCell ref="P14:P15"/>
  </mergeCells>
  <pageMargins left="0.51181102362204722" right="0.51181102362204722" top="1.1417322834645669" bottom="0.74803149606299213" header="0.51181102362204722" footer="0.51181102362204722"/>
  <pageSetup scale="78" orientation="landscape" r:id="rId1"/>
  <headerFooter scaleWithDoc="0">
    <oddFooter>&amp;L&amp;"Agfa Rotis Sans Serif,Regular"(c) Markus Maedler | 2009-2022&amp;R&amp;"Agfa Rotis Sans Serif,Regular"&amp;F | 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zoomScaleNormal="100" workbookViewId="0"/>
  </sheetViews>
  <sheetFormatPr defaultRowHeight="12.75" x14ac:dyDescent="0.2"/>
  <cols>
    <col min="1" max="1" width="36.5703125" bestFit="1" customWidth="1"/>
    <col min="2" max="2" width="8.5703125" bestFit="1" customWidth="1"/>
    <col min="3" max="3" width="7.5703125" bestFit="1" customWidth="1"/>
    <col min="4" max="4" width="1.7109375" style="50" customWidth="1"/>
    <col min="5" max="5" width="11.140625" customWidth="1"/>
    <col min="6" max="6" width="1.7109375" style="50" customWidth="1"/>
    <col min="7" max="7" width="11.140625" customWidth="1"/>
    <col min="8" max="8" width="3" customWidth="1"/>
    <col min="9" max="9" width="9.140625" style="38" customWidth="1"/>
  </cols>
  <sheetData>
    <row r="1" spans="1:15" x14ac:dyDescent="0.2">
      <c r="A1" s="1" t="s">
        <v>25</v>
      </c>
    </row>
    <row r="2" spans="1:15" x14ac:dyDescent="0.2">
      <c r="A2" s="48" t="s">
        <v>223</v>
      </c>
      <c r="B2" s="143" t="s">
        <v>76</v>
      </c>
      <c r="C2" s="143"/>
      <c r="D2" s="143"/>
      <c r="E2" s="143"/>
      <c r="F2" s="143"/>
      <c r="G2" s="143"/>
    </row>
    <row r="3" spans="1:15" x14ac:dyDescent="0.2">
      <c r="A3" s="106" t="s">
        <v>160</v>
      </c>
      <c r="B3" s="143" t="s">
        <v>132</v>
      </c>
      <c r="C3" s="143"/>
      <c r="D3" s="143"/>
      <c r="E3" s="143"/>
      <c r="F3" s="143"/>
      <c r="G3" s="143"/>
    </row>
    <row r="4" spans="1:15" x14ac:dyDescent="0.2">
      <c r="B4" s="144" t="s">
        <v>53</v>
      </c>
      <c r="C4" s="144"/>
      <c r="D4" s="144"/>
      <c r="E4" s="144"/>
      <c r="F4" s="144"/>
      <c r="G4" s="144"/>
    </row>
    <row r="5" spans="1:15" x14ac:dyDescent="0.2">
      <c r="A5" s="1"/>
    </row>
    <row r="6" spans="1:15" x14ac:dyDescent="0.2">
      <c r="B6" s="145" t="s">
        <v>26</v>
      </c>
      <c r="C6" s="145"/>
      <c r="D6" s="44"/>
      <c r="E6" s="3" t="s">
        <v>27</v>
      </c>
      <c r="F6" s="44"/>
      <c r="G6" s="3" t="s">
        <v>32</v>
      </c>
      <c r="I6" s="38" t="s">
        <v>77</v>
      </c>
    </row>
    <row r="7" spans="1:15" x14ac:dyDescent="0.2">
      <c r="B7" s="28" t="s">
        <v>35</v>
      </c>
      <c r="C7" s="28" t="s">
        <v>34</v>
      </c>
      <c r="D7" s="44"/>
      <c r="E7" s="44"/>
      <c r="F7" s="44"/>
      <c r="G7" s="44"/>
    </row>
    <row r="8" spans="1:15" x14ac:dyDescent="0.2">
      <c r="A8" s="1" t="s">
        <v>36</v>
      </c>
      <c r="I8" s="79"/>
    </row>
    <row r="9" spans="1:15" x14ac:dyDescent="0.2">
      <c r="A9" t="s">
        <v>113</v>
      </c>
      <c r="B9">
        <v>138</v>
      </c>
      <c r="C9" s="11">
        <v>800</v>
      </c>
      <c r="D9" s="51"/>
      <c r="G9" s="4">
        <f>B9*C9</f>
        <v>110400</v>
      </c>
    </row>
    <row r="10" spans="1:15" x14ac:dyDescent="0.2">
      <c r="A10" s="48" t="s">
        <v>89</v>
      </c>
      <c r="C10" s="11"/>
      <c r="D10" s="51"/>
      <c r="G10" s="4"/>
    </row>
    <row r="11" spans="1:15" x14ac:dyDescent="0.2">
      <c r="A11" t="s">
        <v>15</v>
      </c>
      <c r="B11">
        <f>B9</f>
        <v>138</v>
      </c>
      <c r="C11" s="11">
        <v>-4.7</v>
      </c>
      <c r="D11" s="21"/>
      <c r="E11" s="21"/>
      <c r="F11" s="21"/>
      <c r="G11" s="4">
        <f>B11*C11</f>
        <v>-648.6</v>
      </c>
    </row>
    <row r="12" spans="1:15" x14ac:dyDescent="0.2">
      <c r="A12" t="s">
        <v>23</v>
      </c>
      <c r="B12" s="63">
        <f>B11</f>
        <v>138</v>
      </c>
      <c r="C12" s="64">
        <v>-24</v>
      </c>
      <c r="D12" s="62"/>
      <c r="E12" s="62"/>
      <c r="F12" s="62"/>
      <c r="G12" s="4">
        <f>B12*C12</f>
        <v>-3312</v>
      </c>
    </row>
    <row r="13" spans="1:15" s="79" customFormat="1" ht="13.5" thickBot="1" x14ac:dyDescent="0.25">
      <c r="A13" s="79" t="s">
        <v>36</v>
      </c>
      <c r="C13" s="124">
        <f>C9-C11-C12</f>
        <v>828.7</v>
      </c>
      <c r="D13" s="125"/>
      <c r="E13" s="126"/>
      <c r="F13" s="125"/>
      <c r="G13" s="127">
        <f>G9+G11+G12</f>
        <v>106439.4</v>
      </c>
    </row>
    <row r="14" spans="1:15" ht="6" customHeight="1" thickTop="1" x14ac:dyDescent="0.2">
      <c r="A14" s="15"/>
      <c r="C14" s="11"/>
      <c r="D14" s="21"/>
      <c r="E14" s="5"/>
      <c r="F14" s="21"/>
      <c r="G14" s="20"/>
    </row>
    <row r="15" spans="1:15" ht="12.75" customHeight="1" x14ac:dyDescent="0.2">
      <c r="A15" s="1" t="s">
        <v>115</v>
      </c>
      <c r="C15" s="11"/>
      <c r="D15" s="21"/>
      <c r="E15" s="5"/>
      <c r="F15" s="21"/>
      <c r="G15" s="20"/>
      <c r="I15" s="46"/>
      <c r="J15" s="46"/>
      <c r="K15" s="46"/>
      <c r="L15" s="46"/>
      <c r="M15" s="46"/>
      <c r="N15" s="46"/>
      <c r="O15" s="46"/>
    </row>
    <row r="16" spans="1:15" x14ac:dyDescent="0.2">
      <c r="A16" t="s">
        <v>20</v>
      </c>
      <c r="D16" s="51"/>
      <c r="E16" s="4">
        <v>-8083</v>
      </c>
      <c r="F16" s="51"/>
      <c r="G16" s="4">
        <f>E16</f>
        <v>-8083</v>
      </c>
      <c r="I16" s="46"/>
      <c r="J16" s="46"/>
      <c r="K16" s="46"/>
      <c r="L16" s="46"/>
      <c r="M16" s="46"/>
      <c r="N16" s="46"/>
      <c r="O16" s="46"/>
    </row>
    <row r="17" spans="1:15" x14ac:dyDescent="0.2">
      <c r="A17" s="34" t="s">
        <v>61</v>
      </c>
      <c r="B17" s="50"/>
      <c r="C17" s="50"/>
      <c r="D17" s="51"/>
      <c r="E17" s="4">
        <v>-5400</v>
      </c>
      <c r="F17" s="51"/>
      <c r="G17" s="4">
        <f>E17</f>
        <v>-5400</v>
      </c>
      <c r="I17" s="46"/>
      <c r="J17" s="46"/>
      <c r="K17" s="46"/>
      <c r="L17" s="46"/>
      <c r="M17" s="46"/>
      <c r="N17" s="46"/>
      <c r="O17" s="46"/>
    </row>
    <row r="18" spans="1:15" ht="6" customHeight="1" x14ac:dyDescent="0.2">
      <c r="A18" s="15"/>
      <c r="C18" s="11"/>
      <c r="D18" s="21"/>
      <c r="E18" s="5"/>
      <c r="F18" s="21"/>
      <c r="G18" s="20"/>
    </row>
    <row r="19" spans="1:15" x14ac:dyDescent="0.2">
      <c r="A19" s="76" t="s">
        <v>108</v>
      </c>
      <c r="B19" s="50"/>
      <c r="C19" s="40"/>
      <c r="D19" s="51"/>
      <c r="E19" s="51">
        <v>-11200</v>
      </c>
      <c r="F19" s="51"/>
      <c r="G19" s="51">
        <f>E19</f>
        <v>-11200</v>
      </c>
      <c r="I19" s="46"/>
      <c r="J19" s="46"/>
      <c r="K19" s="46"/>
      <c r="L19" s="46"/>
      <c r="M19" s="46"/>
      <c r="N19" s="46"/>
      <c r="O19" s="46"/>
    </row>
    <row r="20" spans="1:15" x14ac:dyDescent="0.2">
      <c r="A20" s="34" t="s">
        <v>57</v>
      </c>
      <c r="B20" s="50"/>
      <c r="C20" s="40"/>
      <c r="D20" s="51"/>
      <c r="E20" s="4">
        <v>-12000</v>
      </c>
      <c r="F20" s="51"/>
      <c r="G20" s="4">
        <f>E20</f>
        <v>-12000</v>
      </c>
      <c r="I20" s="46"/>
      <c r="J20" s="46"/>
      <c r="K20" s="46"/>
      <c r="L20" s="46"/>
      <c r="M20" s="46"/>
      <c r="N20" s="46"/>
      <c r="O20" s="46"/>
    </row>
    <row r="21" spans="1:15" x14ac:dyDescent="0.2">
      <c r="A21" s="34" t="s">
        <v>56</v>
      </c>
      <c r="B21" s="50"/>
      <c r="C21" s="40"/>
      <c r="D21" s="51"/>
      <c r="E21" s="4">
        <v>-21600</v>
      </c>
      <c r="F21" s="51"/>
      <c r="G21" s="4">
        <f>E21</f>
        <v>-21600</v>
      </c>
      <c r="I21" s="46"/>
      <c r="J21" s="46"/>
      <c r="K21" s="46"/>
      <c r="L21" s="46"/>
      <c r="M21" s="46"/>
      <c r="N21" s="46"/>
      <c r="O21" s="46"/>
    </row>
    <row r="22" spans="1:15" x14ac:dyDescent="0.2">
      <c r="A22" s="34" t="s">
        <v>58</v>
      </c>
      <c r="B22" s="50"/>
      <c r="C22" s="40"/>
      <c r="D22" s="51"/>
      <c r="E22" s="51">
        <v>-9000</v>
      </c>
      <c r="F22" s="51"/>
      <c r="G22" s="51">
        <f>E22</f>
        <v>-9000</v>
      </c>
    </row>
    <row r="23" spans="1:15" ht="6" customHeight="1" x14ac:dyDescent="0.2">
      <c r="A23" s="15"/>
      <c r="C23" s="11"/>
      <c r="D23" s="21"/>
      <c r="E23" s="5"/>
      <c r="F23" s="21"/>
      <c r="G23" s="20"/>
    </row>
    <row r="24" spans="1:15" x14ac:dyDescent="0.2">
      <c r="A24" s="34" t="s">
        <v>60</v>
      </c>
      <c r="B24" s="50"/>
      <c r="C24" s="50"/>
      <c r="D24" s="51"/>
      <c r="E24" s="4">
        <v>-95000</v>
      </c>
      <c r="F24" s="51"/>
      <c r="G24" s="4">
        <f>E24</f>
        <v>-95000</v>
      </c>
    </row>
    <row r="25" spans="1:15" ht="6" customHeight="1" x14ac:dyDescent="0.2">
      <c r="A25" s="15"/>
      <c r="C25" s="11"/>
      <c r="D25" s="21"/>
      <c r="E25" s="5"/>
      <c r="F25" s="21"/>
      <c r="G25" s="20"/>
    </row>
    <row r="26" spans="1:15" x14ac:dyDescent="0.2">
      <c r="A26" s="34" t="s">
        <v>62</v>
      </c>
      <c r="B26" s="50"/>
      <c r="C26" s="50"/>
      <c r="D26" s="21"/>
      <c r="E26" s="5"/>
      <c r="F26" s="21"/>
      <c r="G26" s="4"/>
    </row>
    <row r="27" spans="1:15" x14ac:dyDescent="0.2">
      <c r="A27" s="41" t="s">
        <v>63</v>
      </c>
      <c r="B27" s="50"/>
      <c r="C27" s="50"/>
      <c r="D27" s="51"/>
      <c r="E27" s="4">
        <v>-25500</v>
      </c>
      <c r="F27" s="51"/>
      <c r="G27" s="4">
        <f>E27</f>
        <v>-25500</v>
      </c>
    </row>
    <row r="28" spans="1:15" x14ac:dyDescent="0.2">
      <c r="A28" s="41" t="s">
        <v>64</v>
      </c>
      <c r="B28" s="50"/>
      <c r="C28" s="50"/>
      <c r="D28" s="51"/>
      <c r="E28" s="51">
        <v>-680</v>
      </c>
      <c r="F28" s="51"/>
      <c r="G28" s="51">
        <f>E28</f>
        <v>-680</v>
      </c>
    </row>
    <row r="29" spans="1:15" s="79" customFormat="1" ht="13.5" thickBot="1" x14ac:dyDescent="0.25">
      <c r="A29" s="128" t="s">
        <v>116</v>
      </c>
      <c r="B29" s="129"/>
      <c r="C29" s="129"/>
      <c r="D29" s="130"/>
      <c r="E29" s="127">
        <f>SUM(E16:E28)</f>
        <v>-188463</v>
      </c>
      <c r="F29" s="130"/>
      <c r="G29" s="127">
        <f>SUM(G16:G28)</f>
        <v>-188463</v>
      </c>
    </row>
    <row r="30" spans="1:15" ht="6" customHeight="1" thickTop="1" x14ac:dyDescent="0.2">
      <c r="A30" s="15"/>
      <c r="C30" s="11"/>
      <c r="D30" s="21"/>
      <c r="E30" s="5"/>
      <c r="F30" s="21"/>
      <c r="G30" s="20"/>
    </row>
    <row r="31" spans="1:15" s="48" customFormat="1" x14ac:dyDescent="0.2">
      <c r="A31" s="73" t="s">
        <v>141</v>
      </c>
      <c r="B31" s="56"/>
      <c r="C31" s="56"/>
      <c r="D31" s="53"/>
      <c r="E31" s="53"/>
      <c r="F31" s="53"/>
      <c r="G31" s="53">
        <f>G13+G29</f>
        <v>-82023.600000000006</v>
      </c>
      <c r="I31" s="38" t="s">
        <v>145</v>
      </c>
    </row>
    <row r="32" spans="1:15" ht="6" customHeight="1" x14ac:dyDescent="0.2">
      <c r="A32" s="15"/>
      <c r="C32" s="11"/>
      <c r="D32" s="21"/>
      <c r="E32" s="5"/>
      <c r="F32" s="21"/>
      <c r="G32" s="20"/>
    </row>
    <row r="33" spans="1:9" s="48" customFormat="1" x14ac:dyDescent="0.2">
      <c r="A33" s="73" t="s">
        <v>143</v>
      </c>
      <c r="B33" s="81"/>
      <c r="C33" s="81"/>
      <c r="D33" s="85"/>
      <c r="E33" s="85"/>
      <c r="F33" s="85"/>
      <c r="G33" s="85"/>
      <c r="I33" s="38"/>
    </row>
    <row r="34" spans="1:9" s="48" customFormat="1" x14ac:dyDescent="0.2">
      <c r="A34" s="48" t="s">
        <v>150</v>
      </c>
      <c r="B34" s="81">
        <v>205</v>
      </c>
      <c r="C34" s="104">
        <v>800</v>
      </c>
      <c r="D34" s="85"/>
      <c r="E34" s="85"/>
      <c r="F34" s="85"/>
      <c r="G34" s="85">
        <f>B34*C34</f>
        <v>164000</v>
      </c>
      <c r="I34" s="38" t="s">
        <v>147</v>
      </c>
    </row>
    <row r="35" spans="1:9" s="48" customFormat="1" x14ac:dyDescent="0.2">
      <c r="A35" s="48" t="s">
        <v>89</v>
      </c>
      <c r="B35" s="81"/>
      <c r="C35" s="81"/>
      <c r="D35" s="85"/>
      <c r="E35" s="85"/>
      <c r="F35" s="85"/>
      <c r="G35" s="85"/>
      <c r="I35" s="38"/>
    </row>
    <row r="36" spans="1:9" s="48" customFormat="1" x14ac:dyDescent="0.2">
      <c r="A36" s="76" t="s">
        <v>134</v>
      </c>
      <c r="B36" s="81">
        <f>B34</f>
        <v>205</v>
      </c>
      <c r="C36" s="104">
        <v>-4.7</v>
      </c>
      <c r="D36" s="85"/>
      <c r="E36" s="85"/>
      <c r="F36" s="85"/>
      <c r="G36" s="85">
        <f>B36*C36</f>
        <v>-963.5</v>
      </c>
      <c r="I36" s="38"/>
    </row>
    <row r="37" spans="1:9" s="48" customFormat="1" x14ac:dyDescent="0.2">
      <c r="A37" s="76" t="s">
        <v>135</v>
      </c>
      <c r="B37" s="63">
        <f>B36</f>
        <v>205</v>
      </c>
      <c r="C37" s="104">
        <v>-24</v>
      </c>
      <c r="D37" s="85"/>
      <c r="E37" s="85"/>
      <c r="F37" s="85"/>
      <c r="G37" s="85">
        <f>B37*C37</f>
        <v>-4920</v>
      </c>
      <c r="I37" s="38"/>
    </row>
    <row r="38" spans="1:9" s="48" customFormat="1" ht="13.5" thickBot="1" x14ac:dyDescent="0.25">
      <c r="A38" s="75"/>
      <c r="B38"/>
      <c r="C38" s="13">
        <f>C34-C36-C37</f>
        <v>828.7</v>
      </c>
      <c r="D38" s="85"/>
      <c r="E38" s="85"/>
      <c r="F38" s="85"/>
      <c r="G38" s="7">
        <f>SUM(G34:G37)</f>
        <v>158116.5</v>
      </c>
      <c r="I38" s="38"/>
    </row>
    <row r="39" spans="1:9" s="48" customFormat="1" ht="6.6" customHeight="1" thickTop="1" x14ac:dyDescent="0.2">
      <c r="A39" s="75"/>
      <c r="B39" s="81"/>
      <c r="C39" s="81"/>
      <c r="D39" s="85"/>
      <c r="E39" s="85"/>
      <c r="F39" s="85"/>
      <c r="G39" s="85"/>
      <c r="I39" s="38"/>
    </row>
    <row r="40" spans="1:9" s="48" customFormat="1" x14ac:dyDescent="0.2">
      <c r="A40" s="73" t="s">
        <v>142</v>
      </c>
      <c r="B40" s="81"/>
      <c r="C40" s="81"/>
      <c r="D40" s="85"/>
      <c r="E40" s="85"/>
      <c r="F40" s="85"/>
      <c r="G40" s="53">
        <f>G31+G38</f>
        <v>76092.899999999994</v>
      </c>
      <c r="I40" s="38" t="s">
        <v>144</v>
      </c>
    </row>
    <row r="41" spans="1:9" s="1" customFormat="1" x14ac:dyDescent="0.2">
      <c r="A41" s="73"/>
      <c r="B41" s="56"/>
      <c r="C41" s="56"/>
      <c r="D41" s="53"/>
      <c r="E41" s="53"/>
      <c r="F41" s="53"/>
      <c r="G41" s="53"/>
      <c r="I41" s="79"/>
    </row>
  </sheetData>
  <mergeCells count="4">
    <mergeCell ref="B2:G2"/>
    <mergeCell ref="B3:G3"/>
    <mergeCell ref="B4:G4"/>
    <mergeCell ref="B6:C6"/>
  </mergeCells>
  <pageMargins left="0.51181102362204722" right="0.51181102362204722" top="1.1417322834645669" bottom="0.74803149606299213" header="0.51181102362204722" footer="0.51181102362204722"/>
  <pageSetup scale="94" orientation="landscape" r:id="rId1"/>
  <headerFooter scaleWithDoc="0">
    <oddFooter>&amp;L&amp;"Agfa Rotis Sans Serif,Regular"(c) Markus Maedler | 2009-2022&amp;R&amp;"Agfa Rotis Sans Serif,Regular"&amp;F | 6b</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zoomScaleNormal="100" workbookViewId="0"/>
  </sheetViews>
  <sheetFormatPr defaultRowHeight="12.75" x14ac:dyDescent="0.2"/>
  <cols>
    <col min="1" max="1" width="36.5703125" bestFit="1" customWidth="1"/>
    <col min="2" max="2" width="8.5703125" bestFit="1" customWidth="1"/>
    <col min="3" max="3" width="7.5703125" bestFit="1" customWidth="1"/>
    <col min="4" max="4" width="1.7109375" style="50" customWidth="1"/>
    <col min="5" max="5" width="11.140625" customWidth="1"/>
    <col min="6" max="6" width="1.7109375" style="50" customWidth="1"/>
    <col min="7" max="7" width="11.140625" customWidth="1"/>
    <col min="8" max="8" width="3" customWidth="1"/>
    <col min="9" max="9" width="9.140625" style="38" customWidth="1"/>
  </cols>
  <sheetData>
    <row r="1" spans="1:15" x14ac:dyDescent="0.2">
      <c r="A1" s="1" t="s">
        <v>25</v>
      </c>
    </row>
    <row r="2" spans="1:15" x14ac:dyDescent="0.2">
      <c r="A2" s="48" t="s">
        <v>224</v>
      </c>
      <c r="B2" s="143" t="s">
        <v>76</v>
      </c>
      <c r="C2" s="143"/>
      <c r="D2" s="143"/>
      <c r="E2" s="143"/>
      <c r="F2" s="143"/>
      <c r="G2" s="143"/>
    </row>
    <row r="3" spans="1:15" x14ac:dyDescent="0.2">
      <c r="A3" s="106" t="s">
        <v>111</v>
      </c>
      <c r="B3" s="143" t="s">
        <v>132</v>
      </c>
      <c r="C3" s="143"/>
      <c r="D3" s="143"/>
      <c r="E3" s="143"/>
      <c r="F3" s="143"/>
      <c r="G3" s="143"/>
    </row>
    <row r="4" spans="1:15" x14ac:dyDescent="0.2">
      <c r="B4" s="144" t="s">
        <v>53</v>
      </c>
      <c r="C4" s="144"/>
      <c r="D4" s="144"/>
      <c r="E4" s="144"/>
      <c r="F4" s="144"/>
      <c r="G4" s="144"/>
    </row>
    <row r="5" spans="1:15" x14ac:dyDescent="0.2">
      <c r="A5" s="1"/>
    </row>
    <row r="6" spans="1:15" x14ac:dyDescent="0.2">
      <c r="B6" s="145" t="s">
        <v>26</v>
      </c>
      <c r="C6" s="145"/>
      <c r="D6" s="44"/>
      <c r="E6" s="3" t="s">
        <v>27</v>
      </c>
      <c r="F6" s="44"/>
      <c r="G6" s="3" t="s">
        <v>32</v>
      </c>
      <c r="I6" s="38" t="s">
        <v>77</v>
      </c>
    </row>
    <row r="7" spans="1:15" x14ac:dyDescent="0.2">
      <c r="B7" s="28" t="s">
        <v>35</v>
      </c>
      <c r="C7" s="28" t="s">
        <v>34</v>
      </c>
      <c r="D7" s="44"/>
      <c r="E7" s="44"/>
      <c r="F7" s="44"/>
      <c r="G7" s="44"/>
    </row>
    <row r="8" spans="1:15" x14ac:dyDescent="0.2">
      <c r="A8" s="1" t="s">
        <v>36</v>
      </c>
      <c r="I8" s="79"/>
    </row>
    <row r="9" spans="1:15" x14ac:dyDescent="0.2">
      <c r="A9" t="s">
        <v>113</v>
      </c>
      <c r="B9">
        <v>138</v>
      </c>
      <c r="C9" s="11">
        <v>800</v>
      </c>
      <c r="D9" s="51"/>
      <c r="G9" s="4">
        <f>B9*C9</f>
        <v>110400</v>
      </c>
    </row>
    <row r="10" spans="1:15" x14ac:dyDescent="0.2">
      <c r="A10" s="48" t="s">
        <v>89</v>
      </c>
      <c r="C10" s="11"/>
      <c r="D10" s="51"/>
      <c r="G10" s="4"/>
    </row>
    <row r="11" spans="1:15" x14ac:dyDescent="0.2">
      <c r="A11" t="s">
        <v>15</v>
      </c>
      <c r="B11">
        <f>B9</f>
        <v>138</v>
      </c>
      <c r="C11" s="11">
        <v>-4.7</v>
      </c>
      <c r="D11" s="21"/>
      <c r="E11" s="21"/>
      <c r="F11" s="21"/>
      <c r="G11" s="4">
        <f>B11*C11</f>
        <v>-648.6</v>
      </c>
    </row>
    <row r="12" spans="1:15" x14ac:dyDescent="0.2">
      <c r="A12" t="s">
        <v>23</v>
      </c>
      <c r="B12" s="63">
        <f>B11</f>
        <v>138</v>
      </c>
      <c r="C12" s="64">
        <v>-24</v>
      </c>
      <c r="D12" s="62"/>
      <c r="E12" s="62"/>
      <c r="F12" s="62"/>
      <c r="G12" s="4">
        <f>B12*C12</f>
        <v>-3312</v>
      </c>
    </row>
    <row r="13" spans="1:15" ht="13.5" thickBot="1" x14ac:dyDescent="0.25">
      <c r="A13" s="48" t="s">
        <v>36</v>
      </c>
      <c r="C13" s="13">
        <f>C9-C11-C12</f>
        <v>828.7</v>
      </c>
      <c r="D13" s="21"/>
      <c r="E13" s="5"/>
      <c r="F13" s="21"/>
      <c r="G13" s="7">
        <f>G9+G11+G12</f>
        <v>106439.4</v>
      </c>
    </row>
    <row r="14" spans="1:15" ht="6" customHeight="1" thickTop="1" x14ac:dyDescent="0.2">
      <c r="A14" s="15"/>
      <c r="C14" s="11"/>
      <c r="D14" s="21"/>
      <c r="E14" s="5"/>
      <c r="F14" s="21"/>
      <c r="G14" s="20"/>
    </row>
    <row r="15" spans="1:15" ht="12.75" customHeight="1" x14ac:dyDescent="0.2">
      <c r="A15" s="1" t="s">
        <v>115</v>
      </c>
      <c r="C15" s="11"/>
      <c r="D15" s="21"/>
      <c r="E15" s="5"/>
      <c r="F15" s="21"/>
      <c r="G15" s="20"/>
      <c r="I15" s="46"/>
      <c r="J15" s="46"/>
      <c r="K15" s="46"/>
      <c r="L15" s="46"/>
      <c r="M15" s="46"/>
      <c r="N15" s="46"/>
      <c r="O15" s="46"/>
    </row>
    <row r="16" spans="1:15" x14ac:dyDescent="0.2">
      <c r="A16" t="s">
        <v>20</v>
      </c>
      <c r="D16" s="51"/>
      <c r="E16" s="4">
        <v>-8083</v>
      </c>
      <c r="F16" s="51"/>
      <c r="G16" s="4">
        <f>E16</f>
        <v>-8083</v>
      </c>
      <c r="I16" s="46"/>
      <c r="J16" s="46"/>
      <c r="K16" s="46"/>
      <c r="L16" s="46"/>
      <c r="M16" s="46"/>
      <c r="N16" s="46"/>
      <c r="O16" s="46"/>
    </row>
    <row r="17" spans="1:15" x14ac:dyDescent="0.2">
      <c r="A17" s="34" t="s">
        <v>61</v>
      </c>
      <c r="B17" s="50"/>
      <c r="C17" s="50"/>
      <c r="D17" s="51"/>
      <c r="E17" s="4">
        <v>-5400</v>
      </c>
      <c r="F17" s="51"/>
      <c r="G17" s="4">
        <f>E17</f>
        <v>-5400</v>
      </c>
      <c r="I17" s="46"/>
      <c r="J17" s="46"/>
      <c r="K17" s="46"/>
      <c r="L17" s="46"/>
      <c r="M17" s="46"/>
      <c r="N17" s="46"/>
      <c r="O17" s="46"/>
    </row>
    <row r="18" spans="1:15" ht="6" customHeight="1" x14ac:dyDescent="0.2">
      <c r="A18" s="15"/>
      <c r="C18" s="11"/>
      <c r="D18" s="21"/>
      <c r="E18" s="5"/>
      <c r="F18" s="21"/>
      <c r="G18" s="20"/>
    </row>
    <row r="19" spans="1:15" x14ac:dyDescent="0.2">
      <c r="A19" s="76" t="s">
        <v>108</v>
      </c>
      <c r="B19" s="50"/>
      <c r="C19" s="40"/>
      <c r="D19" s="51"/>
      <c r="E19" s="51">
        <v>-11200</v>
      </c>
      <c r="F19" s="51"/>
      <c r="G19" s="51">
        <f>E19</f>
        <v>-11200</v>
      </c>
      <c r="I19" s="46"/>
      <c r="J19" s="46"/>
      <c r="K19" s="46"/>
      <c r="L19" s="46"/>
      <c r="M19" s="46"/>
      <c r="N19" s="46"/>
      <c r="O19" s="46"/>
    </row>
    <row r="20" spans="1:15" x14ac:dyDescent="0.2">
      <c r="A20" s="34" t="s">
        <v>57</v>
      </c>
      <c r="B20" s="50"/>
      <c r="C20" s="40"/>
      <c r="D20" s="51"/>
      <c r="E20" s="4">
        <v>-12000</v>
      </c>
      <c r="F20" s="51"/>
      <c r="G20" s="4">
        <f>E20</f>
        <v>-12000</v>
      </c>
      <c r="I20" s="46"/>
      <c r="J20" s="46"/>
      <c r="K20" s="46"/>
      <c r="L20" s="46"/>
      <c r="M20" s="46"/>
      <c r="N20" s="46"/>
      <c r="O20" s="46"/>
    </row>
    <row r="21" spans="1:15" x14ac:dyDescent="0.2">
      <c r="A21" s="34" t="s">
        <v>56</v>
      </c>
      <c r="B21" s="50"/>
      <c r="C21" s="40"/>
      <c r="D21" s="51"/>
      <c r="E21" s="4">
        <v>-21600</v>
      </c>
      <c r="F21" s="51"/>
      <c r="G21" s="4">
        <f>E21</f>
        <v>-21600</v>
      </c>
      <c r="I21" s="46"/>
      <c r="J21" s="46"/>
      <c r="K21" s="46"/>
      <c r="L21" s="46"/>
      <c r="M21" s="46"/>
      <c r="N21" s="46"/>
      <c r="O21" s="46"/>
    </row>
    <row r="22" spans="1:15" x14ac:dyDescent="0.2">
      <c r="A22" s="34" t="s">
        <v>58</v>
      </c>
      <c r="B22" s="50"/>
      <c r="C22" s="40"/>
      <c r="D22" s="51"/>
      <c r="E22" s="51">
        <v>-9000</v>
      </c>
      <c r="F22" s="51"/>
      <c r="G22" s="51">
        <f>E22</f>
        <v>-9000</v>
      </c>
    </row>
    <row r="23" spans="1:15" ht="6" customHeight="1" x14ac:dyDescent="0.2">
      <c r="A23" s="15"/>
      <c r="C23" s="11"/>
      <c r="D23" s="21"/>
      <c r="E23" s="5"/>
      <c r="F23" s="21"/>
      <c r="G23" s="20"/>
    </row>
    <row r="24" spans="1:15" x14ac:dyDescent="0.2">
      <c r="A24" s="34" t="s">
        <v>60</v>
      </c>
      <c r="B24" s="50"/>
      <c r="C24" s="50"/>
      <c r="D24" s="51"/>
      <c r="E24" s="4">
        <v>-95000</v>
      </c>
      <c r="F24" s="51"/>
      <c r="G24" s="4">
        <f>E24</f>
        <v>-95000</v>
      </c>
    </row>
    <row r="25" spans="1:15" ht="6" customHeight="1" x14ac:dyDescent="0.2">
      <c r="A25" s="15"/>
      <c r="C25" s="11"/>
      <c r="D25" s="21"/>
      <c r="E25" s="5"/>
      <c r="F25" s="21"/>
      <c r="G25" s="20"/>
    </row>
    <row r="26" spans="1:15" x14ac:dyDescent="0.2">
      <c r="A26" s="34" t="s">
        <v>62</v>
      </c>
      <c r="B26" s="50"/>
      <c r="C26" s="50"/>
      <c r="D26" s="21"/>
      <c r="E26" s="5"/>
      <c r="F26" s="21"/>
      <c r="G26" s="4"/>
    </row>
    <row r="27" spans="1:15" x14ac:dyDescent="0.2">
      <c r="A27" s="41" t="s">
        <v>63</v>
      </c>
      <c r="B27" s="50"/>
      <c r="C27" s="50"/>
      <c r="D27" s="51"/>
      <c r="E27" s="4">
        <v>-25500</v>
      </c>
      <c r="F27" s="51"/>
      <c r="G27" s="4">
        <f>E27</f>
        <v>-25500</v>
      </c>
    </row>
    <row r="28" spans="1:15" x14ac:dyDescent="0.2">
      <c r="A28" s="41" t="s">
        <v>64</v>
      </c>
      <c r="B28" s="50"/>
      <c r="C28" s="50"/>
      <c r="D28" s="51"/>
      <c r="E28" s="51">
        <v>-680</v>
      </c>
      <c r="F28" s="51"/>
      <c r="G28" s="51">
        <f>E28</f>
        <v>-680</v>
      </c>
    </row>
    <row r="29" spans="1:15" ht="13.5" thickBot="1" x14ac:dyDescent="0.25">
      <c r="A29" s="75" t="s">
        <v>116</v>
      </c>
      <c r="B29" s="50"/>
      <c r="C29" s="50"/>
      <c r="D29" s="51"/>
      <c r="E29" s="7">
        <f>SUM(E16:E28)</f>
        <v>-188463</v>
      </c>
      <c r="F29" s="51"/>
      <c r="G29" s="7">
        <f>SUM(G16:G28)</f>
        <v>-188463</v>
      </c>
    </row>
    <row r="30" spans="1:15" ht="6" customHeight="1" thickTop="1" x14ac:dyDescent="0.2">
      <c r="A30" s="15"/>
      <c r="C30" s="11"/>
      <c r="D30" s="21"/>
      <c r="E30" s="5"/>
      <c r="F30" s="21"/>
      <c r="G30" s="20"/>
    </row>
    <row r="31" spans="1:15" s="48" customFormat="1" x14ac:dyDescent="0.2">
      <c r="A31" s="75" t="s">
        <v>141</v>
      </c>
      <c r="B31" s="81"/>
      <c r="C31" s="81"/>
      <c r="D31" s="85"/>
      <c r="E31" s="85"/>
      <c r="F31" s="85"/>
      <c r="G31" s="85">
        <f>G13+G29</f>
        <v>-82023.600000000006</v>
      </c>
      <c r="I31" s="38" t="s">
        <v>145</v>
      </c>
    </row>
    <row r="32" spans="1:15" ht="6" customHeight="1" x14ac:dyDescent="0.2">
      <c r="A32" s="15"/>
      <c r="C32" s="11"/>
      <c r="D32" s="21"/>
      <c r="E32" s="5"/>
      <c r="F32" s="21"/>
      <c r="G32" s="20"/>
    </row>
    <row r="33" spans="1:15" s="48" customFormat="1" x14ac:dyDescent="0.2">
      <c r="A33" s="73" t="s">
        <v>171</v>
      </c>
      <c r="B33" s="81"/>
      <c r="C33" s="81"/>
      <c r="D33" s="85"/>
      <c r="E33" s="85"/>
      <c r="F33" s="85"/>
      <c r="G33" s="85"/>
      <c r="I33" s="38"/>
    </row>
    <row r="34" spans="1:15" s="48" customFormat="1" x14ac:dyDescent="0.2">
      <c r="A34" s="48" t="s">
        <v>173</v>
      </c>
      <c r="B34" s="81">
        <v>205</v>
      </c>
      <c r="C34" s="104">
        <v>400</v>
      </c>
      <c r="D34" s="85"/>
      <c r="E34" s="85"/>
      <c r="F34" s="85"/>
      <c r="G34" s="85">
        <f>B34*C34</f>
        <v>82000</v>
      </c>
      <c r="I34" s="38"/>
    </row>
    <row r="35" spans="1:15" s="48" customFormat="1" x14ac:dyDescent="0.2">
      <c r="A35" s="48" t="s">
        <v>89</v>
      </c>
      <c r="B35" s="81"/>
      <c r="C35" s="81"/>
      <c r="D35" s="85"/>
      <c r="E35" s="85"/>
      <c r="F35" s="85"/>
      <c r="G35" s="85"/>
      <c r="I35" s="38"/>
    </row>
    <row r="36" spans="1:15" s="48" customFormat="1" x14ac:dyDescent="0.2">
      <c r="A36" s="76" t="s">
        <v>134</v>
      </c>
      <c r="B36" s="81">
        <f>B34</f>
        <v>205</v>
      </c>
      <c r="C36" s="104">
        <v>-4.7</v>
      </c>
      <c r="D36" s="85"/>
      <c r="E36" s="85"/>
      <c r="F36" s="85"/>
      <c r="G36" s="85">
        <f>B36*C36</f>
        <v>-963.5</v>
      </c>
      <c r="I36" s="38"/>
    </row>
    <row r="37" spans="1:15" s="48" customFormat="1" x14ac:dyDescent="0.2">
      <c r="A37" s="76" t="s">
        <v>135</v>
      </c>
      <c r="B37" s="63">
        <f>B36</f>
        <v>205</v>
      </c>
      <c r="C37" s="104">
        <v>-24</v>
      </c>
      <c r="D37" s="85"/>
      <c r="E37" s="85"/>
      <c r="F37" s="85"/>
      <c r="G37" s="85">
        <f>B37*C37</f>
        <v>-4920</v>
      </c>
      <c r="I37" s="38"/>
    </row>
    <row r="38" spans="1:15" s="48" customFormat="1" ht="13.5" thickBot="1" x14ac:dyDescent="0.25">
      <c r="A38" s="75"/>
      <c r="B38"/>
      <c r="C38" s="13">
        <f>C34-C36-C37</f>
        <v>428.7</v>
      </c>
      <c r="D38" s="85"/>
      <c r="E38" s="85"/>
      <c r="F38" s="85"/>
      <c r="G38" s="7">
        <f>SUM(G34:G37)</f>
        <v>76116.5</v>
      </c>
      <c r="I38" s="38"/>
    </row>
    <row r="39" spans="1:15" s="48" customFormat="1" ht="6" customHeight="1" thickTop="1" x14ac:dyDescent="0.2">
      <c r="A39" s="75"/>
      <c r="B39"/>
      <c r="C39" s="54"/>
      <c r="D39" s="85"/>
      <c r="E39" s="85"/>
      <c r="F39" s="85"/>
      <c r="G39" s="51"/>
      <c r="I39" s="38"/>
    </row>
    <row r="40" spans="1:15" s="48" customFormat="1" ht="13.15" customHeight="1" x14ac:dyDescent="0.2">
      <c r="A40" s="75" t="s">
        <v>174</v>
      </c>
      <c r="B40"/>
      <c r="C40" s="54"/>
      <c r="D40" s="85"/>
      <c r="E40" s="85"/>
      <c r="F40" s="85"/>
      <c r="G40" s="51"/>
      <c r="I40" s="38"/>
    </row>
    <row r="41" spans="1:15" s="48" customFormat="1" x14ac:dyDescent="0.2">
      <c r="A41" s="76" t="s">
        <v>139</v>
      </c>
      <c r="C41" s="107"/>
      <c r="D41" s="108"/>
      <c r="E41" s="82">
        <v>-9240</v>
      </c>
      <c r="F41" s="108"/>
      <c r="G41" s="82">
        <v>-9240</v>
      </c>
      <c r="I41" s="46"/>
      <c r="J41" s="46"/>
      <c r="K41" s="46"/>
      <c r="L41" s="46"/>
      <c r="M41" s="46"/>
      <c r="N41" s="46"/>
      <c r="O41" s="46"/>
    </row>
    <row r="42" spans="1:15" s="48" customFormat="1" x14ac:dyDescent="0.2">
      <c r="A42" s="76" t="s">
        <v>28</v>
      </c>
      <c r="D42" s="82"/>
      <c r="E42" s="82">
        <v>-15236</v>
      </c>
      <c r="F42" s="82"/>
      <c r="G42" s="82">
        <v>-15236</v>
      </c>
      <c r="I42" s="46"/>
      <c r="J42" s="46"/>
      <c r="K42" s="46"/>
      <c r="L42" s="46"/>
      <c r="M42" s="46"/>
      <c r="N42" s="46"/>
      <c r="O42" s="46"/>
    </row>
    <row r="43" spans="1:15" s="48" customFormat="1" ht="13.5" thickBot="1" x14ac:dyDescent="0.25">
      <c r="A43" s="76"/>
      <c r="D43" s="82"/>
      <c r="E43" s="7">
        <f>SUM(E41:E42)</f>
        <v>-24476</v>
      </c>
      <c r="F43" s="82"/>
      <c r="G43" s="7">
        <f>SUM(G41:G42)</f>
        <v>-24476</v>
      </c>
      <c r="I43" s="46"/>
      <c r="J43" s="46"/>
      <c r="K43" s="46"/>
      <c r="L43" s="46"/>
      <c r="M43" s="46"/>
      <c r="N43" s="46"/>
      <c r="O43" s="46"/>
    </row>
    <row r="44" spans="1:15" s="48" customFormat="1" ht="6" customHeight="1" thickTop="1" x14ac:dyDescent="0.2">
      <c r="A44" s="75"/>
      <c r="B44"/>
      <c r="C44" s="54"/>
      <c r="D44" s="85"/>
      <c r="E44" s="85"/>
      <c r="F44" s="85"/>
      <c r="G44" s="51"/>
      <c r="I44" s="38"/>
    </row>
    <row r="45" spans="1:15" s="48" customFormat="1" x14ac:dyDescent="0.2">
      <c r="A45" s="75" t="s">
        <v>175</v>
      </c>
      <c r="B45"/>
      <c r="C45" s="54"/>
      <c r="D45" s="85"/>
      <c r="E45" s="85"/>
      <c r="F45" s="85"/>
      <c r="G45" s="51">
        <f>G38+G41+G42</f>
        <v>51640.5</v>
      </c>
      <c r="I45" s="38"/>
    </row>
    <row r="46" spans="1:15" s="48" customFormat="1" ht="6" customHeight="1" x14ac:dyDescent="0.2">
      <c r="A46" s="75"/>
      <c r="B46"/>
      <c r="C46" s="54"/>
      <c r="D46" s="85"/>
      <c r="E46" s="85"/>
      <c r="F46" s="85"/>
      <c r="G46" s="51"/>
      <c r="I46" s="38"/>
    </row>
    <row r="47" spans="1:15" s="1" customFormat="1" x14ac:dyDescent="0.2">
      <c r="A47" s="73" t="s">
        <v>176</v>
      </c>
      <c r="B47" s="56"/>
      <c r="C47" s="56"/>
      <c r="D47" s="53"/>
      <c r="E47" s="53"/>
      <c r="F47" s="53"/>
      <c r="G47" s="53">
        <f>G31+G45</f>
        <v>-30383.100000000006</v>
      </c>
      <c r="I47" s="79"/>
    </row>
    <row r="48" spans="1:15" ht="6" customHeight="1" x14ac:dyDescent="0.2">
      <c r="A48" s="15"/>
      <c r="C48" s="11"/>
      <c r="D48" s="21"/>
      <c r="E48" s="5"/>
      <c r="F48" s="21"/>
      <c r="G48" s="20"/>
    </row>
    <row r="49" spans="1:15" s="48" customFormat="1" x14ac:dyDescent="0.2">
      <c r="A49" s="73" t="s">
        <v>172</v>
      </c>
      <c r="B49" s="81"/>
      <c r="C49" s="81"/>
      <c r="D49" s="85"/>
      <c r="E49" s="85"/>
      <c r="F49" s="85"/>
      <c r="G49" s="85"/>
      <c r="I49" s="38"/>
    </row>
    <row r="50" spans="1:15" s="48" customFormat="1" x14ac:dyDescent="0.2">
      <c r="A50" s="48" t="s">
        <v>177</v>
      </c>
      <c r="B50" s="81">
        <v>205</v>
      </c>
      <c r="C50" s="104">
        <v>400</v>
      </c>
      <c r="D50" s="85"/>
      <c r="E50" s="85"/>
      <c r="F50" s="85"/>
      <c r="G50" s="85">
        <f>B50*C50</f>
        <v>82000</v>
      </c>
      <c r="I50" s="38" t="s">
        <v>178</v>
      </c>
    </row>
    <row r="51" spans="1:15" s="48" customFormat="1" x14ac:dyDescent="0.2">
      <c r="A51" s="76" t="s">
        <v>139</v>
      </c>
      <c r="C51" s="107"/>
      <c r="D51" s="108"/>
      <c r="E51" s="82">
        <v>9240</v>
      </c>
      <c r="F51" s="108"/>
      <c r="G51" s="82">
        <v>9240</v>
      </c>
      <c r="I51" s="46"/>
      <c r="J51" s="46"/>
      <c r="K51" s="46"/>
      <c r="L51" s="46"/>
      <c r="M51" s="46"/>
      <c r="N51" s="46"/>
      <c r="O51" s="46"/>
    </row>
    <row r="52" spans="1:15" s="48" customFormat="1" x14ac:dyDescent="0.2">
      <c r="A52" s="76" t="s">
        <v>28</v>
      </c>
      <c r="D52" s="82"/>
      <c r="E52" s="82">
        <v>15236</v>
      </c>
      <c r="F52" s="82"/>
      <c r="G52" s="82">
        <v>15236</v>
      </c>
      <c r="I52" s="46"/>
      <c r="J52" s="46"/>
      <c r="K52" s="46"/>
      <c r="L52" s="46"/>
      <c r="M52" s="46"/>
      <c r="N52" s="46"/>
      <c r="O52" s="46"/>
    </row>
    <row r="53" spans="1:15" s="48" customFormat="1" ht="13.5" thickBot="1" x14ac:dyDescent="0.25">
      <c r="B53" s="81"/>
      <c r="C53" s="104"/>
      <c r="D53" s="85"/>
      <c r="E53" s="85"/>
      <c r="F53" s="85"/>
      <c r="G53" s="7">
        <f>SUM(G50:G52)</f>
        <v>106476</v>
      </c>
      <c r="I53" s="38"/>
    </row>
    <row r="54" spans="1:15" s="48" customFormat="1" ht="6.6" customHeight="1" thickTop="1" x14ac:dyDescent="0.2">
      <c r="A54" s="75"/>
      <c r="B54" s="81"/>
      <c r="C54" s="81"/>
      <c r="D54" s="85"/>
      <c r="E54" s="85"/>
      <c r="F54" s="85"/>
      <c r="G54" s="85"/>
      <c r="I54" s="38"/>
    </row>
    <row r="55" spans="1:15" s="48" customFormat="1" x14ac:dyDescent="0.2">
      <c r="A55" s="73" t="s">
        <v>142</v>
      </c>
      <c r="B55" s="81"/>
      <c r="C55" s="81"/>
      <c r="D55" s="85"/>
      <c r="E55" s="85"/>
      <c r="F55" s="85"/>
      <c r="G55" s="53">
        <f>G47+G53</f>
        <v>76092.899999999994</v>
      </c>
      <c r="I55" s="38" t="s">
        <v>144</v>
      </c>
    </row>
    <row r="56" spans="1:15" s="1" customFormat="1" x14ac:dyDescent="0.2">
      <c r="A56" s="73"/>
      <c r="B56" s="56"/>
      <c r="C56" s="56"/>
      <c r="D56" s="53"/>
      <c r="E56" s="53"/>
      <c r="F56" s="53"/>
      <c r="G56" s="53"/>
      <c r="I56" s="79"/>
    </row>
  </sheetData>
  <mergeCells count="4">
    <mergeCell ref="B2:G2"/>
    <mergeCell ref="B3:G3"/>
    <mergeCell ref="B4:G4"/>
    <mergeCell ref="B6:C6"/>
  </mergeCells>
  <pageMargins left="0.51181102362204722" right="0.51181102362204722" top="1.1417322834645669" bottom="0.74803149606299213" header="0.51181102362204722" footer="0.51181102362204722"/>
  <pageSetup scale="77" orientation="landscape" r:id="rId1"/>
  <headerFooter scaleWithDoc="0">
    <oddFooter>&amp;L&amp;"Agfa Rotis Sans Serif,Regular"(c) Markus Maedler | 2009-2022&amp;R&amp;"Agfa Rotis Sans Serif,Regular"&amp;F | 6c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zoomScaleNormal="100" workbookViewId="0"/>
  </sheetViews>
  <sheetFormatPr defaultRowHeight="12.75" x14ac:dyDescent="0.2"/>
  <cols>
    <col min="1" max="1" width="36.5703125" bestFit="1" customWidth="1"/>
    <col min="2" max="2" width="8.5703125" bestFit="1" customWidth="1"/>
    <col min="3" max="3" width="7.5703125" bestFit="1" customWidth="1"/>
    <col min="4" max="4" width="1.7109375" style="50" customWidth="1"/>
    <col min="5" max="5" width="11.140625" customWidth="1"/>
    <col min="6" max="6" width="1.7109375" style="50" customWidth="1"/>
    <col min="7" max="7" width="11.140625" customWidth="1"/>
    <col min="8" max="8" width="3" customWidth="1"/>
    <col min="9" max="9" width="9.140625" style="38" customWidth="1"/>
  </cols>
  <sheetData>
    <row r="1" spans="1:15" x14ac:dyDescent="0.2">
      <c r="A1" s="1" t="s">
        <v>25</v>
      </c>
    </row>
    <row r="2" spans="1:15" x14ac:dyDescent="0.2">
      <c r="A2" s="48" t="s">
        <v>225</v>
      </c>
      <c r="B2" s="143" t="s">
        <v>76</v>
      </c>
      <c r="C2" s="143"/>
      <c r="D2" s="143"/>
      <c r="E2" s="143"/>
      <c r="F2" s="143"/>
      <c r="G2" s="143"/>
    </row>
    <row r="3" spans="1:15" x14ac:dyDescent="0.2">
      <c r="A3" s="106" t="s">
        <v>111</v>
      </c>
      <c r="B3" s="143" t="s">
        <v>132</v>
      </c>
      <c r="C3" s="143"/>
      <c r="D3" s="143"/>
      <c r="E3" s="143"/>
      <c r="F3" s="143"/>
      <c r="G3" s="143"/>
    </row>
    <row r="4" spans="1:15" x14ac:dyDescent="0.2">
      <c r="B4" s="144" t="s">
        <v>149</v>
      </c>
      <c r="C4" s="144"/>
      <c r="D4" s="144"/>
      <c r="E4" s="144"/>
      <c r="F4" s="144"/>
      <c r="G4" s="144"/>
    </row>
    <row r="5" spans="1:15" x14ac:dyDescent="0.2">
      <c r="A5" s="1"/>
    </row>
    <row r="6" spans="1:15" x14ac:dyDescent="0.2">
      <c r="B6" s="145" t="s">
        <v>26</v>
      </c>
      <c r="C6" s="145"/>
      <c r="D6" s="44"/>
      <c r="E6" s="3" t="s">
        <v>27</v>
      </c>
      <c r="F6" s="44"/>
      <c r="G6" s="3" t="s">
        <v>32</v>
      </c>
      <c r="I6" s="38" t="s">
        <v>55</v>
      </c>
    </row>
    <row r="7" spans="1:15" x14ac:dyDescent="0.2">
      <c r="B7" s="28" t="s">
        <v>35</v>
      </c>
      <c r="C7" s="28" t="s">
        <v>34</v>
      </c>
      <c r="D7" s="44"/>
      <c r="E7" s="44"/>
      <c r="F7" s="44"/>
      <c r="G7" s="44"/>
    </row>
    <row r="8" spans="1:15" x14ac:dyDescent="0.2">
      <c r="A8" s="1" t="s">
        <v>36</v>
      </c>
      <c r="I8" s="79" t="s">
        <v>127</v>
      </c>
    </row>
    <row r="9" spans="1:15" x14ac:dyDescent="0.2">
      <c r="A9" t="s">
        <v>113</v>
      </c>
      <c r="B9">
        <f>138+205</f>
        <v>343</v>
      </c>
      <c r="C9" s="11">
        <v>800</v>
      </c>
      <c r="D9" s="51"/>
      <c r="G9" s="4">
        <f>B9*C9</f>
        <v>274400</v>
      </c>
      <c r="I9" s="38" t="s">
        <v>126</v>
      </c>
    </row>
    <row r="10" spans="1:15" x14ac:dyDescent="0.2">
      <c r="A10" s="48" t="s">
        <v>89</v>
      </c>
      <c r="C10" s="11"/>
      <c r="D10" s="51"/>
      <c r="G10" s="4"/>
    </row>
    <row r="11" spans="1:15" x14ac:dyDescent="0.2">
      <c r="A11" t="s">
        <v>15</v>
      </c>
      <c r="B11">
        <f>B9</f>
        <v>343</v>
      </c>
      <c r="C11" s="11">
        <v>4.7</v>
      </c>
      <c r="D11" s="21"/>
      <c r="E11" s="21"/>
      <c r="F11" s="21"/>
      <c r="G11" s="4">
        <f>B11*C11</f>
        <v>1612.1000000000001</v>
      </c>
    </row>
    <row r="12" spans="1:15" x14ac:dyDescent="0.2">
      <c r="A12" t="s">
        <v>23</v>
      </c>
      <c r="B12" s="63">
        <f>B11</f>
        <v>343</v>
      </c>
      <c r="C12" s="64">
        <v>24</v>
      </c>
      <c r="D12" s="62"/>
      <c r="E12" s="62"/>
      <c r="F12" s="62"/>
      <c r="G12" s="4">
        <f>B12*C12</f>
        <v>8232</v>
      </c>
    </row>
    <row r="13" spans="1:15" ht="13.5" thickBot="1" x14ac:dyDescent="0.25">
      <c r="A13" s="48" t="s">
        <v>36</v>
      </c>
      <c r="C13" s="13">
        <f>C9-C11-C12</f>
        <v>771.3</v>
      </c>
      <c r="D13" s="21"/>
      <c r="E13" s="5"/>
      <c r="F13" s="21"/>
      <c r="G13" s="7">
        <f>G9-G11-G12</f>
        <v>264555.90000000002</v>
      </c>
    </row>
    <row r="14" spans="1:15" ht="12.75" customHeight="1" thickTop="1" x14ac:dyDescent="0.2">
      <c r="A14" s="15"/>
      <c r="C14" s="11"/>
      <c r="D14" s="21"/>
      <c r="E14" s="5"/>
      <c r="F14" s="21"/>
      <c r="G14" s="20"/>
    </row>
    <row r="15" spans="1:15" ht="12.75" customHeight="1" x14ac:dyDescent="0.2">
      <c r="A15" s="1" t="s">
        <v>115</v>
      </c>
      <c r="C15" s="11"/>
      <c r="D15" s="21"/>
      <c r="E15" s="5"/>
      <c r="F15" s="21"/>
      <c r="G15" s="20"/>
      <c r="I15" s="146" t="s">
        <v>125</v>
      </c>
      <c r="J15" s="146"/>
      <c r="K15" s="146"/>
      <c r="L15" s="146"/>
      <c r="M15" s="146"/>
      <c r="N15" s="146"/>
      <c r="O15" s="146"/>
    </row>
    <row r="16" spans="1:15" x14ac:dyDescent="0.2">
      <c r="A16" t="s">
        <v>20</v>
      </c>
      <c r="D16" s="51"/>
      <c r="E16" s="4">
        <v>8083</v>
      </c>
      <c r="F16" s="51"/>
      <c r="G16" s="4">
        <f>E16</f>
        <v>8083</v>
      </c>
      <c r="I16" s="146"/>
      <c r="J16" s="146"/>
      <c r="K16" s="146"/>
      <c r="L16" s="146"/>
      <c r="M16" s="146"/>
      <c r="N16" s="146"/>
      <c r="O16" s="146"/>
    </row>
    <row r="17" spans="1:15" x14ac:dyDescent="0.2">
      <c r="A17" s="34" t="s">
        <v>61</v>
      </c>
      <c r="B17" s="50"/>
      <c r="C17" s="50"/>
      <c r="D17" s="51"/>
      <c r="E17" s="4">
        <v>5400</v>
      </c>
      <c r="F17" s="51"/>
      <c r="G17" s="4">
        <f>E17</f>
        <v>5400</v>
      </c>
      <c r="I17" s="146"/>
      <c r="J17" s="146"/>
      <c r="K17" s="146"/>
      <c r="L17" s="146"/>
      <c r="M17" s="146"/>
      <c r="N17" s="146"/>
      <c r="O17" s="146"/>
    </row>
    <row r="18" spans="1:15" x14ac:dyDescent="0.2">
      <c r="A18" s="34"/>
      <c r="B18" s="50"/>
      <c r="C18" s="50"/>
      <c r="D18" s="51"/>
      <c r="E18" s="4"/>
      <c r="F18" s="51"/>
      <c r="G18" s="4"/>
      <c r="I18" s="146"/>
      <c r="J18" s="146"/>
      <c r="K18" s="146"/>
      <c r="L18" s="146"/>
      <c r="M18" s="146"/>
      <c r="N18" s="146"/>
      <c r="O18" s="146"/>
    </row>
    <row r="19" spans="1:15" x14ac:dyDescent="0.2">
      <c r="A19" s="76" t="s">
        <v>108</v>
      </c>
      <c r="B19" s="50"/>
      <c r="C19" s="40"/>
      <c r="D19" s="51"/>
      <c r="E19" s="51">
        <v>11200</v>
      </c>
      <c r="F19" s="51"/>
      <c r="G19" s="51">
        <f>E19</f>
        <v>11200</v>
      </c>
      <c r="I19" s="146"/>
      <c r="J19" s="146"/>
      <c r="K19" s="146"/>
      <c r="L19" s="146"/>
      <c r="M19" s="146"/>
      <c r="N19" s="146"/>
      <c r="O19" s="146"/>
    </row>
    <row r="20" spans="1:15" x14ac:dyDescent="0.2">
      <c r="A20" s="34" t="s">
        <v>57</v>
      </c>
      <c r="B20" s="50"/>
      <c r="C20" s="40"/>
      <c r="D20" s="51"/>
      <c r="E20" s="4">
        <v>12000</v>
      </c>
      <c r="F20" s="51"/>
      <c r="G20" s="4">
        <f>E20</f>
        <v>12000</v>
      </c>
      <c r="I20" s="146"/>
      <c r="J20" s="146"/>
      <c r="K20" s="146"/>
      <c r="L20" s="146"/>
      <c r="M20" s="146"/>
      <c r="N20" s="146"/>
      <c r="O20" s="146"/>
    </row>
    <row r="21" spans="1:15" x14ac:dyDescent="0.2">
      <c r="A21" s="34" t="s">
        <v>56</v>
      </c>
      <c r="B21" s="50"/>
      <c r="C21" s="40"/>
      <c r="D21" s="51"/>
      <c r="E21" s="4">
        <v>21600</v>
      </c>
      <c r="F21" s="51"/>
      <c r="G21" s="4">
        <f>E21</f>
        <v>21600</v>
      </c>
      <c r="I21" s="146"/>
      <c r="J21" s="146"/>
      <c r="K21" s="146"/>
      <c r="L21" s="146"/>
      <c r="M21" s="146"/>
      <c r="N21" s="146"/>
      <c r="O21" s="146"/>
    </row>
    <row r="22" spans="1:15" x14ac:dyDescent="0.2">
      <c r="A22" s="34" t="s">
        <v>58</v>
      </c>
      <c r="B22" s="50"/>
      <c r="C22" s="40"/>
      <c r="D22" s="51"/>
      <c r="E22" s="51">
        <v>9000</v>
      </c>
      <c r="F22" s="51"/>
      <c r="G22" s="51">
        <f>E22</f>
        <v>9000</v>
      </c>
    </row>
    <row r="23" spans="1:15" x14ac:dyDescent="0.2">
      <c r="A23" s="34"/>
      <c r="B23" s="50"/>
      <c r="C23" s="40"/>
      <c r="D23" s="51"/>
      <c r="E23" s="51"/>
      <c r="F23" s="51"/>
      <c r="G23" s="51"/>
    </row>
    <row r="24" spans="1:15" x14ac:dyDescent="0.2">
      <c r="A24" s="34" t="s">
        <v>60</v>
      </c>
      <c r="B24" s="50"/>
      <c r="C24" s="50"/>
      <c r="D24" s="51"/>
      <c r="E24" s="4">
        <v>95000</v>
      </c>
      <c r="F24" s="51"/>
      <c r="G24" s="4">
        <f>E24</f>
        <v>95000</v>
      </c>
    </row>
    <row r="25" spans="1:15" x14ac:dyDescent="0.2">
      <c r="A25" s="34"/>
      <c r="B25" s="50"/>
      <c r="C25" s="50"/>
      <c r="D25" s="51"/>
      <c r="E25" s="4"/>
      <c r="F25" s="51"/>
      <c r="G25" s="4"/>
    </row>
    <row r="26" spans="1:15" x14ac:dyDescent="0.2">
      <c r="A26" s="34" t="s">
        <v>62</v>
      </c>
      <c r="B26" s="50"/>
      <c r="C26" s="50"/>
      <c r="D26" s="21"/>
      <c r="E26" s="5"/>
      <c r="F26" s="21"/>
      <c r="G26" s="4"/>
    </row>
    <row r="27" spans="1:15" x14ac:dyDescent="0.2">
      <c r="A27" s="41" t="s">
        <v>63</v>
      </c>
      <c r="B27" s="50"/>
      <c r="C27" s="50"/>
      <c r="D27" s="51"/>
      <c r="E27" s="4">
        <v>25500</v>
      </c>
      <c r="F27" s="51"/>
      <c r="G27" s="4">
        <f>E27</f>
        <v>25500</v>
      </c>
    </row>
    <row r="28" spans="1:15" x14ac:dyDescent="0.2">
      <c r="A28" s="41" t="s">
        <v>64</v>
      </c>
      <c r="B28" s="50"/>
      <c r="C28" s="50"/>
      <c r="D28" s="51"/>
      <c r="E28" s="51">
        <v>680</v>
      </c>
      <c r="F28" s="51"/>
      <c r="G28" s="51">
        <f>E28</f>
        <v>680</v>
      </c>
    </row>
    <row r="29" spans="1:15" ht="13.5" thickBot="1" x14ac:dyDescent="0.25">
      <c r="A29" s="75" t="s">
        <v>116</v>
      </c>
      <c r="B29" s="50"/>
      <c r="C29" s="50"/>
      <c r="D29" s="51"/>
      <c r="E29" s="7">
        <f>SUM(E16:E28)</f>
        <v>188463</v>
      </c>
      <c r="F29" s="51"/>
      <c r="G29" s="7">
        <f>SUM(G16:G28)</f>
        <v>188463</v>
      </c>
    </row>
    <row r="30" spans="1:15" ht="13.5" thickTop="1" x14ac:dyDescent="0.2">
      <c r="A30" s="41"/>
      <c r="B30" s="50"/>
      <c r="C30" s="50"/>
      <c r="D30" s="51"/>
      <c r="E30" s="51"/>
      <c r="F30" s="51"/>
      <c r="G30" s="51"/>
    </row>
    <row r="31" spans="1:15" s="48" customFormat="1" x14ac:dyDescent="0.2">
      <c r="A31" s="73" t="s">
        <v>120</v>
      </c>
      <c r="B31" s="81"/>
      <c r="C31" s="81"/>
      <c r="D31" s="85"/>
      <c r="E31" s="85"/>
      <c r="F31" s="85"/>
      <c r="G31" s="53">
        <f>G13-G29</f>
        <v>76092.900000000023</v>
      </c>
      <c r="I31" s="38"/>
    </row>
    <row r="32" spans="1:15" s="1" customFormat="1" x14ac:dyDescent="0.2">
      <c r="A32" s="73"/>
      <c r="B32" s="56"/>
      <c r="C32" s="56"/>
      <c r="D32" s="53"/>
      <c r="E32" s="53"/>
      <c r="F32" s="53"/>
      <c r="G32" s="53"/>
      <c r="I32" s="79"/>
    </row>
    <row r="33" spans="1:15" s="1" customFormat="1" x14ac:dyDescent="0.2">
      <c r="A33" s="73" t="s">
        <v>119</v>
      </c>
      <c r="B33" s="56"/>
      <c r="C33" s="56"/>
      <c r="D33" s="53"/>
      <c r="E33" s="53"/>
      <c r="F33" s="53"/>
      <c r="G33" s="53"/>
      <c r="I33" s="163" t="s">
        <v>121</v>
      </c>
      <c r="J33" s="163"/>
      <c r="K33" s="163"/>
      <c r="L33" s="163"/>
      <c r="M33" s="163"/>
      <c r="N33" s="163"/>
      <c r="O33" s="163"/>
    </row>
    <row r="34" spans="1:15" s="50" customFormat="1" ht="12.75" customHeight="1" x14ac:dyDescent="0.2">
      <c r="A34" s="50" t="s">
        <v>28</v>
      </c>
      <c r="D34" s="51"/>
      <c r="E34" s="51">
        <v>15236</v>
      </c>
      <c r="F34" s="51"/>
      <c r="G34" s="51">
        <f>E34</f>
        <v>15236</v>
      </c>
      <c r="I34" s="163"/>
      <c r="J34" s="163"/>
      <c r="K34" s="163"/>
      <c r="L34" s="163"/>
      <c r="M34" s="163"/>
      <c r="N34" s="163"/>
      <c r="O34" s="163"/>
    </row>
    <row r="35" spans="1:15" ht="12.75" customHeight="1" x14ac:dyDescent="0.2">
      <c r="A35" s="34" t="s">
        <v>66</v>
      </c>
      <c r="B35" s="50"/>
      <c r="C35" s="50"/>
      <c r="D35" s="21"/>
      <c r="E35" s="51">
        <v>1240</v>
      </c>
      <c r="F35" s="51"/>
      <c r="G35" s="51">
        <f>E35</f>
        <v>1240</v>
      </c>
      <c r="I35" s="163"/>
      <c r="J35" s="163"/>
      <c r="K35" s="163"/>
      <c r="L35" s="163"/>
      <c r="M35" s="163"/>
      <c r="N35" s="163"/>
      <c r="O35" s="163"/>
    </row>
    <row r="36" spans="1:15" x14ac:dyDescent="0.2">
      <c r="A36" s="34" t="s">
        <v>65</v>
      </c>
      <c r="D36" s="51"/>
      <c r="E36" s="4">
        <v>8000</v>
      </c>
      <c r="F36" s="51"/>
      <c r="G36" s="4">
        <f>E36</f>
        <v>8000</v>
      </c>
      <c r="I36" s="163"/>
      <c r="J36" s="163"/>
      <c r="K36" s="163"/>
      <c r="L36" s="163"/>
      <c r="M36" s="163"/>
      <c r="N36" s="163"/>
      <c r="O36" s="163"/>
    </row>
    <row r="37" spans="1:15" ht="13.5" thickBot="1" x14ac:dyDescent="0.25">
      <c r="A37" s="48"/>
      <c r="C37" s="40"/>
      <c r="D37" s="51"/>
      <c r="E37" s="7">
        <f>SUM(E34:E36)</f>
        <v>24476</v>
      </c>
      <c r="F37" s="51"/>
      <c r="G37" s="7">
        <f>E37</f>
        <v>24476</v>
      </c>
    </row>
    <row r="38" spans="1:15" ht="13.5" thickTop="1" x14ac:dyDescent="0.2">
      <c r="A38" s="48"/>
      <c r="C38" s="40"/>
      <c r="D38" s="51"/>
      <c r="E38" s="51"/>
      <c r="F38" s="51"/>
      <c r="G38" s="51"/>
      <c r="I38"/>
    </row>
    <row r="39" spans="1:15" x14ac:dyDescent="0.2">
      <c r="A39" s="73" t="s">
        <v>118</v>
      </c>
      <c r="B39" s="50"/>
      <c r="C39" s="50"/>
      <c r="D39" s="51"/>
      <c r="E39" s="51"/>
      <c r="F39" s="51"/>
      <c r="G39" s="53">
        <f>G31-G37</f>
        <v>51616.900000000023</v>
      </c>
    </row>
    <row r="40" spans="1:15" x14ac:dyDescent="0.2">
      <c r="A40" s="73"/>
      <c r="B40" s="50"/>
      <c r="C40" s="50"/>
      <c r="D40" s="51"/>
      <c r="E40" s="51"/>
      <c r="F40" s="51"/>
      <c r="G40" s="51"/>
    </row>
    <row r="41" spans="1:15" ht="12.75" customHeight="1" x14ac:dyDescent="0.2">
      <c r="A41" s="73" t="s">
        <v>122</v>
      </c>
      <c r="B41" s="50"/>
      <c r="C41" s="50"/>
      <c r="D41" s="51"/>
      <c r="E41" s="51"/>
      <c r="F41" s="51"/>
      <c r="G41" s="51"/>
      <c r="I41" s="146" t="s">
        <v>123</v>
      </c>
      <c r="J41" s="146"/>
      <c r="K41" s="146"/>
      <c r="L41" s="146"/>
      <c r="M41" s="146"/>
      <c r="N41" s="146"/>
      <c r="O41" s="146"/>
    </row>
    <row r="42" spans="1:15" ht="12.75" customHeight="1" x14ac:dyDescent="0.2">
      <c r="A42" s="48" t="s">
        <v>114</v>
      </c>
      <c r="B42">
        <v>205</v>
      </c>
      <c r="C42" s="11">
        <v>400</v>
      </c>
      <c r="D42" s="51"/>
      <c r="E42" s="4">
        <f>G42</f>
        <v>82000</v>
      </c>
      <c r="G42" s="4">
        <f>B42*C42</f>
        <v>82000</v>
      </c>
      <c r="I42" s="146"/>
      <c r="J42" s="146"/>
      <c r="K42" s="146"/>
      <c r="L42" s="146"/>
      <c r="M42" s="146"/>
      <c r="N42" s="146"/>
      <c r="O42" s="146"/>
    </row>
    <row r="43" spans="1:15" ht="13.5" thickBot="1" x14ac:dyDescent="0.25">
      <c r="C43" s="40"/>
      <c r="D43" s="51"/>
      <c r="E43" s="7">
        <f>E42</f>
        <v>82000</v>
      </c>
      <c r="F43" s="51"/>
      <c r="G43" s="7">
        <f>G42</f>
        <v>82000</v>
      </c>
      <c r="I43" s="146"/>
      <c r="J43" s="146"/>
      <c r="K43" s="146"/>
      <c r="L43" s="146"/>
      <c r="M43" s="146"/>
      <c r="N43" s="146"/>
      <c r="O43" s="146"/>
    </row>
    <row r="44" spans="1:15" ht="13.5" thickTop="1" x14ac:dyDescent="0.2">
      <c r="C44" s="40"/>
      <c r="D44" s="51"/>
      <c r="E44" s="51"/>
      <c r="F44" s="51"/>
      <c r="G44" s="51"/>
      <c r="I44" s="84"/>
      <c r="J44" s="84"/>
      <c r="K44" s="84"/>
      <c r="L44" s="84"/>
      <c r="M44" s="84"/>
    </row>
    <row r="45" spans="1:15" x14ac:dyDescent="0.2">
      <c r="A45" t="s">
        <v>22</v>
      </c>
      <c r="D45" s="51"/>
      <c r="E45" s="4"/>
      <c r="F45" s="51"/>
      <c r="G45" s="4">
        <f>G39-G42</f>
        <v>-30383.099999999977</v>
      </c>
      <c r="I45"/>
    </row>
    <row r="46" spans="1:15" x14ac:dyDescent="0.2">
      <c r="D46" s="21"/>
      <c r="E46" s="5"/>
      <c r="F46" s="21"/>
      <c r="G46" s="5"/>
      <c r="I46"/>
    </row>
    <row r="47" spans="1:15" x14ac:dyDescent="0.2">
      <c r="A47" s="1" t="s">
        <v>117</v>
      </c>
      <c r="B47" s="27">
        <f>G47/C9</f>
        <v>276.07805004537789</v>
      </c>
      <c r="G47" s="23">
        <f>(G29+G37)/(G13/G9)</f>
        <v>220862.44003630232</v>
      </c>
      <c r="I47" s="38" t="s">
        <v>124</v>
      </c>
    </row>
  </sheetData>
  <mergeCells count="7">
    <mergeCell ref="I15:O21"/>
    <mergeCell ref="I33:O36"/>
    <mergeCell ref="I41:O43"/>
    <mergeCell ref="B2:G2"/>
    <mergeCell ref="B3:G3"/>
    <mergeCell ref="B4:G4"/>
    <mergeCell ref="B6:C6"/>
  </mergeCells>
  <pageMargins left="0.51181102362204722" right="0.51181102362204722" top="1.1417322834645669" bottom="0.74803149606299213" header="0.51181102362204722" footer="0.51181102362204722"/>
  <pageSetup scale="80" orientation="landscape" r:id="rId1"/>
  <headerFooter scaleWithDoc="0">
    <oddFooter>&amp;L&amp;"Agfa Rotis Sans Serif,Regular"(c) Markus Maedler | 2009-2022&amp;R&amp;"Agfa Rotis Sans Serif,Regular"&amp;F | 6d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2"/>
  <sheetViews>
    <sheetView zoomScaleNormal="100" workbookViewId="0"/>
  </sheetViews>
  <sheetFormatPr defaultRowHeight="12.75" x14ac:dyDescent="0.2"/>
  <cols>
    <col min="1" max="1" width="36.5703125" bestFit="1" customWidth="1"/>
    <col min="2" max="2" width="8.5703125" bestFit="1" customWidth="1"/>
    <col min="3" max="3" width="7.5703125" bestFit="1" customWidth="1"/>
    <col min="4" max="4" width="1.7109375" style="50" customWidth="1"/>
    <col min="5" max="5" width="11.140625" customWidth="1"/>
    <col min="6" max="6" width="1.7109375" style="50" customWidth="1"/>
    <col min="7" max="7" width="11.140625" customWidth="1"/>
    <col min="8" max="8" width="3" customWidth="1"/>
    <col min="9" max="9" width="8.5703125" bestFit="1" customWidth="1"/>
    <col min="10" max="10" width="7.5703125" bestFit="1" customWidth="1"/>
    <col min="11" max="11" width="1.7109375" style="50" customWidth="1"/>
    <col min="12" max="12" width="11.140625" customWidth="1"/>
    <col min="13" max="13" width="1.7109375" style="50" customWidth="1"/>
    <col min="14" max="14" width="11.140625" customWidth="1"/>
    <col min="15" max="15" width="6.7109375" customWidth="1"/>
    <col min="17" max="17" width="3" customWidth="1"/>
  </cols>
  <sheetData>
    <row r="1" spans="1:33" x14ac:dyDescent="0.2">
      <c r="A1" s="1" t="s">
        <v>25</v>
      </c>
    </row>
    <row r="2" spans="1:33" x14ac:dyDescent="0.2">
      <c r="A2" s="48" t="s">
        <v>226</v>
      </c>
      <c r="B2" s="143" t="s">
        <v>76</v>
      </c>
      <c r="C2" s="143"/>
      <c r="D2" s="143"/>
      <c r="E2" s="143"/>
      <c r="F2" s="143"/>
      <c r="G2" s="143"/>
      <c r="H2" s="143"/>
      <c r="I2" s="143"/>
      <c r="J2" s="143"/>
      <c r="K2" s="143"/>
      <c r="L2" s="143"/>
      <c r="M2" s="143"/>
      <c r="N2" s="143"/>
      <c r="O2" s="143"/>
      <c r="P2" s="143"/>
    </row>
    <row r="3" spans="1:33" x14ac:dyDescent="0.2">
      <c r="B3" s="143" t="s">
        <v>104</v>
      </c>
      <c r="C3" s="143"/>
      <c r="D3" s="143"/>
      <c r="E3" s="143"/>
      <c r="F3" s="143"/>
      <c r="G3" s="143"/>
      <c r="H3" s="143"/>
      <c r="I3" s="143"/>
      <c r="J3" s="143"/>
      <c r="K3" s="143"/>
      <c r="L3" s="143"/>
      <c r="M3" s="143"/>
      <c r="N3" s="143"/>
      <c r="O3" s="143"/>
      <c r="P3" s="143"/>
    </row>
    <row r="4" spans="1:33" ht="12.75" customHeight="1" x14ac:dyDescent="0.2">
      <c r="B4" s="144" t="s">
        <v>149</v>
      </c>
      <c r="C4" s="144"/>
      <c r="D4" s="144"/>
      <c r="E4" s="144"/>
      <c r="F4" s="144"/>
      <c r="G4" s="144"/>
      <c r="H4" s="144"/>
      <c r="I4" s="144"/>
      <c r="J4" s="144"/>
      <c r="K4" s="144"/>
      <c r="L4" s="144"/>
      <c r="M4" s="144"/>
      <c r="N4" s="144"/>
      <c r="O4" s="144"/>
      <c r="P4" s="144"/>
    </row>
    <row r="5" spans="1:33" x14ac:dyDescent="0.2">
      <c r="B5" s="72"/>
      <c r="C5" s="72"/>
      <c r="D5" s="72"/>
      <c r="E5" s="72"/>
      <c r="F5" s="72"/>
      <c r="G5" s="72"/>
      <c r="I5" s="72"/>
      <c r="J5" s="72"/>
      <c r="K5" s="72"/>
      <c r="L5" s="72"/>
      <c r="M5" s="72"/>
      <c r="N5" s="72"/>
    </row>
    <row r="6" spans="1:33" s="77" customFormat="1" ht="25.5" customHeight="1" x14ac:dyDescent="0.2">
      <c r="B6" s="164" t="s">
        <v>88</v>
      </c>
      <c r="C6" s="164"/>
      <c r="D6" s="164"/>
      <c r="E6" s="164"/>
      <c r="F6" s="164"/>
      <c r="G6" s="164"/>
      <c r="I6" s="164" t="s">
        <v>90</v>
      </c>
      <c r="J6" s="164"/>
      <c r="K6" s="164"/>
      <c r="L6" s="164"/>
      <c r="M6" s="164"/>
      <c r="N6" s="164"/>
      <c r="P6" s="78" t="s">
        <v>40</v>
      </c>
      <c r="R6" s="38" t="s">
        <v>55</v>
      </c>
      <c r="S6"/>
      <c r="T6"/>
      <c r="U6" s="50"/>
      <c r="V6"/>
      <c r="W6" s="50"/>
      <c r="X6"/>
      <c r="Y6"/>
      <c r="Z6"/>
      <c r="AA6"/>
      <c r="AB6" s="50"/>
      <c r="AC6"/>
      <c r="AD6" s="50"/>
      <c r="AE6"/>
      <c r="AF6"/>
      <c r="AG6"/>
    </row>
    <row r="7" spans="1:33" x14ac:dyDescent="0.2">
      <c r="B7" s="145" t="s">
        <v>26</v>
      </c>
      <c r="C7" s="145"/>
      <c r="D7" s="44"/>
      <c r="E7" s="3" t="s">
        <v>27</v>
      </c>
      <c r="F7" s="44"/>
      <c r="G7" s="3" t="s">
        <v>32</v>
      </c>
      <c r="I7" s="145" t="s">
        <v>26</v>
      </c>
      <c r="J7" s="145"/>
      <c r="K7" s="44"/>
      <c r="L7" s="3" t="s">
        <v>27</v>
      </c>
      <c r="M7" s="44"/>
      <c r="N7" s="3" t="s">
        <v>32</v>
      </c>
      <c r="P7" s="3" t="s">
        <v>32</v>
      </c>
      <c r="R7" s="38"/>
      <c r="U7" s="50"/>
      <c r="W7" s="50"/>
      <c r="AB7" s="50"/>
      <c r="AD7" s="50"/>
    </row>
    <row r="8" spans="1:33" x14ac:dyDescent="0.2">
      <c r="B8" s="28" t="s">
        <v>35</v>
      </c>
      <c r="C8" s="28" t="s">
        <v>34</v>
      </c>
      <c r="D8" s="44"/>
      <c r="E8" s="44"/>
      <c r="F8" s="44"/>
      <c r="G8" s="44"/>
      <c r="I8" s="28" t="s">
        <v>35</v>
      </c>
      <c r="J8" s="28" t="s">
        <v>34</v>
      </c>
      <c r="K8" s="44"/>
      <c r="L8" s="44"/>
      <c r="M8" s="44"/>
      <c r="N8" s="44"/>
      <c r="R8" s="154" t="s">
        <v>109</v>
      </c>
      <c r="S8" s="154"/>
      <c r="T8" s="154"/>
      <c r="U8" s="154"/>
      <c r="V8" s="154"/>
      <c r="W8" s="50"/>
      <c r="AB8" s="50"/>
      <c r="AD8" s="50"/>
    </row>
    <row r="9" spans="1:33" x14ac:dyDescent="0.2">
      <c r="R9" s="154"/>
      <c r="S9" s="154"/>
      <c r="T9" s="154"/>
      <c r="U9" s="154"/>
      <c r="V9" s="154"/>
      <c r="W9" s="50"/>
      <c r="AB9" s="50"/>
      <c r="AD9" s="50"/>
    </row>
    <row r="10" spans="1:33" x14ac:dyDescent="0.2">
      <c r="A10" t="s">
        <v>3</v>
      </c>
      <c r="B10">
        <v>138</v>
      </c>
      <c r="C10" s="11">
        <v>800</v>
      </c>
      <c r="D10" s="51"/>
      <c r="G10" s="4">
        <f>B10*C10</f>
        <v>110400</v>
      </c>
      <c r="I10">
        <v>205</v>
      </c>
      <c r="J10" s="11">
        <v>400</v>
      </c>
      <c r="K10" s="51"/>
      <c r="N10" s="4">
        <f>I10*J10</f>
        <v>82000</v>
      </c>
      <c r="P10" s="4">
        <f>G10+N10</f>
        <v>192400</v>
      </c>
      <c r="R10" s="154"/>
      <c r="S10" s="154"/>
      <c r="T10" s="154"/>
      <c r="U10" s="154"/>
      <c r="V10" s="154"/>
      <c r="W10" s="50"/>
      <c r="AB10" s="50"/>
      <c r="AD10" s="50"/>
    </row>
    <row r="11" spans="1:33" x14ac:dyDescent="0.2">
      <c r="A11" s="48" t="s">
        <v>89</v>
      </c>
      <c r="C11" s="11"/>
      <c r="D11" s="51"/>
      <c r="G11" s="4"/>
      <c r="N11" s="4"/>
      <c r="R11" s="154"/>
      <c r="S11" s="154"/>
      <c r="T11" s="154"/>
      <c r="U11" s="154"/>
      <c r="V11" s="154"/>
      <c r="W11" s="50"/>
      <c r="AB11" s="50"/>
      <c r="AD11" s="50"/>
    </row>
    <row r="12" spans="1:33" x14ac:dyDescent="0.2">
      <c r="A12" t="s">
        <v>15</v>
      </c>
      <c r="B12">
        <f>B10</f>
        <v>138</v>
      </c>
      <c r="C12" s="11">
        <v>4.7</v>
      </c>
      <c r="D12" s="21"/>
      <c r="E12" s="21"/>
      <c r="F12" s="21"/>
      <c r="G12" s="4">
        <f>B12*C12</f>
        <v>648.6</v>
      </c>
      <c r="I12">
        <f>I10</f>
        <v>205</v>
      </c>
      <c r="J12" s="11">
        <v>4.7</v>
      </c>
      <c r="K12" s="21"/>
      <c r="L12" s="21"/>
      <c r="M12" s="21"/>
      <c r="N12" s="4">
        <f>I12*J12</f>
        <v>963.5</v>
      </c>
      <c r="P12" s="4">
        <f>G12+N12</f>
        <v>1612.1</v>
      </c>
      <c r="R12" s="154"/>
      <c r="S12" s="154"/>
      <c r="T12" s="154"/>
      <c r="U12" s="154"/>
      <c r="V12" s="154"/>
    </row>
    <row r="13" spans="1:33" x14ac:dyDescent="0.2">
      <c r="A13" t="s">
        <v>23</v>
      </c>
      <c r="B13" s="63">
        <f>B12</f>
        <v>138</v>
      </c>
      <c r="C13" s="64">
        <v>24</v>
      </c>
      <c r="D13" s="62"/>
      <c r="E13" s="47"/>
      <c r="F13" s="62"/>
      <c r="G13" s="4">
        <f>B13*C13</f>
        <v>3312</v>
      </c>
      <c r="I13" s="63">
        <f>I12</f>
        <v>205</v>
      </c>
      <c r="J13" s="64">
        <v>24</v>
      </c>
      <c r="K13" s="21"/>
      <c r="L13" s="21"/>
      <c r="M13" s="21"/>
      <c r="N13" s="4">
        <f>I13*J13</f>
        <v>4920</v>
      </c>
      <c r="P13" s="4">
        <f>G13+N13</f>
        <v>8232</v>
      </c>
      <c r="R13" s="154"/>
      <c r="S13" s="154"/>
      <c r="T13" s="154"/>
      <c r="U13" s="154"/>
      <c r="V13" s="154"/>
    </row>
    <row r="14" spans="1:33" ht="13.5" thickBot="1" x14ac:dyDescent="0.25">
      <c r="A14" s="48" t="s">
        <v>36</v>
      </c>
      <c r="C14" s="13">
        <f>C10-C12-C13</f>
        <v>771.3</v>
      </c>
      <c r="D14" s="21"/>
      <c r="E14" s="5"/>
      <c r="F14" s="21"/>
      <c r="G14" s="7">
        <f>G10-G12-G13</f>
        <v>106439.4</v>
      </c>
      <c r="J14" s="13">
        <f>J10-J12-J13</f>
        <v>371.3</v>
      </c>
      <c r="K14" s="52"/>
      <c r="L14" s="11"/>
      <c r="M14" s="54"/>
      <c r="N14" s="7">
        <f>N10-N12-N13</f>
        <v>76116.5</v>
      </c>
      <c r="P14" s="7">
        <f t="shared" ref="P14:P41" si="0">G14+N14</f>
        <v>182555.9</v>
      </c>
      <c r="R14" s="154"/>
      <c r="S14" s="154"/>
      <c r="T14" s="154"/>
      <c r="U14" s="154"/>
      <c r="V14" s="154"/>
    </row>
    <row r="15" spans="1:33" ht="10.5" customHeight="1" thickTop="1" x14ac:dyDescent="0.2">
      <c r="A15" s="15"/>
      <c r="C15" s="11"/>
      <c r="D15" s="21"/>
      <c r="E15" s="5"/>
      <c r="F15" s="21"/>
      <c r="G15" s="20"/>
      <c r="J15" s="11"/>
      <c r="K15" s="21"/>
      <c r="L15" s="5"/>
      <c r="M15" s="21"/>
      <c r="N15" s="20"/>
      <c r="P15" s="4"/>
    </row>
    <row r="16" spans="1:33" ht="12.75" customHeight="1" x14ac:dyDescent="0.2">
      <c r="A16" s="48" t="s">
        <v>102</v>
      </c>
      <c r="C16" s="11"/>
      <c r="D16" s="21"/>
      <c r="E16" s="5"/>
      <c r="F16" s="21"/>
      <c r="G16" s="20"/>
      <c r="J16" s="11"/>
      <c r="K16" s="21"/>
      <c r="L16" s="5"/>
      <c r="M16" s="21"/>
      <c r="N16" s="20"/>
      <c r="P16" s="4"/>
    </row>
    <row r="17" spans="1:33" ht="12.75" customHeight="1" x14ac:dyDescent="0.2">
      <c r="A17" s="34" t="s">
        <v>59</v>
      </c>
      <c r="B17" s="50"/>
      <c r="C17" s="40"/>
      <c r="D17" s="51"/>
      <c r="E17" s="51">
        <v>11200</v>
      </c>
      <c r="F17" s="51"/>
      <c r="G17" s="51">
        <f>E17</f>
        <v>11200</v>
      </c>
      <c r="I17" s="50"/>
      <c r="J17" s="40"/>
      <c r="K17" s="51"/>
      <c r="L17" s="51">
        <v>0</v>
      </c>
      <c r="M17" s="51"/>
      <c r="N17" s="51">
        <f>L17</f>
        <v>0</v>
      </c>
      <c r="P17" s="4">
        <f t="shared" si="0"/>
        <v>11200</v>
      </c>
      <c r="R17" s="146" t="s">
        <v>107</v>
      </c>
      <c r="S17" s="146"/>
      <c r="T17" s="146"/>
      <c r="U17" s="146"/>
      <c r="V17" s="146"/>
      <c r="W17" s="83"/>
      <c r="X17" s="83"/>
      <c r="Y17" s="83"/>
      <c r="Z17" s="83"/>
      <c r="AA17" s="83"/>
      <c r="AB17" s="83"/>
      <c r="AC17" s="83"/>
      <c r="AD17" s="83"/>
      <c r="AE17" s="83"/>
      <c r="AF17" s="83"/>
      <c r="AG17" s="83"/>
    </row>
    <row r="18" spans="1:33" x14ac:dyDescent="0.2">
      <c r="A18" s="45" t="s">
        <v>20</v>
      </c>
      <c r="D18" s="51"/>
      <c r="E18" s="51">
        <v>8083</v>
      </c>
      <c r="F18" s="51"/>
      <c r="G18" s="51">
        <f>E18</f>
        <v>8083</v>
      </c>
      <c r="K18" s="51"/>
      <c r="L18" s="51">
        <v>0</v>
      </c>
      <c r="M18" s="51"/>
      <c r="N18" s="51">
        <f>L18</f>
        <v>0</v>
      </c>
      <c r="P18" s="4">
        <f t="shared" si="0"/>
        <v>8083</v>
      </c>
      <c r="R18" s="146"/>
      <c r="S18" s="146"/>
      <c r="T18" s="146"/>
      <c r="U18" s="146"/>
      <c r="V18" s="146"/>
      <c r="W18" s="83"/>
      <c r="X18" s="83"/>
      <c r="Y18" s="83"/>
      <c r="Z18" s="83"/>
      <c r="AA18" s="83"/>
      <c r="AB18" s="83"/>
      <c r="AC18" s="83"/>
      <c r="AD18" s="83"/>
      <c r="AE18" s="83"/>
      <c r="AF18" s="83"/>
      <c r="AG18" s="83"/>
    </row>
    <row r="19" spans="1:33" x14ac:dyDescent="0.2">
      <c r="A19" s="34" t="s">
        <v>65</v>
      </c>
      <c r="D19" s="51"/>
      <c r="E19" s="4">
        <v>0</v>
      </c>
      <c r="F19" s="51"/>
      <c r="G19" s="4">
        <f>E19</f>
        <v>0</v>
      </c>
      <c r="K19" s="51"/>
      <c r="L19" s="4">
        <v>8000</v>
      </c>
      <c r="M19" s="51"/>
      <c r="N19" s="4">
        <f>L19</f>
        <v>8000</v>
      </c>
      <c r="P19" s="4">
        <f t="shared" si="0"/>
        <v>8000</v>
      </c>
      <c r="R19" s="146"/>
      <c r="S19" s="146"/>
      <c r="T19" s="146"/>
      <c r="U19" s="146"/>
      <c r="V19" s="146"/>
    </row>
    <row r="20" spans="1:33" ht="12.75" customHeight="1" x14ac:dyDescent="0.2">
      <c r="A20" s="34" t="s">
        <v>66</v>
      </c>
      <c r="B20" s="50"/>
      <c r="C20" s="50"/>
      <c r="D20" s="21"/>
      <c r="E20" s="39">
        <v>0</v>
      </c>
      <c r="F20" s="51"/>
      <c r="G20" s="39">
        <f>E20</f>
        <v>0</v>
      </c>
      <c r="I20" s="50"/>
      <c r="J20" s="50"/>
      <c r="K20" s="21"/>
      <c r="L20" s="39">
        <v>1240</v>
      </c>
      <c r="M20" s="51"/>
      <c r="N20" s="39">
        <f>L20</f>
        <v>1240</v>
      </c>
      <c r="P20" s="39">
        <f t="shared" si="0"/>
        <v>1240</v>
      </c>
      <c r="R20" s="146"/>
      <c r="S20" s="146"/>
      <c r="T20" s="146"/>
      <c r="U20" s="146"/>
      <c r="V20" s="146"/>
    </row>
    <row r="21" spans="1:33" x14ac:dyDescent="0.2">
      <c r="A21" s="34"/>
      <c r="B21" s="50"/>
      <c r="C21" s="40"/>
      <c r="D21" s="51"/>
      <c r="E21" s="51">
        <f>SUM(E17:E20)</f>
        <v>19283</v>
      </c>
      <c r="F21" s="51"/>
      <c r="G21" s="51">
        <f>SUM(G17:G20)</f>
        <v>19283</v>
      </c>
      <c r="I21" s="50"/>
      <c r="J21" s="40"/>
      <c r="K21" s="51"/>
      <c r="L21" s="51">
        <f>SUM(L17:L20)</f>
        <v>9240</v>
      </c>
      <c r="M21" s="51"/>
      <c r="N21" s="51">
        <f>SUM(N17:N20)</f>
        <v>9240</v>
      </c>
      <c r="P21" s="4">
        <f t="shared" si="0"/>
        <v>28523</v>
      </c>
      <c r="R21" s="146"/>
      <c r="S21" s="146"/>
      <c r="T21" s="146"/>
      <c r="U21" s="146"/>
      <c r="V21" s="146"/>
    </row>
    <row r="22" spans="1:33" x14ac:dyDescent="0.2">
      <c r="A22" s="34"/>
      <c r="B22" s="50"/>
      <c r="C22" s="40"/>
      <c r="D22" s="51"/>
      <c r="E22" s="51"/>
      <c r="F22" s="51"/>
      <c r="G22" s="51"/>
      <c r="I22" s="50"/>
      <c r="J22" s="40"/>
      <c r="K22" s="51"/>
      <c r="L22" s="51"/>
      <c r="M22" s="51"/>
      <c r="N22" s="51"/>
      <c r="P22" s="4"/>
    </row>
    <row r="23" spans="1:33" x14ac:dyDescent="0.2">
      <c r="A23" s="75" t="s">
        <v>103</v>
      </c>
      <c r="B23" s="50"/>
      <c r="C23" s="40"/>
      <c r="D23" s="51"/>
      <c r="E23" s="51"/>
      <c r="F23" s="51"/>
      <c r="G23" s="51">
        <f>G14-G21</f>
        <v>87156.4</v>
      </c>
      <c r="I23" s="50"/>
      <c r="J23" s="40"/>
      <c r="K23" s="51"/>
      <c r="L23" s="51"/>
      <c r="M23" s="51"/>
      <c r="N23" s="51">
        <f>N14-N21</f>
        <v>66876.5</v>
      </c>
      <c r="P23" s="4">
        <f t="shared" si="0"/>
        <v>154032.9</v>
      </c>
    </row>
    <row r="24" spans="1:33" ht="12.75" customHeight="1" x14ac:dyDescent="0.2">
      <c r="A24" s="15"/>
      <c r="C24" s="11"/>
      <c r="D24" s="21"/>
      <c r="E24" s="5"/>
      <c r="F24" s="21"/>
      <c r="G24" s="20"/>
      <c r="J24" s="11"/>
      <c r="K24" s="21"/>
      <c r="L24" s="5"/>
      <c r="M24" s="21"/>
      <c r="N24" s="20"/>
      <c r="P24" s="4"/>
    </row>
    <row r="25" spans="1:33" ht="12.75" customHeight="1" x14ac:dyDescent="0.2">
      <c r="A25" s="1" t="s">
        <v>106</v>
      </c>
      <c r="C25" s="11"/>
      <c r="D25" s="21"/>
      <c r="E25" s="5"/>
      <c r="F25" s="21"/>
      <c r="G25" s="20"/>
      <c r="J25" s="11"/>
      <c r="K25" s="21"/>
      <c r="L25" s="5"/>
      <c r="M25" s="21"/>
      <c r="N25" s="20"/>
      <c r="P25" s="4"/>
    </row>
    <row r="26" spans="1:33" x14ac:dyDescent="0.2">
      <c r="A26" t="s">
        <v>9</v>
      </c>
      <c r="B26" s="50"/>
      <c r="C26" s="50"/>
      <c r="D26" s="21"/>
      <c r="E26" s="5"/>
      <c r="F26" s="21"/>
      <c r="G26" s="4"/>
      <c r="I26" s="50"/>
      <c r="J26" s="50"/>
      <c r="K26" s="21"/>
      <c r="L26" s="5"/>
      <c r="M26" s="21"/>
      <c r="N26" s="4"/>
      <c r="P26" s="4"/>
    </row>
    <row r="27" spans="1:33" ht="12.75" customHeight="1" x14ac:dyDescent="0.2">
      <c r="A27" s="34" t="s">
        <v>60</v>
      </c>
      <c r="B27" s="50"/>
      <c r="C27" s="50"/>
      <c r="D27" s="51"/>
      <c r="E27" s="4">
        <f>95000/2</f>
        <v>47500</v>
      </c>
      <c r="F27" s="51"/>
      <c r="G27" s="4">
        <f>E27</f>
        <v>47500</v>
      </c>
      <c r="I27" s="50"/>
      <c r="J27" s="50"/>
      <c r="K27" s="51"/>
      <c r="L27" s="4">
        <f>95000/2</f>
        <v>47500</v>
      </c>
      <c r="M27" s="51"/>
      <c r="N27" s="4">
        <f>L27</f>
        <v>47500</v>
      </c>
      <c r="P27" s="4">
        <f t="shared" si="0"/>
        <v>95000</v>
      </c>
      <c r="R27" s="146" t="s">
        <v>110</v>
      </c>
      <c r="S27" s="146"/>
      <c r="T27" s="146"/>
      <c r="U27" s="146"/>
      <c r="V27" s="146"/>
      <c r="W27" s="83"/>
      <c r="X27" s="83"/>
      <c r="Y27" s="83"/>
      <c r="Z27" s="83"/>
      <c r="AA27" s="83"/>
      <c r="AB27" s="83"/>
      <c r="AC27" s="83"/>
      <c r="AD27" s="83"/>
      <c r="AE27" s="83"/>
      <c r="AF27" s="83"/>
      <c r="AG27" s="83"/>
    </row>
    <row r="28" spans="1:33" x14ac:dyDescent="0.2">
      <c r="A28" s="34" t="s">
        <v>61</v>
      </c>
      <c r="B28" s="50"/>
      <c r="C28" s="50"/>
      <c r="D28" s="51"/>
      <c r="E28" s="4">
        <f>5400/2</f>
        <v>2700</v>
      </c>
      <c r="F28" s="51"/>
      <c r="G28" s="4">
        <f>E28</f>
        <v>2700</v>
      </c>
      <c r="I28" s="50"/>
      <c r="J28" s="50"/>
      <c r="K28" s="51"/>
      <c r="L28" s="4">
        <f>5400/2</f>
        <v>2700</v>
      </c>
      <c r="M28" s="51"/>
      <c r="N28" s="4">
        <f>L28</f>
        <v>2700</v>
      </c>
      <c r="P28" s="4">
        <f t="shared" si="0"/>
        <v>5400</v>
      </c>
      <c r="R28" s="146"/>
      <c r="S28" s="146"/>
      <c r="T28" s="146"/>
      <c r="U28" s="146"/>
      <c r="V28" s="146"/>
      <c r="W28" s="83"/>
      <c r="X28" s="83"/>
      <c r="Y28" s="83"/>
      <c r="Z28" s="83"/>
      <c r="AA28" s="83"/>
      <c r="AB28" s="83"/>
      <c r="AC28" s="83"/>
      <c r="AD28" s="83"/>
      <c r="AE28" s="83"/>
      <c r="AF28" s="83"/>
      <c r="AG28" s="83"/>
    </row>
    <row r="29" spans="1:33" x14ac:dyDescent="0.2">
      <c r="A29" s="34" t="s">
        <v>62</v>
      </c>
      <c r="B29" s="50"/>
      <c r="C29" s="50"/>
      <c r="D29" s="21"/>
      <c r="E29" s="5"/>
      <c r="F29" s="21"/>
      <c r="G29" s="4"/>
      <c r="I29" s="50"/>
      <c r="J29" s="50"/>
      <c r="K29" s="21"/>
      <c r="L29" s="5"/>
      <c r="M29" s="21"/>
      <c r="N29" s="4"/>
      <c r="P29" s="4"/>
      <c r="R29" s="146"/>
      <c r="S29" s="146"/>
      <c r="T29" s="146"/>
      <c r="U29" s="146"/>
      <c r="V29" s="146"/>
      <c r="W29" s="50"/>
      <c r="AB29" s="50"/>
      <c r="AD29" s="50"/>
    </row>
    <row r="30" spans="1:33" x14ac:dyDescent="0.2">
      <c r="A30" s="41" t="s">
        <v>63</v>
      </c>
      <c r="B30" s="50"/>
      <c r="C30" s="50"/>
      <c r="D30" s="51"/>
      <c r="E30" s="4">
        <f>25500/2</f>
        <v>12750</v>
      </c>
      <c r="F30" s="51"/>
      <c r="G30" s="4">
        <f>E30</f>
        <v>12750</v>
      </c>
      <c r="I30" s="50"/>
      <c r="J30" s="50"/>
      <c r="K30" s="51"/>
      <c r="L30" s="4">
        <f>25500/2</f>
        <v>12750</v>
      </c>
      <c r="M30" s="51"/>
      <c r="N30" s="4">
        <f>L30</f>
        <v>12750</v>
      </c>
      <c r="P30" s="4">
        <f t="shared" si="0"/>
        <v>25500</v>
      </c>
      <c r="R30" s="146"/>
      <c r="S30" s="146"/>
      <c r="T30" s="146"/>
      <c r="U30" s="146"/>
      <c r="V30" s="146"/>
    </row>
    <row r="31" spans="1:33" x14ac:dyDescent="0.2">
      <c r="A31" s="41" t="s">
        <v>64</v>
      </c>
      <c r="B31" s="50"/>
      <c r="C31" s="50"/>
      <c r="D31" s="51"/>
      <c r="E31" s="39">
        <f>680/2</f>
        <v>340</v>
      </c>
      <c r="F31" s="51"/>
      <c r="G31" s="39">
        <f>E31</f>
        <v>340</v>
      </c>
      <c r="I31" s="50"/>
      <c r="J31" s="50"/>
      <c r="K31" s="51"/>
      <c r="L31" s="39">
        <f>680/2</f>
        <v>340</v>
      </c>
      <c r="M31" s="51"/>
      <c r="N31" s="39">
        <f>L31</f>
        <v>340</v>
      </c>
      <c r="P31" s="39">
        <f t="shared" si="0"/>
        <v>680</v>
      </c>
      <c r="R31" s="146"/>
      <c r="S31" s="146"/>
      <c r="T31" s="146"/>
      <c r="U31" s="146"/>
      <c r="V31" s="146"/>
    </row>
    <row r="32" spans="1:33" x14ac:dyDescent="0.2">
      <c r="B32" s="21"/>
      <c r="C32" s="40"/>
      <c r="D32" s="51"/>
      <c r="E32" s="4">
        <f>SUM(E27:E31)</f>
        <v>63290</v>
      </c>
      <c r="F32" s="51"/>
      <c r="G32" s="4">
        <f>E32</f>
        <v>63290</v>
      </c>
      <c r="I32" s="21"/>
      <c r="J32" s="40"/>
      <c r="K32" s="51"/>
      <c r="L32" s="4">
        <f>SUM(L27:L31)</f>
        <v>63290</v>
      </c>
      <c r="M32" s="51"/>
      <c r="N32" s="4">
        <f>L32</f>
        <v>63290</v>
      </c>
      <c r="P32" s="4">
        <f t="shared" si="0"/>
        <v>126580</v>
      </c>
      <c r="R32" s="146"/>
      <c r="S32" s="146"/>
      <c r="T32" s="146"/>
      <c r="U32" s="146"/>
      <c r="V32" s="146"/>
    </row>
    <row r="33" spans="1:22" x14ac:dyDescent="0.2">
      <c r="A33" t="s">
        <v>16</v>
      </c>
      <c r="B33" s="50"/>
      <c r="C33" s="40"/>
      <c r="D33" s="51"/>
      <c r="E33" s="4"/>
      <c r="F33" s="51"/>
      <c r="G33" s="4"/>
      <c r="I33" s="50"/>
      <c r="J33" s="40"/>
      <c r="K33" s="51"/>
      <c r="L33" s="4"/>
      <c r="M33" s="51"/>
      <c r="N33" s="4"/>
      <c r="P33" s="4"/>
      <c r="R33" s="146"/>
      <c r="S33" s="146"/>
      <c r="T33" s="146"/>
      <c r="U33" s="146"/>
      <c r="V33" s="146"/>
    </row>
    <row r="34" spans="1:22" x14ac:dyDescent="0.2">
      <c r="A34" s="34" t="s">
        <v>56</v>
      </c>
      <c r="B34" s="50"/>
      <c r="C34" s="40"/>
      <c r="D34" s="51"/>
      <c r="E34" s="4">
        <f>21600/2</f>
        <v>10800</v>
      </c>
      <c r="F34" s="51"/>
      <c r="G34" s="4">
        <f>E34</f>
        <v>10800</v>
      </c>
      <c r="I34" s="50"/>
      <c r="J34" s="40"/>
      <c r="K34" s="51"/>
      <c r="L34" s="4">
        <f>21600/2</f>
        <v>10800</v>
      </c>
      <c r="M34" s="51"/>
      <c r="N34" s="4">
        <f>L34</f>
        <v>10800</v>
      </c>
      <c r="P34" s="4">
        <f t="shared" si="0"/>
        <v>21600</v>
      </c>
      <c r="R34" s="146"/>
      <c r="S34" s="146"/>
      <c r="T34" s="146"/>
      <c r="U34" s="146"/>
      <c r="V34" s="146"/>
    </row>
    <row r="35" spans="1:22" x14ac:dyDescent="0.2">
      <c r="A35" s="34" t="s">
        <v>57</v>
      </c>
      <c r="B35" s="50"/>
      <c r="C35" s="40"/>
      <c r="D35" s="51"/>
      <c r="E35" s="4">
        <f>12000/2</f>
        <v>6000</v>
      </c>
      <c r="F35" s="51"/>
      <c r="G35" s="4">
        <f>E35</f>
        <v>6000</v>
      </c>
      <c r="I35" s="50"/>
      <c r="J35" s="40"/>
      <c r="K35" s="51"/>
      <c r="L35" s="4">
        <f>12000/2</f>
        <v>6000</v>
      </c>
      <c r="M35" s="51"/>
      <c r="N35" s="4">
        <f>L35</f>
        <v>6000</v>
      </c>
      <c r="P35" s="4">
        <f t="shared" si="0"/>
        <v>12000</v>
      </c>
      <c r="R35" s="146"/>
      <c r="S35" s="146"/>
      <c r="T35" s="146"/>
      <c r="U35" s="146"/>
      <c r="V35" s="146"/>
    </row>
    <row r="36" spans="1:22" x14ac:dyDescent="0.2">
      <c r="A36" s="34" t="s">
        <v>58</v>
      </c>
      <c r="B36" s="50"/>
      <c r="C36" s="40"/>
      <c r="D36" s="51"/>
      <c r="E36" s="39">
        <f>9000/2</f>
        <v>4500</v>
      </c>
      <c r="F36" s="51"/>
      <c r="G36" s="39">
        <f>E36</f>
        <v>4500</v>
      </c>
      <c r="I36" s="50"/>
      <c r="J36" s="40"/>
      <c r="K36" s="51"/>
      <c r="L36" s="39">
        <f>9000/2</f>
        <v>4500</v>
      </c>
      <c r="M36" s="51"/>
      <c r="N36" s="39">
        <f>L36</f>
        <v>4500</v>
      </c>
      <c r="P36" s="39">
        <f t="shared" si="0"/>
        <v>9000</v>
      </c>
    </row>
    <row r="37" spans="1:22" x14ac:dyDescent="0.2">
      <c r="A37" s="34"/>
      <c r="B37" s="50"/>
      <c r="C37" s="40"/>
      <c r="D37" s="51"/>
      <c r="E37" s="4">
        <f>SUM(E34:E36)</f>
        <v>21300</v>
      </c>
      <c r="F37" s="51"/>
      <c r="G37" s="4">
        <f>E37</f>
        <v>21300</v>
      </c>
      <c r="I37" s="50"/>
      <c r="J37" s="40"/>
      <c r="K37" s="51"/>
      <c r="L37" s="4">
        <f>SUM(L34:L36)</f>
        <v>21300</v>
      </c>
      <c r="M37" s="51"/>
      <c r="N37" s="4">
        <f>L37</f>
        <v>21300</v>
      </c>
      <c r="P37" s="4">
        <f t="shared" si="0"/>
        <v>42600</v>
      </c>
    </row>
    <row r="38" spans="1:22" x14ac:dyDescent="0.2">
      <c r="A38" s="34"/>
      <c r="B38" s="50"/>
      <c r="C38" s="40"/>
      <c r="D38" s="51"/>
      <c r="E38" s="4"/>
      <c r="F38" s="51"/>
      <c r="G38" s="4"/>
      <c r="I38" s="50"/>
      <c r="J38" s="40"/>
      <c r="K38" s="51"/>
      <c r="L38" s="4"/>
      <c r="M38" s="51"/>
      <c r="N38" s="4"/>
      <c r="P38" s="4"/>
    </row>
    <row r="39" spans="1:22" s="50" customFormat="1" x14ac:dyDescent="0.2">
      <c r="A39" s="50" t="s">
        <v>28</v>
      </c>
      <c r="D39" s="51"/>
      <c r="E39" s="51">
        <f>15236/2</f>
        <v>7618</v>
      </c>
      <c r="F39" s="51"/>
      <c r="G39" s="51">
        <f>E39</f>
        <v>7618</v>
      </c>
      <c r="K39" s="51"/>
      <c r="L39" s="51">
        <f>15236/2</f>
        <v>7618</v>
      </c>
      <c r="M39" s="51"/>
      <c r="N39" s="51">
        <f>L39</f>
        <v>7618</v>
      </c>
      <c r="P39" s="4">
        <f t="shared" si="0"/>
        <v>15236</v>
      </c>
    </row>
    <row r="40" spans="1:22" x14ac:dyDescent="0.2">
      <c r="A40" s="34"/>
      <c r="B40" s="50"/>
      <c r="C40" s="40"/>
      <c r="D40" s="51"/>
      <c r="I40" s="50"/>
      <c r="J40" s="40"/>
      <c r="K40" s="51"/>
      <c r="P40" s="4"/>
    </row>
    <row r="41" spans="1:22" s="1" customFormat="1" x14ac:dyDescent="0.2">
      <c r="A41" s="73" t="s">
        <v>105</v>
      </c>
      <c r="B41" s="56"/>
      <c r="C41" s="74"/>
      <c r="D41" s="53"/>
      <c r="E41" s="23"/>
      <c r="F41" s="53"/>
      <c r="G41" s="23">
        <f>G14-G21-G32-G37-G39</f>
        <v>-5051.6000000000058</v>
      </c>
      <c r="I41" s="56"/>
      <c r="J41" s="74"/>
      <c r="K41" s="53"/>
      <c r="L41" s="23"/>
      <c r="M41" s="53"/>
      <c r="N41" s="23">
        <f>N14-N21-N32-N37-N39</f>
        <v>-25331.5</v>
      </c>
      <c r="P41" s="23">
        <f t="shared" si="0"/>
        <v>-30383.100000000006</v>
      </c>
    </row>
    <row r="42" spans="1:22" s="1" customFormat="1" x14ac:dyDescent="0.2">
      <c r="A42" s="73"/>
      <c r="B42" s="56"/>
      <c r="C42" s="74"/>
      <c r="D42" s="53"/>
      <c r="E42" s="23"/>
      <c r="F42" s="53"/>
      <c r="G42" s="23"/>
      <c r="I42" s="56"/>
      <c r="J42" s="74"/>
      <c r="K42" s="53"/>
      <c r="L42" s="23"/>
      <c r="M42" s="53"/>
      <c r="N42" s="23"/>
      <c r="P42" s="23"/>
    </row>
    <row r="43" spans="1:22" s="1" customFormat="1" x14ac:dyDescent="0.2">
      <c r="A43" s="1" t="s">
        <v>128</v>
      </c>
      <c r="B43" s="27">
        <f>G43/C10</f>
        <v>144.54946194736161</v>
      </c>
      <c r="C43" s="74"/>
      <c r="D43" s="53"/>
      <c r="E43" s="23"/>
      <c r="F43" s="53"/>
      <c r="G43" s="23">
        <f>(G21+G32+G37+G39)/(G14/G10)</f>
        <v>115639.56955788929</v>
      </c>
      <c r="I43" s="56"/>
      <c r="J43" s="74"/>
      <c r="K43" s="53"/>
      <c r="L43" s="23"/>
      <c r="M43" s="53"/>
      <c r="N43" s="23"/>
      <c r="P43" s="23"/>
    </row>
    <row r="44" spans="1:22" s="1" customFormat="1" x14ac:dyDescent="0.2">
      <c r="A44" s="73"/>
      <c r="B44" s="56"/>
      <c r="C44" s="74"/>
      <c r="D44" s="53"/>
      <c r="E44" s="23"/>
      <c r="F44" s="53"/>
      <c r="G44" s="23"/>
      <c r="I44" s="56"/>
      <c r="J44" s="74"/>
      <c r="K44" s="53"/>
      <c r="L44" s="23"/>
      <c r="M44" s="53"/>
      <c r="N44" s="23"/>
      <c r="P44" s="23"/>
    </row>
    <row r="45" spans="1:22" x14ac:dyDescent="0.2">
      <c r="A45" s="34"/>
      <c r="B45" s="50"/>
      <c r="C45" s="40"/>
      <c r="D45" s="51"/>
      <c r="E45" s="4"/>
      <c r="F45" s="51"/>
      <c r="G45" s="4"/>
      <c r="I45" s="50"/>
      <c r="J45" s="40"/>
      <c r="K45" s="51"/>
      <c r="L45" s="4"/>
      <c r="M45" s="51"/>
      <c r="N45" s="4"/>
    </row>
    <row r="46" spans="1:22" x14ac:dyDescent="0.2">
      <c r="A46" s="48" t="s">
        <v>130</v>
      </c>
      <c r="B46" s="21"/>
      <c r="C46" s="21"/>
      <c r="D46" s="21"/>
      <c r="E46" s="4"/>
      <c r="F46" s="51"/>
      <c r="G46" s="4"/>
      <c r="I46" s="21"/>
      <c r="J46" s="21"/>
      <c r="K46" s="21"/>
      <c r="L46" s="4"/>
      <c r="M46" s="51"/>
      <c r="N46" s="4"/>
    </row>
    <row r="47" spans="1:22" x14ac:dyDescent="0.2">
      <c r="A47" s="48" t="s">
        <v>129</v>
      </c>
      <c r="D47" s="21"/>
      <c r="E47" s="5"/>
      <c r="F47" s="21"/>
      <c r="G47" s="51">
        <f>G41+G39</f>
        <v>2566.3999999999942</v>
      </c>
      <c r="K47" s="21"/>
      <c r="L47" s="5"/>
      <c r="M47" s="21"/>
      <c r="N47" s="51">
        <f>N41+N19+N20+N39-N10</f>
        <v>-90473.5</v>
      </c>
      <c r="O47" s="51"/>
      <c r="P47" s="51">
        <f>G47+N47</f>
        <v>-87907.1</v>
      </c>
    </row>
    <row r="48" spans="1:22" s="48" customFormat="1" x14ac:dyDescent="0.2">
      <c r="A48" s="48" t="s">
        <v>131</v>
      </c>
      <c r="B48" s="80"/>
      <c r="D48" s="81"/>
      <c r="F48" s="81"/>
      <c r="G48" s="82">
        <f>G47+G31+G30</f>
        <v>15656.399999999994</v>
      </c>
      <c r="I48" s="80"/>
      <c r="K48" s="81"/>
      <c r="M48" s="81"/>
      <c r="N48" s="51">
        <f>N47+N31+N30</f>
        <v>-77383.5</v>
      </c>
      <c r="O48" s="51"/>
      <c r="P48" s="51">
        <f>G48+N48</f>
        <v>-61727.100000000006</v>
      </c>
    </row>
    <row r="62" spans="1:1" x14ac:dyDescent="0.2">
      <c r="A62" s="48"/>
    </row>
  </sheetData>
  <mergeCells count="10">
    <mergeCell ref="R27:V35"/>
    <mergeCell ref="R17:V21"/>
    <mergeCell ref="B2:P2"/>
    <mergeCell ref="B3:P3"/>
    <mergeCell ref="B4:P4"/>
    <mergeCell ref="B7:C7"/>
    <mergeCell ref="I7:J7"/>
    <mergeCell ref="B6:G6"/>
    <mergeCell ref="I6:N6"/>
    <mergeCell ref="R8:V14"/>
  </mergeCells>
  <pageMargins left="0.51181102362204722" right="0.51181102362204722" top="1.1417322834645669" bottom="0.74803149606299213" header="0.51181102362204722" footer="0.51181102362204722"/>
  <pageSetup scale="67" orientation="landscape" r:id="rId1"/>
  <headerFooter scaleWithDoc="0">
    <oddFooter>&amp;L&amp;"Agfa Rotis Sans Serif,Regular"(c) Markus Maedler | 2009-2022&amp;R&amp;"Agfa Rotis Sans Serif,Regular"&amp;F | 7b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workbookViewId="0"/>
  </sheetViews>
  <sheetFormatPr defaultRowHeight="12.75" outlineLevelCol="1" x14ac:dyDescent="0.2"/>
  <cols>
    <col min="1" max="1" width="16.7109375" customWidth="1"/>
    <col min="2" max="2" width="28.85546875" customWidth="1"/>
    <col min="3" max="5" width="12.5703125" customWidth="1" outlineLevel="1"/>
    <col min="6" max="6" width="8.85546875" customWidth="1" outlineLevel="1"/>
    <col min="7" max="9" width="12.5703125" customWidth="1"/>
  </cols>
  <sheetData>
    <row r="1" spans="1:9" x14ac:dyDescent="0.2">
      <c r="A1" s="1" t="s">
        <v>25</v>
      </c>
    </row>
    <row r="2" spans="1:9" x14ac:dyDescent="0.2">
      <c r="A2" s="48" t="s">
        <v>186</v>
      </c>
      <c r="B2" s="48"/>
      <c r="C2" s="15"/>
    </row>
    <row r="3" spans="1:9" ht="12.75" customHeight="1" x14ac:dyDescent="0.2">
      <c r="A3" s="106" t="s">
        <v>162</v>
      </c>
      <c r="C3" s="143" t="s">
        <v>30</v>
      </c>
      <c r="D3" s="143"/>
      <c r="E3" s="143"/>
      <c r="G3" s="143" t="s">
        <v>30</v>
      </c>
      <c r="H3" s="143"/>
      <c r="I3" s="143"/>
    </row>
    <row r="4" spans="1:9" x14ac:dyDescent="0.2">
      <c r="B4" s="1"/>
      <c r="C4" s="3" t="s">
        <v>0</v>
      </c>
      <c r="D4" s="3" t="s">
        <v>1</v>
      </c>
      <c r="E4" s="3" t="s">
        <v>2</v>
      </c>
      <c r="G4" s="3" t="s">
        <v>0</v>
      </c>
      <c r="H4" s="3" t="s">
        <v>1</v>
      </c>
      <c r="I4" s="3" t="s">
        <v>2</v>
      </c>
    </row>
    <row r="5" spans="1:9" x14ac:dyDescent="0.2">
      <c r="A5" s="15" t="s">
        <v>33</v>
      </c>
      <c r="B5" s="48" t="s">
        <v>156</v>
      </c>
      <c r="C5">
        <v>206</v>
      </c>
      <c r="D5">
        <v>181</v>
      </c>
      <c r="E5">
        <v>223</v>
      </c>
      <c r="G5">
        <v>206</v>
      </c>
      <c r="H5">
        <v>181</v>
      </c>
      <c r="I5">
        <v>223</v>
      </c>
    </row>
    <row r="6" spans="1:9" x14ac:dyDescent="0.2">
      <c r="B6" s="48" t="s">
        <v>137</v>
      </c>
      <c r="C6" s="2">
        <v>123</v>
      </c>
      <c r="D6" s="2">
        <v>135</v>
      </c>
      <c r="E6" s="2">
        <v>138</v>
      </c>
      <c r="G6" s="2">
        <v>123</v>
      </c>
      <c r="H6" s="2">
        <v>135</v>
      </c>
      <c r="I6" s="2">
        <v>138</v>
      </c>
    </row>
    <row r="7" spans="1:9" x14ac:dyDescent="0.2">
      <c r="B7" s="15" t="s">
        <v>32</v>
      </c>
      <c r="C7">
        <f>+C6+C5</f>
        <v>329</v>
      </c>
      <c r="D7">
        <f>+D6+D5</f>
        <v>316</v>
      </c>
      <c r="E7">
        <f>+E6+E5</f>
        <v>361</v>
      </c>
      <c r="G7">
        <f>+G6+G5</f>
        <v>329</v>
      </c>
      <c r="H7">
        <f>+H6+H5</f>
        <v>316</v>
      </c>
      <c r="I7">
        <f>+I6+I5</f>
        <v>361</v>
      </c>
    </row>
    <row r="8" spans="1:9" ht="6.6" customHeight="1" x14ac:dyDescent="0.2">
      <c r="C8" s="4"/>
      <c r="D8" s="4"/>
      <c r="E8" s="4"/>
      <c r="G8" s="4"/>
      <c r="H8" s="4"/>
      <c r="I8" s="4"/>
    </row>
    <row r="9" spans="1:9" x14ac:dyDescent="0.2">
      <c r="C9" s="143" t="s">
        <v>29</v>
      </c>
      <c r="D9" s="143"/>
      <c r="E9" s="143"/>
      <c r="G9" s="143" t="s">
        <v>29</v>
      </c>
      <c r="H9" s="143"/>
      <c r="I9" s="143"/>
    </row>
    <row r="10" spans="1:9" x14ac:dyDescent="0.2">
      <c r="C10" s="3" t="s">
        <v>0</v>
      </c>
      <c r="D10" s="3" t="s">
        <v>1</v>
      </c>
      <c r="E10" s="3" t="s">
        <v>2</v>
      </c>
      <c r="G10" s="3" t="s">
        <v>0</v>
      </c>
      <c r="H10" s="3" t="s">
        <v>1</v>
      </c>
      <c r="I10" s="3" t="s">
        <v>2</v>
      </c>
    </row>
    <row r="11" spans="1:9" x14ac:dyDescent="0.2">
      <c r="A11" t="s">
        <v>3</v>
      </c>
      <c r="B11" s="48" t="s">
        <v>156</v>
      </c>
      <c r="C11" s="4">
        <v>82400</v>
      </c>
      <c r="D11" s="4">
        <v>72400</v>
      </c>
      <c r="E11" s="4">
        <v>89200</v>
      </c>
      <c r="G11" s="90">
        <f>C11/G$5</f>
        <v>400</v>
      </c>
      <c r="H11" s="90">
        <f>D11/H$5</f>
        <v>400</v>
      </c>
      <c r="I11" s="90">
        <f>E11/I$5</f>
        <v>400</v>
      </c>
    </row>
    <row r="12" spans="1:9" x14ac:dyDescent="0.2">
      <c r="B12" s="48" t="s">
        <v>137</v>
      </c>
      <c r="C12" s="6">
        <v>98400</v>
      </c>
      <c r="D12" s="6">
        <v>108000</v>
      </c>
      <c r="E12" s="6">
        <v>110400</v>
      </c>
      <c r="G12" s="99">
        <f>C12/G$6</f>
        <v>800</v>
      </c>
      <c r="H12" s="99">
        <f>D12/H$6</f>
        <v>800</v>
      </c>
      <c r="I12" s="99">
        <f>E12/I$6</f>
        <v>800</v>
      </c>
    </row>
    <row r="13" spans="1:9" x14ac:dyDescent="0.2">
      <c r="B13" s="48" t="s">
        <v>138</v>
      </c>
      <c r="C13" s="4">
        <f>+SUM(C11:C12)</f>
        <v>180800</v>
      </c>
      <c r="D13" s="4">
        <f>+SUM(D11:D12)</f>
        <v>180400</v>
      </c>
      <c r="E13" s="4">
        <f>+SUM(E11:E12)</f>
        <v>199600</v>
      </c>
      <c r="G13" s="90">
        <f>C13/G$7</f>
        <v>549.54407294832822</v>
      </c>
      <c r="H13" s="90">
        <f>D13/H$7</f>
        <v>570.88607594936707</v>
      </c>
      <c r="I13" s="90">
        <f>E13/I$7</f>
        <v>552.90858725761768</v>
      </c>
    </row>
    <row r="14" spans="1:9" ht="6.6" customHeight="1" x14ac:dyDescent="0.2">
      <c r="C14" s="4"/>
      <c r="D14" s="4"/>
      <c r="E14" s="4"/>
      <c r="G14" s="4"/>
      <c r="H14" s="4"/>
      <c r="I14" s="4"/>
    </row>
    <row r="15" spans="1:9" x14ac:dyDescent="0.2">
      <c r="A15" s="49" t="s">
        <v>139</v>
      </c>
      <c r="C15" s="5">
        <v>9240</v>
      </c>
      <c r="D15" s="5">
        <f>C15</f>
        <v>9240</v>
      </c>
      <c r="E15" s="5">
        <f>D15</f>
        <v>9240</v>
      </c>
      <c r="G15" s="19">
        <f>C15/G$7</f>
        <v>28.085106382978722</v>
      </c>
      <c r="H15" s="19">
        <f>D15/H$7</f>
        <v>29.240506329113924</v>
      </c>
      <c r="I15" s="19">
        <f>E15/I$7</f>
        <v>25.59556786703601</v>
      </c>
    </row>
    <row r="16" spans="1:9" ht="6.6" customHeight="1" x14ac:dyDescent="0.2">
      <c r="C16" s="4"/>
      <c r="D16" s="4"/>
      <c r="E16" s="4"/>
      <c r="G16" s="4"/>
      <c r="H16" s="4"/>
      <c r="I16" s="4"/>
    </row>
    <row r="17" spans="1:9" x14ac:dyDescent="0.2">
      <c r="A17" s="48" t="s">
        <v>140</v>
      </c>
      <c r="B17" s="75" t="s">
        <v>133</v>
      </c>
      <c r="C17" s="5">
        <v>126580</v>
      </c>
      <c r="D17" s="5">
        <f>C17</f>
        <v>126580</v>
      </c>
      <c r="E17" s="5">
        <f>D17</f>
        <v>126580</v>
      </c>
      <c r="G17" s="19">
        <f t="shared" ref="G17:I18" si="0">C17/G$7</f>
        <v>384.741641337386</v>
      </c>
      <c r="H17" s="19">
        <f t="shared" si="0"/>
        <v>400.56962025316454</v>
      </c>
      <c r="I17" s="19">
        <f t="shared" si="0"/>
        <v>350.63711911357342</v>
      </c>
    </row>
    <row r="18" spans="1:9" x14ac:dyDescent="0.2">
      <c r="B18" s="93" t="s">
        <v>134</v>
      </c>
      <c r="C18" s="94">
        <v>1546</v>
      </c>
      <c r="D18" s="94">
        <v>1485</v>
      </c>
      <c r="E18" s="94">
        <v>1697</v>
      </c>
      <c r="F18" s="95"/>
      <c r="G18" s="100">
        <f t="shared" si="0"/>
        <v>4.6990881458966562</v>
      </c>
      <c r="H18" s="100">
        <f t="shared" si="0"/>
        <v>4.6993670886075947</v>
      </c>
      <c r="I18" s="100">
        <f t="shared" si="0"/>
        <v>4.7008310249307481</v>
      </c>
    </row>
    <row r="19" spans="1:9" x14ac:dyDescent="0.2">
      <c r="C19" s="5">
        <f>+SUM(C17:C18)</f>
        <v>128126</v>
      </c>
      <c r="D19" s="5">
        <f>+SUM(D17:D18)</f>
        <v>128065</v>
      </c>
      <c r="E19" s="5">
        <f>+SUM(E17:E18)</f>
        <v>128277</v>
      </c>
      <c r="G19" s="19">
        <f>+SUM(G17:G18)</f>
        <v>389.44072948328267</v>
      </c>
      <c r="H19" s="19">
        <f>+SUM(H17:H18)</f>
        <v>405.26898734177212</v>
      </c>
      <c r="I19" s="19">
        <f>+SUM(I17:I18)</f>
        <v>355.33795013850414</v>
      </c>
    </row>
    <row r="20" spans="1:9" ht="6.6" customHeight="1" x14ac:dyDescent="0.2">
      <c r="C20" s="4"/>
      <c r="D20" s="4"/>
      <c r="E20" s="4"/>
      <c r="G20" s="4"/>
      <c r="H20" s="4"/>
      <c r="I20" s="4"/>
    </row>
    <row r="21" spans="1:9" x14ac:dyDescent="0.2">
      <c r="A21" t="s">
        <v>16</v>
      </c>
      <c r="B21" s="75" t="s">
        <v>136</v>
      </c>
      <c r="C21" s="5">
        <v>53800</v>
      </c>
      <c r="D21" s="5">
        <f>C21</f>
        <v>53800</v>
      </c>
      <c r="E21" s="5">
        <f>D21</f>
        <v>53800</v>
      </c>
      <c r="G21" s="19">
        <f t="shared" ref="G21:I22" si="1">C21/G$7</f>
        <v>163.52583586626139</v>
      </c>
      <c r="H21" s="19">
        <f t="shared" si="1"/>
        <v>170.25316455696202</v>
      </c>
      <c r="I21" s="19">
        <f t="shared" si="1"/>
        <v>149.03047091412742</v>
      </c>
    </row>
    <row r="22" spans="1:9" x14ac:dyDescent="0.2">
      <c r="B22" s="93" t="s">
        <v>135</v>
      </c>
      <c r="C22" s="94">
        <v>7896</v>
      </c>
      <c r="D22" s="94">
        <v>7584</v>
      </c>
      <c r="E22" s="94">
        <v>8664</v>
      </c>
      <c r="F22" s="95"/>
      <c r="G22" s="100">
        <f t="shared" si="1"/>
        <v>24</v>
      </c>
      <c r="H22" s="100">
        <f t="shared" si="1"/>
        <v>24</v>
      </c>
      <c r="I22" s="100">
        <f t="shared" si="1"/>
        <v>24</v>
      </c>
    </row>
    <row r="23" spans="1:9" x14ac:dyDescent="0.2">
      <c r="C23" s="5">
        <f>+SUM(C21:C22)</f>
        <v>61696</v>
      </c>
      <c r="D23" s="5">
        <f>+SUM(D21:D22)</f>
        <v>61384</v>
      </c>
      <c r="E23" s="5">
        <f>+SUM(E21:E22)</f>
        <v>62464</v>
      </c>
      <c r="G23" s="19">
        <f>+SUM(G21:G22)</f>
        <v>187.52583586626139</v>
      </c>
      <c r="H23" s="19">
        <f>+SUM(H21:H22)</f>
        <v>194.25316455696202</v>
      </c>
      <c r="I23" s="19">
        <f>+SUM(I21:I22)</f>
        <v>173.03047091412742</v>
      </c>
    </row>
    <row r="24" spans="1:9" ht="6.6" customHeight="1" x14ac:dyDescent="0.2">
      <c r="C24" s="4"/>
      <c r="D24" s="4"/>
      <c r="E24" s="4"/>
      <c r="G24" s="4"/>
      <c r="H24" s="4"/>
      <c r="I24" s="4"/>
    </row>
    <row r="25" spans="1:9" x14ac:dyDescent="0.2">
      <c r="A25" s="96" t="s">
        <v>20</v>
      </c>
      <c r="B25" s="96"/>
      <c r="C25" s="97">
        <v>7909</v>
      </c>
      <c r="D25" s="97">
        <v>7039</v>
      </c>
      <c r="E25" s="97">
        <v>8083</v>
      </c>
      <c r="F25" s="96"/>
      <c r="G25" s="98">
        <f t="shared" ref="G25:I26" si="2">C25/G$7</f>
        <v>24.039513677811549</v>
      </c>
      <c r="H25" s="98">
        <f t="shared" si="2"/>
        <v>22.275316455696203</v>
      </c>
      <c r="I25" s="98">
        <f t="shared" si="2"/>
        <v>22.390581717451525</v>
      </c>
    </row>
    <row r="26" spans="1:9" x14ac:dyDescent="0.2">
      <c r="A26" s="101" t="s">
        <v>28</v>
      </c>
      <c r="B26" s="101"/>
      <c r="C26" s="102">
        <v>15424</v>
      </c>
      <c r="D26" s="102">
        <v>15359</v>
      </c>
      <c r="E26" s="102">
        <v>15236</v>
      </c>
      <c r="F26" s="101"/>
      <c r="G26" s="103">
        <f t="shared" si="2"/>
        <v>46.881458966565347</v>
      </c>
      <c r="H26" s="103">
        <f t="shared" si="2"/>
        <v>48.604430379746837</v>
      </c>
      <c r="I26" s="103">
        <f t="shared" si="2"/>
        <v>42.204986149584485</v>
      </c>
    </row>
    <row r="27" spans="1:9" ht="13.5" thickBot="1" x14ac:dyDescent="0.25">
      <c r="A27" t="s">
        <v>21</v>
      </c>
      <c r="C27" s="7">
        <f>C26+C25+C23+C19+C15</f>
        <v>222395</v>
      </c>
      <c r="D27" s="7">
        <f>D26+D25+D23+D19+D15</f>
        <v>221087</v>
      </c>
      <c r="E27" s="7">
        <f>E26+E25+E23+E19+E15</f>
        <v>223300</v>
      </c>
      <c r="G27" s="91">
        <f>G26+G25+G23+G19+G15</f>
        <v>675.97264437689955</v>
      </c>
      <c r="H27" s="91">
        <f>H26+H25+H23+H19+H15</f>
        <v>699.64240506329111</v>
      </c>
      <c r="I27" s="91">
        <f>I26+I25+I23+I19+I15</f>
        <v>618.55955678670364</v>
      </c>
    </row>
    <row r="28" spans="1:9" s="1" customFormat="1" ht="13.5" thickTop="1" x14ac:dyDescent="0.2">
      <c r="A28" s="1" t="s">
        <v>22</v>
      </c>
      <c r="C28" s="23">
        <f>+C13-C27</f>
        <v>-41595</v>
      </c>
      <c r="D28" s="23">
        <f>+D13-D27</f>
        <v>-40687</v>
      </c>
      <c r="E28" s="23">
        <f>+E13-E27</f>
        <v>-23700</v>
      </c>
      <c r="G28" s="92">
        <f>+G13-G27</f>
        <v>-126.42857142857133</v>
      </c>
      <c r="H28" s="92">
        <f>+H13-H27</f>
        <v>-128.75632911392404</v>
      </c>
      <c r="I28" s="92">
        <f>+I13-I27</f>
        <v>-65.650969529085955</v>
      </c>
    </row>
    <row r="31" spans="1:9" x14ac:dyDescent="0.2">
      <c r="C31" s="5"/>
      <c r="D31" s="5"/>
      <c r="E31" s="5"/>
    </row>
  </sheetData>
  <mergeCells count="4">
    <mergeCell ref="C3:E3"/>
    <mergeCell ref="C9:E9"/>
    <mergeCell ref="G3:I3"/>
    <mergeCell ref="G9:I9"/>
  </mergeCells>
  <pageMargins left="0.51181102362204722" right="0.51181102362204722" top="1.1417322834645669" bottom="0.74803149606299213" header="0.51181102362204722" footer="0.51181102362204722"/>
  <pageSetup scale="89" orientation="landscape" r:id="rId1"/>
  <headerFooter scaleWithDoc="0">
    <oddFooter>&amp;L&amp;"Agfa Rotis Sans Serif,Regular"(c) Markus Maedler | 2009-2022&amp;R&amp;"Agfa Rotis Sans Serif,Regular"&amp;F | 2a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Normal="100" workbookViewId="0"/>
  </sheetViews>
  <sheetFormatPr defaultRowHeight="12.75" x14ac:dyDescent="0.2"/>
  <cols>
    <col min="1" max="1" width="39.5703125" customWidth="1"/>
    <col min="2" max="2" width="8.5703125" bestFit="1" customWidth="1"/>
    <col min="3" max="3" width="7.5703125" bestFit="1" customWidth="1"/>
    <col min="4" max="4" width="1.7109375" style="50" customWidth="1"/>
    <col min="5" max="5" width="11.140625" customWidth="1"/>
    <col min="6" max="6" width="1.7109375" style="50" customWidth="1"/>
    <col min="7" max="7" width="11.140625" customWidth="1"/>
    <col min="8" max="8" width="3" customWidth="1"/>
    <col min="9" max="9" width="9.140625" style="38" customWidth="1"/>
  </cols>
  <sheetData>
    <row r="1" spans="1:9" x14ac:dyDescent="0.2">
      <c r="A1" s="1" t="s">
        <v>25</v>
      </c>
    </row>
    <row r="2" spans="1:9" x14ac:dyDescent="0.2">
      <c r="A2" s="48" t="s">
        <v>189</v>
      </c>
      <c r="B2" s="143" t="s">
        <v>76</v>
      </c>
      <c r="C2" s="143"/>
      <c r="D2" s="143"/>
      <c r="E2" s="143"/>
      <c r="F2" s="143"/>
      <c r="G2" s="143"/>
    </row>
    <row r="3" spans="1:9" x14ac:dyDescent="0.2">
      <c r="A3" s="106" t="s">
        <v>164</v>
      </c>
      <c r="B3" s="143" t="s">
        <v>132</v>
      </c>
      <c r="C3" s="143"/>
      <c r="D3" s="143"/>
      <c r="E3" s="143"/>
      <c r="F3" s="143"/>
      <c r="G3" s="143"/>
    </row>
    <row r="4" spans="1:9" x14ac:dyDescent="0.2">
      <c r="B4" s="144" t="s">
        <v>53</v>
      </c>
      <c r="C4" s="144"/>
      <c r="D4" s="144"/>
      <c r="E4" s="144"/>
      <c r="F4" s="144"/>
      <c r="G4" s="144"/>
    </row>
    <row r="5" spans="1:9" ht="6" customHeight="1" x14ac:dyDescent="0.2">
      <c r="A5" s="48"/>
      <c r="B5" s="44"/>
      <c r="C5" s="44"/>
      <c r="D5" s="44"/>
      <c r="E5" s="44"/>
      <c r="F5" s="44"/>
      <c r="G5" s="44"/>
    </row>
    <row r="6" spans="1:9" x14ac:dyDescent="0.2">
      <c r="A6" s="48" t="s">
        <v>149</v>
      </c>
      <c r="B6" s="145" t="s">
        <v>26</v>
      </c>
      <c r="C6" s="145"/>
      <c r="D6" s="44"/>
      <c r="E6" s="3" t="s">
        <v>27</v>
      </c>
      <c r="F6" s="44"/>
      <c r="G6" s="3" t="s">
        <v>32</v>
      </c>
    </row>
    <row r="7" spans="1:9" ht="6" customHeight="1" x14ac:dyDescent="0.2">
      <c r="A7" s="48"/>
      <c r="B7" s="44"/>
      <c r="C7" s="44"/>
      <c r="D7" s="44"/>
      <c r="E7" s="44"/>
      <c r="F7" s="44"/>
      <c r="G7" s="44"/>
    </row>
    <row r="8" spans="1:9" x14ac:dyDescent="0.2">
      <c r="A8" s="1" t="s">
        <v>36</v>
      </c>
      <c r="B8" s="28" t="s">
        <v>35</v>
      </c>
      <c r="C8" s="28" t="s">
        <v>34</v>
      </c>
      <c r="I8" s="79"/>
    </row>
    <row r="9" spans="1:9" x14ac:dyDescent="0.2">
      <c r="A9" s="48" t="s">
        <v>113</v>
      </c>
      <c r="B9">
        <v>138</v>
      </c>
      <c r="C9" s="11">
        <v>800</v>
      </c>
      <c r="D9" s="51"/>
      <c r="G9" s="4">
        <f>B9*C9</f>
        <v>110400</v>
      </c>
    </row>
    <row r="10" spans="1:9" x14ac:dyDescent="0.2">
      <c r="A10" s="48" t="s">
        <v>89</v>
      </c>
      <c r="C10" s="11"/>
      <c r="D10" s="51"/>
      <c r="G10" s="4"/>
    </row>
    <row r="11" spans="1:9" x14ac:dyDescent="0.2">
      <c r="A11" t="s">
        <v>15</v>
      </c>
      <c r="B11">
        <f>B9</f>
        <v>138</v>
      </c>
      <c r="C11" s="11">
        <v>-4.7</v>
      </c>
      <c r="D11" s="21"/>
      <c r="E11" s="21"/>
      <c r="F11" s="21"/>
      <c r="G11" s="4">
        <f>B11*C11</f>
        <v>-648.6</v>
      </c>
    </row>
    <row r="12" spans="1:9" x14ac:dyDescent="0.2">
      <c r="A12" t="s">
        <v>23</v>
      </c>
      <c r="B12" s="63">
        <f>B11</f>
        <v>138</v>
      </c>
      <c r="C12" s="64">
        <v>-24</v>
      </c>
      <c r="D12" s="62"/>
      <c r="E12" s="62"/>
      <c r="F12" s="62"/>
      <c r="G12" s="4">
        <f>B12*C12</f>
        <v>-3312</v>
      </c>
    </row>
    <row r="13" spans="1:9" s="79" customFormat="1" ht="13.5" thickBot="1" x14ac:dyDescent="0.25">
      <c r="A13" s="79" t="s">
        <v>153</v>
      </c>
      <c r="C13" s="124">
        <f>C9+C11+C12</f>
        <v>771.3</v>
      </c>
      <c r="D13" s="125"/>
      <c r="E13" s="126"/>
      <c r="F13" s="125"/>
      <c r="G13" s="127">
        <f>G9+G11+G12</f>
        <v>106439.4</v>
      </c>
    </row>
    <row r="14" spans="1:9" ht="6" customHeight="1" thickTop="1" x14ac:dyDescent="0.2">
      <c r="A14" s="48"/>
      <c r="B14" s="44"/>
      <c r="C14" s="44"/>
      <c r="D14" s="44"/>
      <c r="E14" s="44"/>
      <c r="F14" s="44"/>
      <c r="G14" s="44"/>
    </row>
    <row r="15" spans="1:9" x14ac:dyDescent="0.2">
      <c r="A15" s="48" t="s">
        <v>151</v>
      </c>
      <c r="B15">
        <v>205</v>
      </c>
      <c r="C15" s="11">
        <v>400</v>
      </c>
      <c r="D15" s="21"/>
      <c r="E15" s="5"/>
      <c r="F15" s="21"/>
      <c r="G15" s="4">
        <f>B15*C15</f>
        <v>82000</v>
      </c>
    </row>
    <row r="16" spans="1:9" x14ac:dyDescent="0.2">
      <c r="A16" s="48" t="s">
        <v>89</v>
      </c>
      <c r="C16" s="11"/>
      <c r="D16" s="21"/>
      <c r="E16" s="5"/>
      <c r="F16" s="21"/>
      <c r="G16" s="4"/>
    </row>
    <row r="17" spans="1:15" x14ac:dyDescent="0.2">
      <c r="A17" t="s">
        <v>15</v>
      </c>
      <c r="B17">
        <f>B15</f>
        <v>205</v>
      </c>
      <c r="C17" s="11">
        <v>-4.7</v>
      </c>
      <c r="D17" s="21"/>
      <c r="E17" s="5"/>
      <c r="F17" s="21"/>
      <c r="G17" s="4">
        <f>B17*C17</f>
        <v>-963.5</v>
      </c>
    </row>
    <row r="18" spans="1:15" x14ac:dyDescent="0.2">
      <c r="A18" t="s">
        <v>23</v>
      </c>
      <c r="B18" s="63">
        <f>B17</f>
        <v>205</v>
      </c>
      <c r="C18" s="64">
        <v>-24</v>
      </c>
      <c r="D18" s="21"/>
      <c r="E18" s="5"/>
      <c r="F18" s="21"/>
      <c r="G18" s="4">
        <f>B18*C18</f>
        <v>-4920</v>
      </c>
    </row>
    <row r="19" spans="1:15" s="79" customFormat="1" ht="13.5" thickBot="1" x14ac:dyDescent="0.25">
      <c r="A19" s="79" t="s">
        <v>157</v>
      </c>
      <c r="C19" s="124">
        <f>C15+C17+C18</f>
        <v>371.3</v>
      </c>
      <c r="D19" s="125"/>
      <c r="E19" s="126"/>
      <c r="F19" s="125"/>
      <c r="G19" s="127">
        <f>G15+G17+G18</f>
        <v>76116.5</v>
      </c>
    </row>
    <row r="20" spans="1:15" ht="6" customHeight="1" thickTop="1" x14ac:dyDescent="0.2">
      <c r="A20" s="48"/>
      <c r="B20" s="44"/>
      <c r="C20" s="44"/>
      <c r="D20" s="44"/>
      <c r="E20" s="44"/>
      <c r="F20" s="44"/>
      <c r="G20" s="44"/>
    </row>
    <row r="21" spans="1:15" x14ac:dyDescent="0.2">
      <c r="A21" s="48" t="s">
        <v>152</v>
      </c>
      <c r="C21" s="54"/>
      <c r="D21" s="21"/>
      <c r="E21" s="5"/>
      <c r="F21" s="21"/>
      <c r="G21" s="51">
        <f>G13+G19</f>
        <v>182555.9</v>
      </c>
    </row>
    <row r="22" spans="1:15" ht="6" customHeight="1" x14ac:dyDescent="0.2">
      <c r="A22" s="48"/>
      <c r="B22" s="44"/>
      <c r="C22" s="44"/>
      <c r="D22" s="44"/>
      <c r="E22" s="44"/>
      <c r="F22" s="44"/>
      <c r="G22" s="44"/>
    </row>
    <row r="23" spans="1:15" ht="12.75" customHeight="1" x14ac:dyDescent="0.2">
      <c r="A23" s="1" t="s">
        <v>101</v>
      </c>
      <c r="C23" s="11"/>
      <c r="D23" s="21"/>
      <c r="E23" s="5"/>
      <c r="F23" s="21"/>
      <c r="G23" s="20"/>
      <c r="I23" s="46"/>
      <c r="J23" s="46"/>
      <c r="K23" s="46"/>
      <c r="L23" s="46"/>
      <c r="M23" s="46"/>
      <c r="N23" s="46"/>
      <c r="O23" s="46"/>
    </row>
    <row r="24" spans="1:15" ht="12.75" customHeight="1" x14ac:dyDescent="0.2">
      <c r="A24" s="48" t="s">
        <v>139</v>
      </c>
      <c r="C24" s="11"/>
      <c r="D24" s="21"/>
      <c r="E24" s="4">
        <v>-9240</v>
      </c>
      <c r="F24" s="21"/>
      <c r="G24" s="4">
        <f>E24</f>
        <v>-9240</v>
      </c>
      <c r="I24" s="46"/>
      <c r="J24" s="46"/>
      <c r="K24" s="46"/>
      <c r="L24" s="46"/>
      <c r="M24" s="46"/>
      <c r="N24" s="46"/>
      <c r="O24" s="46"/>
    </row>
    <row r="25" spans="1:15" x14ac:dyDescent="0.2">
      <c r="A25" s="75" t="s">
        <v>133</v>
      </c>
      <c r="B25" s="50"/>
      <c r="C25" s="50"/>
      <c r="D25" s="51"/>
      <c r="E25" s="4">
        <f>-'2a CB (abr)'!E17</f>
        <v>-126580</v>
      </c>
      <c r="F25" s="51"/>
      <c r="G25" s="4">
        <f>E25</f>
        <v>-126580</v>
      </c>
      <c r="I25" s="46"/>
      <c r="J25" s="46"/>
      <c r="K25" s="46"/>
      <c r="L25" s="46"/>
      <c r="M25" s="46"/>
      <c r="N25" s="46"/>
      <c r="O25" s="46"/>
    </row>
    <row r="26" spans="1:15" x14ac:dyDescent="0.2">
      <c r="A26" s="75" t="s">
        <v>136</v>
      </c>
      <c r="B26" s="50"/>
      <c r="C26" s="50"/>
      <c r="D26" s="51"/>
      <c r="E26" s="4">
        <f>-'2a CB (abr)'!E21</f>
        <v>-53800</v>
      </c>
      <c r="F26" s="51"/>
      <c r="G26" s="4">
        <f>E26</f>
        <v>-53800</v>
      </c>
      <c r="I26" s="46"/>
      <c r="J26" s="46"/>
      <c r="K26" s="46"/>
      <c r="L26" s="46"/>
      <c r="M26" s="46"/>
      <c r="N26" s="46"/>
      <c r="O26" s="46"/>
    </row>
    <row r="27" spans="1:15" x14ac:dyDescent="0.2">
      <c r="A27" s="48" t="s">
        <v>20</v>
      </c>
      <c r="D27" s="51"/>
      <c r="E27" s="4">
        <v>-8083</v>
      </c>
      <c r="F27" s="51"/>
      <c r="G27" s="4">
        <f>E27</f>
        <v>-8083</v>
      </c>
      <c r="I27" s="46"/>
      <c r="J27" s="46"/>
      <c r="K27" s="46"/>
      <c r="L27" s="46"/>
      <c r="M27" s="46"/>
      <c r="N27" s="46"/>
      <c r="O27" s="46"/>
    </row>
    <row r="28" spans="1:15" x14ac:dyDescent="0.2">
      <c r="A28" s="75" t="s">
        <v>28</v>
      </c>
      <c r="B28" s="50"/>
      <c r="C28" s="50"/>
      <c r="D28" s="51"/>
      <c r="E28" s="4">
        <v>-15236</v>
      </c>
      <c r="F28" s="51"/>
      <c r="G28" s="4">
        <f>E28</f>
        <v>-15236</v>
      </c>
      <c r="I28" s="46"/>
      <c r="J28" s="46"/>
      <c r="K28" s="46"/>
      <c r="L28" s="46"/>
      <c r="M28" s="46"/>
      <c r="N28" s="46"/>
      <c r="O28" s="46"/>
    </row>
    <row r="29" spans="1:15" s="79" customFormat="1" ht="13.5" thickBot="1" x14ac:dyDescent="0.25">
      <c r="A29" s="128" t="s">
        <v>92</v>
      </c>
      <c r="B29" s="129"/>
      <c r="C29" s="129"/>
      <c r="D29" s="130"/>
      <c r="E29" s="127">
        <f>SUM(E24:E28)</f>
        <v>-212939</v>
      </c>
      <c r="F29" s="130"/>
      <c r="G29" s="127">
        <f>SUM(G24:G28)</f>
        <v>-212939</v>
      </c>
    </row>
    <row r="30" spans="1:15" ht="6" customHeight="1" thickTop="1" x14ac:dyDescent="0.2">
      <c r="A30" s="48"/>
      <c r="B30" s="44"/>
      <c r="C30" s="44"/>
      <c r="D30" s="44"/>
      <c r="E30" s="44"/>
      <c r="F30" s="44"/>
      <c r="G30" s="44"/>
    </row>
    <row r="31" spans="1:15" s="48" customFormat="1" x14ac:dyDescent="0.2">
      <c r="A31" s="73" t="s">
        <v>22</v>
      </c>
      <c r="B31" s="81"/>
      <c r="C31" s="81"/>
      <c r="D31" s="85"/>
      <c r="E31" s="85"/>
      <c r="F31" s="85"/>
      <c r="G31" s="53">
        <f>G21+G29</f>
        <v>-30383.100000000006</v>
      </c>
      <c r="I31" s="38"/>
    </row>
    <row r="32" spans="1:15" ht="6" customHeight="1" x14ac:dyDescent="0.2">
      <c r="A32" s="48"/>
      <c r="B32" s="44"/>
      <c r="C32" s="44"/>
      <c r="D32" s="44"/>
      <c r="E32" s="44"/>
      <c r="F32" s="44"/>
      <c r="G32" s="44"/>
    </row>
    <row r="33" spans="1:7" x14ac:dyDescent="0.2">
      <c r="A33" s="1" t="s">
        <v>86</v>
      </c>
      <c r="B33" s="27">
        <f>(-G29-G19)/C13</f>
        <v>177.39206534422405</v>
      </c>
      <c r="G33" s="23">
        <f>(-G29-G19)/(G13/G9)</f>
        <v>141913.65227537925</v>
      </c>
    </row>
  </sheetData>
  <mergeCells count="4">
    <mergeCell ref="B2:G2"/>
    <mergeCell ref="B3:G3"/>
    <mergeCell ref="B4:G4"/>
    <mergeCell ref="B6:C6"/>
  </mergeCells>
  <pageMargins left="0.51181102362204722" right="0.51181102362204722" top="1.1417322834645669" bottom="0.74803149606299213" header="0.51181102362204722" footer="0.51181102362204722"/>
  <pageSetup orientation="landscape" r:id="rId1"/>
  <headerFooter scaleWithDoc="0">
    <oddFooter>&amp;L&amp;"Agfa Rotis Sans Serif,Regular"(c) Markus Maedler | 2009-2022&amp;R&amp;"Agfa Rotis Sans Serif,Regular"&amp;F | 3a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heetViews>
  <sheetFormatPr defaultRowHeight="12.75" x14ac:dyDescent="0.2"/>
  <cols>
    <col min="1" max="1" width="18.28515625" customWidth="1"/>
    <col min="2" max="2" width="20.28515625" bestFit="1" customWidth="1"/>
    <col min="6" max="6" width="3" customWidth="1"/>
  </cols>
  <sheetData>
    <row r="1" spans="1:13" x14ac:dyDescent="0.2">
      <c r="A1" s="1" t="s">
        <v>25</v>
      </c>
    </row>
    <row r="2" spans="1:13" x14ac:dyDescent="0.2">
      <c r="A2" s="49" t="s">
        <v>187</v>
      </c>
      <c r="B2" s="29"/>
    </row>
    <row r="4" spans="1:13" x14ac:dyDescent="0.2">
      <c r="A4" s="143" t="s">
        <v>42</v>
      </c>
      <c r="B4" s="143"/>
      <c r="C4" s="143"/>
      <c r="D4" s="143"/>
      <c r="E4" s="143"/>
      <c r="F4" s="36"/>
      <c r="G4" s="14"/>
    </row>
    <row r="5" spans="1:13" x14ac:dyDescent="0.2">
      <c r="A5" s="14"/>
      <c r="B5" s="14"/>
      <c r="C5" s="3" t="s">
        <v>81</v>
      </c>
      <c r="D5" s="3" t="s">
        <v>82</v>
      </c>
      <c r="E5" s="3" t="s">
        <v>83</v>
      </c>
      <c r="F5" s="14"/>
      <c r="G5" s="14"/>
    </row>
    <row r="6" spans="1:13" x14ac:dyDescent="0.2">
      <c r="A6" s="48" t="s">
        <v>98</v>
      </c>
      <c r="B6" s="15"/>
      <c r="C6" s="32">
        <v>600</v>
      </c>
      <c r="D6" s="32">
        <v>800</v>
      </c>
      <c r="E6" s="32">
        <v>1000</v>
      </c>
    </row>
    <row r="7" spans="1:13" x14ac:dyDescent="0.2">
      <c r="A7" s="48"/>
      <c r="B7" s="15"/>
      <c r="C7" s="32"/>
      <c r="D7" s="32"/>
      <c r="E7" s="32"/>
    </row>
    <row r="8" spans="1:13" x14ac:dyDescent="0.2">
      <c r="A8" s="49" t="s">
        <v>95</v>
      </c>
      <c r="B8" s="48" t="s">
        <v>39</v>
      </c>
      <c r="C8" s="32">
        <f>C6-$D6</f>
        <v>-200</v>
      </c>
      <c r="D8" s="32">
        <f>D6-$D6</f>
        <v>0</v>
      </c>
      <c r="E8" s="32">
        <f>E6-$D6</f>
        <v>200</v>
      </c>
    </row>
    <row r="9" spans="1:13" x14ac:dyDescent="0.2">
      <c r="A9" s="15"/>
      <c r="B9" s="48" t="s">
        <v>96</v>
      </c>
      <c r="C9" s="86">
        <f>C6-24-4.7</f>
        <v>571.29999999999995</v>
      </c>
      <c r="D9" s="86">
        <f>D6-24-4.7</f>
        <v>771.3</v>
      </c>
      <c r="E9" s="86">
        <f>E6-24-4.7</f>
        <v>971.3</v>
      </c>
    </row>
    <row r="10" spans="1:13" x14ac:dyDescent="0.2">
      <c r="A10" s="15"/>
      <c r="B10" s="48"/>
      <c r="C10" s="86"/>
      <c r="D10" s="86"/>
      <c r="E10" s="86"/>
    </row>
    <row r="11" spans="1:13" x14ac:dyDescent="0.2">
      <c r="A11" s="49" t="s">
        <v>97</v>
      </c>
      <c r="B11" s="15" t="s">
        <v>39</v>
      </c>
      <c r="C11" s="31">
        <v>0.3</v>
      </c>
      <c r="D11" s="15">
        <v>0</v>
      </c>
      <c r="E11" s="31">
        <v>-0.3</v>
      </c>
    </row>
    <row r="12" spans="1:13" x14ac:dyDescent="0.2">
      <c r="A12" s="15"/>
      <c r="B12" s="48" t="s">
        <v>35</v>
      </c>
      <c r="C12" s="87">
        <f>D12*(1+C11)</f>
        <v>179.4</v>
      </c>
      <c r="D12" s="88">
        <v>138</v>
      </c>
      <c r="E12" s="87">
        <f>D12*(1+E11)</f>
        <v>96.6</v>
      </c>
    </row>
    <row r="13" spans="1:13" x14ac:dyDescent="0.2">
      <c r="A13" s="1" t="s">
        <v>99</v>
      </c>
      <c r="B13" s="1"/>
      <c r="C13" s="23">
        <f>C12*C9</f>
        <v>102491.22</v>
      </c>
      <c r="D13" s="23">
        <f>D12*D9</f>
        <v>106439.4</v>
      </c>
      <c r="E13" s="23">
        <f>E12*E9</f>
        <v>93827.579999999987</v>
      </c>
    </row>
    <row r="14" spans="1:13" x14ac:dyDescent="0.2">
      <c r="B14" s="1"/>
      <c r="D14" s="1"/>
      <c r="E14" s="1"/>
      <c r="F14" s="1"/>
    </row>
    <row r="15" spans="1:13" x14ac:dyDescent="0.2">
      <c r="A15" s="38" t="s">
        <v>68</v>
      </c>
      <c r="B15" s="1"/>
      <c r="D15" s="1"/>
      <c r="E15" s="1"/>
      <c r="F15" s="1"/>
    </row>
    <row r="16" spans="1:13" x14ac:dyDescent="0.2">
      <c r="A16" s="65"/>
      <c r="B16" s="66"/>
      <c r="C16" s="65"/>
      <c r="D16" s="65"/>
      <c r="E16" s="65"/>
      <c r="F16" s="65"/>
      <c r="G16" s="65"/>
      <c r="H16" s="65"/>
      <c r="I16" s="65"/>
      <c r="J16" s="65"/>
      <c r="K16" s="65"/>
      <c r="L16" s="65"/>
      <c r="M16" s="65"/>
    </row>
    <row r="17" spans="1:12" x14ac:dyDescent="0.2">
      <c r="E17" s="18"/>
    </row>
    <row r="18" spans="1:12" x14ac:dyDescent="0.2">
      <c r="A18" s="143" t="s">
        <v>45</v>
      </c>
      <c r="B18" s="143"/>
      <c r="C18" s="143"/>
      <c r="D18" s="143"/>
      <c r="E18" s="143"/>
      <c r="F18" s="14"/>
      <c r="G18" s="105" t="s">
        <v>77</v>
      </c>
    </row>
    <row r="19" spans="1:12" x14ac:dyDescent="0.2">
      <c r="A19" s="14"/>
      <c r="B19" s="14"/>
      <c r="C19" s="14"/>
      <c r="D19" s="14"/>
      <c r="E19" s="14"/>
      <c r="F19" s="14"/>
      <c r="G19" s="42"/>
    </row>
    <row r="20" spans="1:12" x14ac:dyDescent="0.2">
      <c r="A20" s="15" t="s">
        <v>44</v>
      </c>
      <c r="B20" s="15"/>
      <c r="C20" s="15"/>
      <c r="D20" s="15"/>
      <c r="E20" s="32">
        <v>800</v>
      </c>
      <c r="F20" s="1"/>
      <c r="G20" s="38" t="s">
        <v>84</v>
      </c>
    </row>
    <row r="21" spans="1:12" x14ac:dyDescent="0.2">
      <c r="A21" s="29" t="s">
        <v>38</v>
      </c>
      <c r="B21" s="15" t="s">
        <v>39</v>
      </c>
      <c r="C21" s="15"/>
      <c r="D21" s="31"/>
      <c r="E21" s="31">
        <v>0.3</v>
      </c>
      <c r="F21" s="26"/>
      <c r="G21" s="38"/>
    </row>
    <row r="22" spans="1:12" x14ac:dyDescent="0.2">
      <c r="A22" s="15"/>
      <c r="B22" s="15" t="s">
        <v>35</v>
      </c>
      <c r="C22" s="15"/>
      <c r="D22" s="30"/>
      <c r="E22" s="15">
        <f>D12*(1+E21)</f>
        <v>179.4</v>
      </c>
      <c r="F22" s="27"/>
      <c r="G22" s="38"/>
    </row>
    <row r="23" spans="1:12" x14ac:dyDescent="0.2">
      <c r="A23" s="49" t="s">
        <v>95</v>
      </c>
      <c r="B23" s="15"/>
      <c r="C23" s="15"/>
      <c r="D23" s="32"/>
      <c r="E23" s="33">
        <f>E20-24-4.7</f>
        <v>771.3</v>
      </c>
      <c r="F23" s="11"/>
      <c r="G23" s="38"/>
    </row>
    <row r="24" spans="1:12" x14ac:dyDescent="0.2">
      <c r="A24" s="36" t="s">
        <v>99</v>
      </c>
      <c r="B24" s="15"/>
      <c r="C24" s="15"/>
      <c r="D24" s="15"/>
      <c r="E24" s="23">
        <f>E22*E23</f>
        <v>138371.22</v>
      </c>
      <c r="G24" s="38"/>
    </row>
    <row r="25" spans="1:12" x14ac:dyDescent="0.2">
      <c r="B25" s="1"/>
      <c r="G25" s="38"/>
    </row>
    <row r="26" spans="1:12" x14ac:dyDescent="0.2">
      <c r="A26" s="48" t="s">
        <v>101</v>
      </c>
      <c r="B26" s="15" t="s">
        <v>40</v>
      </c>
      <c r="E26" s="4">
        <v>212939</v>
      </c>
      <c r="F26" s="4"/>
      <c r="G26" s="38"/>
    </row>
    <row r="27" spans="1:12" x14ac:dyDescent="0.2">
      <c r="B27" s="15" t="s">
        <v>41</v>
      </c>
      <c r="E27" s="4">
        <v>-76117</v>
      </c>
      <c r="G27" s="38" t="s">
        <v>43</v>
      </c>
      <c r="J27" s="15"/>
    </row>
    <row r="28" spans="1:12" x14ac:dyDescent="0.2">
      <c r="B28" s="48" t="s">
        <v>100</v>
      </c>
      <c r="E28" s="4">
        <f>E26+E27</f>
        <v>136822</v>
      </c>
      <c r="G28" s="38"/>
    </row>
    <row r="29" spans="1:12" x14ac:dyDescent="0.2">
      <c r="A29" s="15" t="s">
        <v>69</v>
      </c>
      <c r="E29" s="43">
        <f>E28/E23</f>
        <v>177.39141708803319</v>
      </c>
      <c r="G29" s="38" t="s">
        <v>70</v>
      </c>
    </row>
    <row r="30" spans="1:12" x14ac:dyDescent="0.2">
      <c r="A30" s="1" t="s">
        <v>158</v>
      </c>
      <c r="C30" s="1"/>
      <c r="D30" s="1"/>
      <c r="E30" s="23">
        <f>(E22-E29)*E23</f>
        <v>1549.2200000000018</v>
      </c>
      <c r="G30" s="146" t="s">
        <v>159</v>
      </c>
      <c r="H30" s="147"/>
      <c r="I30" s="147"/>
      <c r="J30" s="147"/>
      <c r="K30" s="147"/>
      <c r="L30" s="147"/>
    </row>
    <row r="31" spans="1:12" x14ac:dyDescent="0.2">
      <c r="A31" s="1"/>
      <c r="C31" s="1"/>
      <c r="D31" s="1"/>
      <c r="E31" s="23"/>
      <c r="G31" s="147"/>
      <c r="H31" s="147"/>
      <c r="I31" s="147"/>
      <c r="J31" s="147"/>
      <c r="K31" s="147"/>
      <c r="L31" s="147"/>
    </row>
    <row r="33" spans="1:1" x14ac:dyDescent="0.2">
      <c r="A33" s="38" t="s">
        <v>80</v>
      </c>
    </row>
  </sheetData>
  <mergeCells count="3">
    <mergeCell ref="A18:E18"/>
    <mergeCell ref="A4:E4"/>
    <mergeCell ref="G30:L31"/>
  </mergeCells>
  <pageMargins left="0.74803149606299213" right="0.74803149606299213" top="0.98425196850393704" bottom="0.98425196850393704" header="0.51181102362204722" footer="0.51181102362204722"/>
  <pageSetup scale="89" orientation="landscape" r:id="rId1"/>
  <headerFooter scaleWithDoc="0">
    <oddFooter>&amp;L&amp;"Agfa Rotis Sans Serif,Regular"(c) Markus Maedler | 2009-2022&amp;R&amp;"Agfa Rotis Sans Serif,Regular"&amp;F |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zoomScaleNormal="100" workbookViewId="0"/>
  </sheetViews>
  <sheetFormatPr defaultRowHeight="12.75" x14ac:dyDescent="0.2"/>
  <cols>
    <col min="1" max="1" width="39.5703125" customWidth="1"/>
    <col min="2" max="2" width="8.5703125" bestFit="1" customWidth="1"/>
    <col min="3" max="3" width="7.5703125" bestFit="1" customWidth="1"/>
    <col min="4" max="4" width="1.7109375" style="50" customWidth="1"/>
    <col min="5" max="5" width="11.140625" customWidth="1"/>
    <col min="6" max="6" width="1.7109375" style="50" customWidth="1"/>
    <col min="7" max="7" width="11.140625" customWidth="1"/>
    <col min="8" max="8" width="3" customWidth="1"/>
    <col min="9" max="9" width="3" style="38" customWidth="1"/>
    <col min="10" max="10" width="39.5703125" customWidth="1"/>
    <col min="11" max="12" width="7.5703125" customWidth="1"/>
    <col min="13" max="13" width="1.7109375" customWidth="1"/>
    <col min="14" max="14" width="11.140625" customWidth="1"/>
    <col min="15" max="15" width="1.7109375" customWidth="1"/>
    <col min="16" max="16" width="11.140625" customWidth="1"/>
  </cols>
  <sheetData>
    <row r="1" spans="1:16" x14ac:dyDescent="0.2">
      <c r="A1" s="1" t="s">
        <v>25</v>
      </c>
    </row>
    <row r="2" spans="1:16" x14ac:dyDescent="0.2">
      <c r="A2" s="48" t="s">
        <v>233</v>
      </c>
      <c r="B2" s="36"/>
      <c r="C2" s="36"/>
      <c r="D2" s="36"/>
      <c r="E2" s="36"/>
      <c r="F2" s="36"/>
      <c r="G2" s="36"/>
    </row>
    <row r="3" spans="1:16" x14ac:dyDescent="0.2">
      <c r="A3" s="106" t="s">
        <v>162</v>
      </c>
      <c r="B3" s="36"/>
      <c r="C3" s="36"/>
      <c r="D3" s="36"/>
      <c r="E3" s="36"/>
      <c r="F3" s="36"/>
      <c r="G3" s="36"/>
    </row>
    <row r="4" spans="1:16" x14ac:dyDescent="0.2">
      <c r="A4" s="106"/>
      <c r="B4" s="14"/>
      <c r="C4" s="14"/>
      <c r="D4" s="14"/>
      <c r="E4" s="14"/>
      <c r="F4" s="14"/>
      <c r="G4" s="14"/>
    </row>
    <row r="5" spans="1:16" ht="12.75" customHeight="1" x14ac:dyDescent="0.2">
      <c r="A5" s="148" t="s">
        <v>73</v>
      </c>
      <c r="B5" s="149" t="s">
        <v>25</v>
      </c>
      <c r="C5" s="149"/>
      <c r="D5" s="149"/>
      <c r="E5" s="149"/>
      <c r="F5" s="149"/>
      <c r="G5" s="149"/>
      <c r="H5" s="35"/>
      <c r="I5" s="59"/>
      <c r="J5" s="148" t="s">
        <v>74</v>
      </c>
      <c r="K5" s="149" t="s">
        <v>25</v>
      </c>
      <c r="L5" s="149"/>
      <c r="M5" s="149"/>
      <c r="N5" s="149"/>
      <c r="O5" s="149"/>
      <c r="P5" s="149"/>
    </row>
    <row r="6" spans="1:16" x14ac:dyDescent="0.2">
      <c r="A6" s="148"/>
      <c r="B6" s="143" t="s">
        <v>31</v>
      </c>
      <c r="C6" s="143"/>
      <c r="D6" s="143"/>
      <c r="E6" s="143"/>
      <c r="F6" s="143"/>
      <c r="G6" s="143"/>
      <c r="H6" s="35"/>
      <c r="I6" s="59"/>
      <c r="J6" s="148"/>
      <c r="K6" s="143" t="s">
        <v>31</v>
      </c>
      <c r="L6" s="143"/>
      <c r="M6" s="143"/>
      <c r="N6" s="143"/>
      <c r="O6" s="143"/>
      <c r="P6" s="143"/>
    </row>
    <row r="7" spans="1:16" x14ac:dyDescent="0.2">
      <c r="A7" s="148"/>
      <c r="B7" s="143" t="s">
        <v>72</v>
      </c>
      <c r="C7" s="143"/>
      <c r="D7" s="143"/>
      <c r="E7" s="143"/>
      <c r="F7" s="143"/>
      <c r="G7" s="143"/>
      <c r="H7" s="35"/>
      <c r="I7" s="59"/>
      <c r="J7" s="148"/>
      <c r="K7" s="143" t="s">
        <v>72</v>
      </c>
      <c r="L7" s="143"/>
      <c r="M7" s="143"/>
      <c r="N7" s="143"/>
      <c r="O7" s="143"/>
      <c r="P7" s="143"/>
    </row>
    <row r="8" spans="1:16" ht="12.75" customHeight="1" x14ac:dyDescent="0.2">
      <c r="A8" s="148"/>
      <c r="B8" s="144" t="s">
        <v>149</v>
      </c>
      <c r="C8" s="144"/>
      <c r="D8" s="144"/>
      <c r="E8" s="144"/>
      <c r="F8" s="144"/>
      <c r="G8" s="144"/>
      <c r="H8" s="35"/>
      <c r="I8" s="59"/>
      <c r="J8" s="148"/>
      <c r="K8" s="144" t="s">
        <v>149</v>
      </c>
      <c r="L8" s="144"/>
      <c r="M8" s="144"/>
      <c r="N8" s="144"/>
      <c r="O8" s="144"/>
      <c r="P8" s="144"/>
    </row>
    <row r="9" spans="1:16" ht="6" customHeight="1" x14ac:dyDescent="0.2">
      <c r="A9" s="48"/>
      <c r="B9" s="44"/>
      <c r="C9" s="44"/>
      <c r="D9" s="44"/>
      <c r="E9" s="44"/>
      <c r="F9" s="44"/>
      <c r="G9" s="44"/>
      <c r="I9" s="136"/>
    </row>
    <row r="10" spans="1:16" x14ac:dyDescent="0.2">
      <c r="A10" s="48" t="s">
        <v>149</v>
      </c>
      <c r="B10" s="145" t="s">
        <v>26</v>
      </c>
      <c r="C10" s="145"/>
      <c r="D10" s="44"/>
      <c r="E10" s="3" t="s">
        <v>27</v>
      </c>
      <c r="F10" s="44"/>
      <c r="G10" s="3" t="s">
        <v>32</v>
      </c>
      <c r="I10" s="136"/>
      <c r="J10" s="48" t="s">
        <v>149</v>
      </c>
      <c r="K10" s="145" t="s">
        <v>26</v>
      </c>
      <c r="L10" s="145"/>
      <c r="M10" s="44"/>
      <c r="N10" s="3" t="s">
        <v>27</v>
      </c>
      <c r="O10" s="44"/>
      <c r="P10" s="3" t="s">
        <v>32</v>
      </c>
    </row>
    <row r="11" spans="1:16" ht="6" customHeight="1" x14ac:dyDescent="0.2">
      <c r="A11" s="48"/>
      <c r="B11" s="44"/>
      <c r="C11" s="44"/>
      <c r="D11" s="44"/>
      <c r="E11" s="44"/>
      <c r="F11" s="44"/>
      <c r="G11" s="44"/>
      <c r="I11" s="136"/>
      <c r="M11" s="50"/>
      <c r="O11" s="50"/>
    </row>
    <row r="12" spans="1:16" x14ac:dyDescent="0.2">
      <c r="A12" s="1" t="s">
        <v>36</v>
      </c>
      <c r="B12" s="28" t="s">
        <v>35</v>
      </c>
      <c r="C12" s="28" t="s">
        <v>34</v>
      </c>
      <c r="I12" s="137"/>
      <c r="K12" s="28" t="s">
        <v>35</v>
      </c>
      <c r="L12" s="28" t="s">
        <v>34</v>
      </c>
    </row>
    <row r="13" spans="1:16" x14ac:dyDescent="0.2">
      <c r="A13" s="48" t="s">
        <v>113</v>
      </c>
      <c r="B13">
        <v>138</v>
      </c>
      <c r="C13" s="11">
        <v>800</v>
      </c>
      <c r="D13" s="51"/>
      <c r="G13" s="4">
        <f>B13*C13</f>
        <v>110400</v>
      </c>
      <c r="I13" s="136"/>
    </row>
    <row r="14" spans="1:16" x14ac:dyDescent="0.2">
      <c r="A14" s="48" t="s">
        <v>89</v>
      </c>
      <c r="C14" s="11"/>
      <c r="D14" s="51"/>
      <c r="G14" s="4"/>
      <c r="I14" s="136"/>
    </row>
    <row r="15" spans="1:16" x14ac:dyDescent="0.2">
      <c r="A15" t="s">
        <v>15</v>
      </c>
      <c r="B15">
        <f>B13</f>
        <v>138</v>
      </c>
      <c r="C15" s="11">
        <v>-4.7</v>
      </c>
      <c r="D15" s="21"/>
      <c r="E15" s="21"/>
      <c r="F15" s="21"/>
      <c r="G15" s="4">
        <f>B15*C15</f>
        <v>-648.6</v>
      </c>
      <c r="I15" s="136"/>
    </row>
    <row r="16" spans="1:16" x14ac:dyDescent="0.2">
      <c r="A16" t="s">
        <v>23</v>
      </c>
      <c r="B16" s="63">
        <f>B15</f>
        <v>138</v>
      </c>
      <c r="C16" s="64">
        <v>-24</v>
      </c>
      <c r="D16" s="62"/>
      <c r="E16" s="62"/>
      <c r="F16" s="62"/>
      <c r="G16" s="4">
        <f>B16*C16</f>
        <v>-3312</v>
      </c>
      <c r="I16" s="136"/>
    </row>
    <row r="17" spans="1:16" s="79" customFormat="1" ht="13.5" thickBot="1" x14ac:dyDescent="0.25">
      <c r="A17" s="79" t="s">
        <v>153</v>
      </c>
      <c r="C17" s="124">
        <f>C13+C15+C16</f>
        <v>771.3</v>
      </c>
      <c r="D17" s="125"/>
      <c r="E17" s="126"/>
      <c r="F17" s="125"/>
      <c r="G17" s="127">
        <f>G13+G15+G16</f>
        <v>106439.4</v>
      </c>
      <c r="I17" s="137"/>
    </row>
    <row r="18" spans="1:16" ht="6" customHeight="1" thickTop="1" x14ac:dyDescent="0.2">
      <c r="A18" s="48"/>
      <c r="B18" s="44"/>
      <c r="C18" s="44"/>
      <c r="D18" s="44"/>
      <c r="E18" s="44"/>
      <c r="F18" s="44"/>
      <c r="G18" s="44"/>
      <c r="I18" s="136"/>
    </row>
    <row r="19" spans="1:16" x14ac:dyDescent="0.2">
      <c r="A19" s="48" t="s">
        <v>151</v>
      </c>
      <c r="B19">
        <v>0</v>
      </c>
      <c r="C19" s="11">
        <v>400</v>
      </c>
      <c r="D19" s="21"/>
      <c r="E19" s="5"/>
      <c r="F19" s="21"/>
      <c r="G19" s="4">
        <f>B19*C19</f>
        <v>0</v>
      </c>
      <c r="I19" s="136"/>
    </row>
    <row r="20" spans="1:16" x14ac:dyDescent="0.2">
      <c r="A20" s="48" t="s">
        <v>89</v>
      </c>
      <c r="C20" s="11"/>
      <c r="D20" s="21"/>
      <c r="E20" s="5"/>
      <c r="F20" s="21"/>
      <c r="G20" s="4"/>
      <c r="I20" s="136"/>
      <c r="J20" s="48" t="s">
        <v>89</v>
      </c>
    </row>
    <row r="21" spans="1:16" x14ac:dyDescent="0.2">
      <c r="A21" t="s">
        <v>15</v>
      </c>
      <c r="B21">
        <v>205</v>
      </c>
      <c r="C21" s="11">
        <v>-4.7</v>
      </c>
      <c r="D21" s="21"/>
      <c r="E21" s="5"/>
      <c r="F21" s="21"/>
      <c r="G21" s="4">
        <f>B21*C21</f>
        <v>-963.5</v>
      </c>
      <c r="I21" s="136"/>
      <c r="J21" s="150" t="s">
        <v>227</v>
      </c>
      <c r="M21" s="50"/>
      <c r="O21" s="50"/>
    </row>
    <row r="22" spans="1:16" x14ac:dyDescent="0.2">
      <c r="A22" t="s">
        <v>23</v>
      </c>
      <c r="B22" s="63">
        <f>B21</f>
        <v>205</v>
      </c>
      <c r="C22" s="64">
        <v>-24</v>
      </c>
      <c r="D22" s="21"/>
      <c r="E22" s="5"/>
      <c r="F22" s="21"/>
      <c r="G22" s="4">
        <f>B22*C22</f>
        <v>-4920</v>
      </c>
      <c r="I22" s="136"/>
      <c r="J22" s="151"/>
      <c r="K22" s="2">
        <v>205</v>
      </c>
      <c r="L22" s="64">
        <v>-800</v>
      </c>
      <c r="M22" s="51"/>
      <c r="N22" s="4"/>
      <c r="O22" s="51"/>
      <c r="P22" s="4">
        <f>K22*L22</f>
        <v>-164000</v>
      </c>
    </row>
    <row r="23" spans="1:16" s="79" customFormat="1" ht="13.5" thickBot="1" x14ac:dyDescent="0.25">
      <c r="A23" s="79" t="s">
        <v>157</v>
      </c>
      <c r="C23" s="124">
        <f>C19+C21+C22</f>
        <v>371.3</v>
      </c>
      <c r="D23" s="125"/>
      <c r="E23" s="126"/>
      <c r="F23" s="125"/>
      <c r="G23" s="127">
        <f>G19+G21+G22</f>
        <v>-5883.5</v>
      </c>
      <c r="I23" s="137"/>
      <c r="L23" s="124">
        <f>L19+L21+L22</f>
        <v>-800</v>
      </c>
      <c r="P23" s="127">
        <f>P19+P21+P22</f>
        <v>-164000</v>
      </c>
    </row>
    <row r="24" spans="1:16" ht="6" customHeight="1" thickTop="1" x14ac:dyDescent="0.2">
      <c r="A24" s="48"/>
      <c r="B24" s="44"/>
      <c r="C24" s="44"/>
      <c r="D24" s="44"/>
      <c r="E24" s="44"/>
      <c r="F24" s="44"/>
      <c r="G24" s="44"/>
      <c r="I24" s="136"/>
    </row>
    <row r="25" spans="1:16" x14ac:dyDescent="0.2">
      <c r="A25" s="48" t="s">
        <v>152</v>
      </c>
      <c r="C25" s="54"/>
      <c r="D25" s="21"/>
      <c r="E25" s="5"/>
      <c r="F25" s="21"/>
      <c r="G25" s="51">
        <f>G17+G23</f>
        <v>100555.9</v>
      </c>
      <c r="I25" s="136"/>
    </row>
    <row r="26" spans="1:16" ht="6" customHeight="1" x14ac:dyDescent="0.2">
      <c r="A26" s="48"/>
      <c r="B26" s="44"/>
      <c r="C26" s="44"/>
      <c r="D26" s="44"/>
      <c r="E26" s="44"/>
      <c r="F26" s="44"/>
      <c r="G26" s="44"/>
      <c r="I26" s="136"/>
    </row>
    <row r="27" spans="1:16" ht="12.75" customHeight="1" x14ac:dyDescent="0.2">
      <c r="A27" s="1" t="s">
        <v>101</v>
      </c>
      <c r="C27" s="11"/>
      <c r="D27" s="21"/>
      <c r="E27" s="5"/>
      <c r="F27" s="21"/>
      <c r="G27" s="20"/>
      <c r="I27" s="138"/>
      <c r="J27" s="46"/>
      <c r="K27" s="46"/>
      <c r="L27" s="46"/>
      <c r="M27" s="46"/>
      <c r="N27" s="46"/>
      <c r="O27" s="46"/>
    </row>
    <row r="28" spans="1:16" ht="12.75" customHeight="1" x14ac:dyDescent="0.2">
      <c r="A28" s="48" t="s">
        <v>139</v>
      </c>
      <c r="C28" s="11"/>
      <c r="D28" s="21"/>
      <c r="E28" s="4">
        <v>0</v>
      </c>
      <c r="F28" s="21"/>
      <c r="G28" s="4">
        <f>E28</f>
        <v>0</v>
      </c>
      <c r="I28" s="138"/>
      <c r="J28" s="46"/>
      <c r="K28" s="46"/>
      <c r="L28" s="46"/>
      <c r="M28" s="46"/>
      <c r="N28" s="46"/>
      <c r="O28" s="46"/>
    </row>
    <row r="29" spans="1:16" x14ac:dyDescent="0.2">
      <c r="A29" s="75" t="s">
        <v>133</v>
      </c>
      <c r="B29" s="50"/>
      <c r="C29" s="50"/>
      <c r="D29" s="51"/>
      <c r="E29" s="4">
        <f>-'2a CB (abr)'!E17</f>
        <v>-126580</v>
      </c>
      <c r="F29" s="51"/>
      <c r="G29" s="4">
        <f>E29</f>
        <v>-126580</v>
      </c>
      <c r="I29" s="138"/>
      <c r="J29" s="46"/>
      <c r="K29" s="46"/>
      <c r="L29" s="46"/>
      <c r="M29" s="46"/>
      <c r="N29" s="46"/>
      <c r="O29" s="46"/>
    </row>
    <row r="30" spans="1:16" x14ac:dyDescent="0.2">
      <c r="A30" s="75" t="s">
        <v>136</v>
      </c>
      <c r="B30" s="50"/>
      <c r="C30" s="50"/>
      <c r="D30" s="51"/>
      <c r="E30" s="4">
        <f>-'2a CB (abr)'!E21</f>
        <v>-53800</v>
      </c>
      <c r="F30" s="51"/>
      <c r="G30" s="4">
        <f>E30</f>
        <v>-53800</v>
      </c>
      <c r="I30" s="138"/>
      <c r="J30" s="46"/>
      <c r="K30" s="46"/>
      <c r="L30" s="46"/>
      <c r="M30" s="46"/>
      <c r="N30" s="46"/>
      <c r="O30" s="46"/>
    </row>
    <row r="31" spans="1:16" x14ac:dyDescent="0.2">
      <c r="A31" s="48" t="s">
        <v>20</v>
      </c>
      <c r="D31" s="51"/>
      <c r="E31" s="4">
        <v>-8083</v>
      </c>
      <c r="F31" s="51"/>
      <c r="G31" s="4">
        <f>E31</f>
        <v>-8083</v>
      </c>
      <c r="I31" s="138"/>
      <c r="J31" s="46"/>
      <c r="K31" s="46"/>
      <c r="L31" s="46"/>
      <c r="M31" s="46"/>
      <c r="N31" s="46"/>
      <c r="O31" s="46"/>
    </row>
    <row r="32" spans="1:16" x14ac:dyDescent="0.2">
      <c r="A32" s="75" t="s">
        <v>28</v>
      </c>
      <c r="B32" s="50"/>
      <c r="C32" s="50"/>
      <c r="D32" s="51"/>
      <c r="E32" s="4">
        <v>0</v>
      </c>
      <c r="F32" s="51"/>
      <c r="G32" s="4">
        <f>E32</f>
        <v>0</v>
      </c>
      <c r="I32" s="138"/>
      <c r="J32" s="46"/>
      <c r="K32" s="46"/>
      <c r="L32" s="46"/>
      <c r="M32" s="46"/>
      <c r="N32" s="46"/>
      <c r="O32" s="46"/>
    </row>
    <row r="33" spans="1:16" s="79" customFormat="1" ht="13.5" thickBot="1" x14ac:dyDescent="0.25">
      <c r="A33" s="128" t="s">
        <v>92</v>
      </c>
      <c r="B33" s="129"/>
      <c r="C33" s="129"/>
      <c r="D33" s="130"/>
      <c r="E33" s="127">
        <f>SUM(E28:E32)</f>
        <v>-188463</v>
      </c>
      <c r="F33" s="130"/>
      <c r="G33" s="127">
        <f>SUM(G28:G32)</f>
        <v>-188463</v>
      </c>
      <c r="I33" s="137"/>
      <c r="J33" s="79" t="s">
        <v>228</v>
      </c>
      <c r="L33" s="127">
        <f>SUM(L22:L22)</f>
        <v>-800</v>
      </c>
      <c r="M33" s="130"/>
      <c r="N33" s="127">
        <v>0</v>
      </c>
      <c r="O33" s="130"/>
      <c r="P33" s="127">
        <f>P23</f>
        <v>-164000</v>
      </c>
    </row>
    <row r="34" spans="1:16" ht="6" customHeight="1" thickTop="1" x14ac:dyDescent="0.2">
      <c r="A34" s="48"/>
      <c r="B34" s="44"/>
      <c r="C34" s="44"/>
      <c r="D34" s="44"/>
      <c r="E34" s="44"/>
      <c r="F34" s="44"/>
      <c r="G34" s="44"/>
      <c r="I34" s="136"/>
    </row>
    <row r="35" spans="1:16" s="48" customFormat="1" x14ac:dyDescent="0.2">
      <c r="A35" s="73" t="s">
        <v>22</v>
      </c>
      <c r="B35" s="81"/>
      <c r="C35" s="81"/>
      <c r="D35" s="85"/>
      <c r="E35" s="85"/>
      <c r="F35" s="85"/>
      <c r="G35" s="53">
        <f>G25+G33</f>
        <v>-87907.1</v>
      </c>
      <c r="I35" s="136"/>
      <c r="J35" s="36" t="s">
        <v>22</v>
      </c>
      <c r="K35" s="36"/>
      <c r="L35" s="55"/>
      <c r="M35" s="135"/>
      <c r="N35" s="135"/>
      <c r="O35" s="135"/>
      <c r="P35" s="135">
        <f>P33</f>
        <v>-164000</v>
      </c>
    </row>
  </sheetData>
  <mergeCells count="13">
    <mergeCell ref="J21:J22"/>
    <mergeCell ref="J5:J8"/>
    <mergeCell ref="K5:P5"/>
    <mergeCell ref="B6:G6"/>
    <mergeCell ref="K6:P6"/>
    <mergeCell ref="B7:G7"/>
    <mergeCell ref="K7:P7"/>
    <mergeCell ref="B8:G8"/>
    <mergeCell ref="K8:P8"/>
    <mergeCell ref="B10:C10"/>
    <mergeCell ref="A5:A8"/>
    <mergeCell ref="B5:G5"/>
    <mergeCell ref="K10:L10"/>
  </mergeCells>
  <pageMargins left="0.51181102362204722" right="0.51181102362204722" top="1.1417322834645669" bottom="0.74803149606299213" header="0.51181102362204722" footer="0.51181102362204722"/>
  <pageSetup scale="76" orientation="landscape" r:id="rId1"/>
  <headerFooter scaleWithDoc="0">
    <oddFooter>&amp;L&amp;"Agfa Rotis Sans Serif,Regular"(c) Markus Maedler | 2009-2022&amp;R&amp;"Agfa Rotis Sans Serif,Regular"&amp;F | 3a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topLeftCell="A8" zoomScaleNormal="100" workbookViewId="0">
      <selection activeCell="A34" sqref="A34"/>
    </sheetView>
  </sheetViews>
  <sheetFormatPr defaultRowHeight="12.75" x14ac:dyDescent="0.2"/>
  <cols>
    <col min="1" max="1" width="39.5703125" customWidth="1"/>
    <col min="2" max="2" width="8.5703125" bestFit="1" customWidth="1"/>
    <col min="3" max="3" width="7.5703125" bestFit="1" customWidth="1"/>
    <col min="4" max="4" width="1.7109375" style="50" customWidth="1"/>
    <col min="5" max="5" width="11.140625" customWidth="1"/>
    <col min="6" max="6" width="1.7109375" style="50" customWidth="1"/>
    <col min="7" max="7" width="11.140625" customWidth="1"/>
    <col min="8" max="8" width="3" customWidth="1"/>
  </cols>
  <sheetData>
    <row r="1" spans="1:14" x14ac:dyDescent="0.2">
      <c r="A1" s="1" t="s">
        <v>25</v>
      </c>
    </row>
    <row r="2" spans="1:14" x14ac:dyDescent="0.2">
      <c r="A2" s="48" t="s">
        <v>221</v>
      </c>
      <c r="B2" s="143" t="s">
        <v>76</v>
      </c>
      <c r="C2" s="143"/>
      <c r="D2" s="143"/>
      <c r="E2" s="143"/>
      <c r="F2" s="143"/>
      <c r="G2" s="143"/>
    </row>
    <row r="3" spans="1:14" x14ac:dyDescent="0.2">
      <c r="A3" s="106" t="s">
        <v>161</v>
      </c>
      <c r="B3" s="143" t="s">
        <v>132</v>
      </c>
      <c r="C3" s="143"/>
      <c r="D3" s="143"/>
      <c r="E3" s="143"/>
      <c r="F3" s="143"/>
      <c r="G3" s="143"/>
    </row>
    <row r="4" spans="1:14" x14ac:dyDescent="0.2">
      <c r="B4" s="144" t="s">
        <v>53</v>
      </c>
      <c r="C4" s="144"/>
      <c r="D4" s="144"/>
      <c r="E4" s="144"/>
      <c r="F4" s="144"/>
      <c r="G4" s="144"/>
    </row>
    <row r="5" spans="1:14" ht="6.6" customHeight="1" x14ac:dyDescent="0.2">
      <c r="A5" s="1"/>
    </row>
    <row r="6" spans="1:14" x14ac:dyDescent="0.2">
      <c r="A6" s="48" t="s">
        <v>149</v>
      </c>
      <c r="B6" s="145" t="s">
        <v>26</v>
      </c>
      <c r="C6" s="145"/>
      <c r="D6" s="44"/>
      <c r="E6" s="3" t="s">
        <v>27</v>
      </c>
      <c r="F6" s="44"/>
      <c r="G6" s="3" t="s">
        <v>32</v>
      </c>
    </row>
    <row r="7" spans="1:14" ht="6.6" customHeight="1" x14ac:dyDescent="0.2">
      <c r="A7" s="48"/>
      <c r="B7" s="44"/>
      <c r="C7" s="44"/>
      <c r="D7" s="44"/>
      <c r="E7" s="44"/>
      <c r="F7" s="44"/>
      <c r="G7" s="44"/>
    </row>
    <row r="8" spans="1:14" x14ac:dyDescent="0.2">
      <c r="A8" s="1" t="s">
        <v>36</v>
      </c>
      <c r="B8" s="28" t="s">
        <v>35</v>
      </c>
      <c r="C8" s="28" t="s">
        <v>34</v>
      </c>
    </row>
    <row r="9" spans="1:14" x14ac:dyDescent="0.2">
      <c r="A9" t="s">
        <v>113</v>
      </c>
      <c r="B9">
        <v>138</v>
      </c>
      <c r="C9" s="11">
        <v>800</v>
      </c>
      <c r="D9" s="51"/>
      <c r="G9" s="4">
        <f>B9*C9</f>
        <v>110400</v>
      </c>
    </row>
    <row r="10" spans="1:14" x14ac:dyDescent="0.2">
      <c r="A10" s="48" t="s">
        <v>89</v>
      </c>
      <c r="C10" s="11"/>
      <c r="D10" s="51"/>
      <c r="G10" s="4"/>
    </row>
    <row r="11" spans="1:14" x14ac:dyDescent="0.2">
      <c r="A11" t="s">
        <v>15</v>
      </c>
      <c r="B11">
        <f>B9</f>
        <v>138</v>
      </c>
      <c r="C11" s="11">
        <v>-4.7</v>
      </c>
      <c r="D11" s="21"/>
      <c r="E11" s="21"/>
      <c r="F11" s="21"/>
      <c r="G11" s="4">
        <f>B11*C11</f>
        <v>-648.6</v>
      </c>
    </row>
    <row r="12" spans="1:14" x14ac:dyDescent="0.2">
      <c r="A12" t="s">
        <v>23</v>
      </c>
      <c r="B12" s="63">
        <f>B11</f>
        <v>138</v>
      </c>
      <c r="C12" s="64">
        <v>-24</v>
      </c>
      <c r="D12" s="62"/>
      <c r="E12" s="62"/>
      <c r="F12" s="62"/>
      <c r="G12" s="4">
        <f>B12*C12</f>
        <v>-3312</v>
      </c>
    </row>
    <row r="13" spans="1:14" s="79" customFormat="1" ht="13.5" thickBot="1" x14ac:dyDescent="0.25">
      <c r="A13" s="79" t="s">
        <v>148</v>
      </c>
      <c r="C13" s="124">
        <f>C9+C11+C12</f>
        <v>771.3</v>
      </c>
      <c r="D13" s="125"/>
      <c r="E13" s="126"/>
      <c r="F13" s="125"/>
      <c r="G13" s="127">
        <f>G9+G11+G12</f>
        <v>106439.4</v>
      </c>
    </row>
    <row r="14" spans="1:14" ht="6.6" customHeight="1" thickTop="1" x14ac:dyDescent="0.2">
      <c r="A14" s="15"/>
      <c r="C14" s="11"/>
      <c r="D14" s="21"/>
      <c r="E14" s="5"/>
      <c r="F14" s="21"/>
      <c r="G14" s="20"/>
    </row>
    <row r="15" spans="1:14" ht="12.75" customHeight="1" x14ac:dyDescent="0.2">
      <c r="A15" s="1" t="s">
        <v>115</v>
      </c>
      <c r="C15" s="11"/>
      <c r="D15" s="21"/>
      <c r="E15" s="5"/>
      <c r="F15" s="21"/>
      <c r="G15" s="20"/>
      <c r="I15" s="46"/>
      <c r="J15" s="46"/>
      <c r="K15" s="46"/>
      <c r="L15" s="46"/>
      <c r="M15" s="46"/>
      <c r="N15" s="46"/>
    </row>
    <row r="16" spans="1:14" x14ac:dyDescent="0.2">
      <c r="A16" t="s">
        <v>20</v>
      </c>
      <c r="D16" s="51"/>
      <c r="E16" s="4">
        <v>-8083</v>
      </c>
      <c r="F16" s="51"/>
      <c r="G16" s="4">
        <f>E16</f>
        <v>-8083</v>
      </c>
      <c r="I16" s="46"/>
      <c r="J16" s="46"/>
      <c r="K16" s="46"/>
      <c r="L16" s="46"/>
      <c r="M16" s="46"/>
      <c r="N16" s="46"/>
    </row>
    <row r="17" spans="1:14" x14ac:dyDescent="0.2">
      <c r="A17" s="75" t="s">
        <v>133</v>
      </c>
      <c r="B17" s="50"/>
      <c r="C17" s="50"/>
      <c r="D17" s="51"/>
      <c r="E17" s="4">
        <f>-'2a CB (abr)'!E17</f>
        <v>-126580</v>
      </c>
      <c r="F17" s="51"/>
      <c r="G17" s="4">
        <f>E17</f>
        <v>-126580</v>
      </c>
      <c r="I17" s="46"/>
      <c r="J17" s="46"/>
      <c r="K17" s="46"/>
      <c r="L17" s="46"/>
      <c r="M17" s="46"/>
      <c r="N17" s="46"/>
    </row>
    <row r="18" spans="1:14" x14ac:dyDescent="0.2">
      <c r="A18" s="75" t="s">
        <v>136</v>
      </c>
      <c r="B18" s="50"/>
      <c r="C18" s="50"/>
      <c r="D18" s="51"/>
      <c r="E18" s="4">
        <f>-'2a CB (abr)'!E21</f>
        <v>-53800</v>
      </c>
      <c r="F18" s="51"/>
      <c r="G18" s="4">
        <f>E18</f>
        <v>-53800</v>
      </c>
      <c r="I18" s="46"/>
      <c r="J18" s="46"/>
      <c r="K18" s="46"/>
      <c r="L18" s="46"/>
      <c r="M18" s="46"/>
      <c r="N18" s="46"/>
    </row>
    <row r="19" spans="1:14" s="79" customFormat="1" ht="13.5" thickBot="1" x14ac:dyDescent="0.25">
      <c r="A19" s="128" t="s">
        <v>116</v>
      </c>
      <c r="B19" s="129"/>
      <c r="C19" s="129"/>
      <c r="D19" s="130"/>
      <c r="E19" s="127">
        <f>SUM(E16:E18)</f>
        <v>-188463</v>
      </c>
      <c r="F19" s="130"/>
      <c r="G19" s="127">
        <f>SUM(G16:G18)</f>
        <v>-188463</v>
      </c>
    </row>
    <row r="20" spans="1:14" ht="7.15" customHeight="1" thickTop="1" x14ac:dyDescent="0.2">
      <c r="A20" s="41"/>
      <c r="B20" s="50"/>
      <c r="C20" s="50"/>
      <c r="D20" s="51"/>
      <c r="E20" s="51"/>
      <c r="F20" s="51"/>
      <c r="G20" s="51"/>
    </row>
    <row r="21" spans="1:14" s="1" customFormat="1" x14ac:dyDescent="0.2">
      <c r="A21" s="73" t="s">
        <v>141</v>
      </c>
      <c r="B21" s="56"/>
      <c r="C21" s="56"/>
      <c r="D21" s="53"/>
      <c r="E21" s="53"/>
      <c r="F21" s="53"/>
      <c r="G21" s="53">
        <f>G13+G19</f>
        <v>-82023.600000000006</v>
      </c>
    </row>
    <row r="22" spans="1:14" s="48" customFormat="1" ht="6.6" customHeight="1" x14ac:dyDescent="0.2">
      <c r="A22" s="75"/>
      <c r="B22" s="81"/>
      <c r="C22" s="81"/>
      <c r="D22" s="85"/>
      <c r="E22" s="85"/>
      <c r="F22" s="85"/>
      <c r="G22" s="85"/>
    </row>
    <row r="23" spans="1:14" s="48" customFormat="1" x14ac:dyDescent="0.2">
      <c r="A23" s="73" t="s">
        <v>143</v>
      </c>
      <c r="B23" s="81"/>
      <c r="C23" s="81"/>
      <c r="D23" s="85"/>
      <c r="E23" s="85"/>
      <c r="F23" s="85"/>
      <c r="G23" s="85"/>
    </row>
    <row r="24" spans="1:14" s="48" customFormat="1" x14ac:dyDescent="0.2">
      <c r="A24" s="48" t="s">
        <v>150</v>
      </c>
      <c r="B24" s="81">
        <v>205</v>
      </c>
      <c r="C24" s="81">
        <v>800</v>
      </c>
      <c r="D24" s="85"/>
      <c r="E24" s="85"/>
      <c r="F24" s="85"/>
      <c r="G24" s="85">
        <f>B24*C24</f>
        <v>164000</v>
      </c>
    </row>
    <row r="25" spans="1:14" s="48" customFormat="1" x14ac:dyDescent="0.2">
      <c r="A25" s="48" t="s">
        <v>89</v>
      </c>
      <c r="B25" s="81"/>
      <c r="C25" s="81"/>
      <c r="D25" s="85"/>
      <c r="E25" s="85"/>
      <c r="F25" s="85"/>
      <c r="G25" s="85"/>
    </row>
    <row r="26" spans="1:14" s="48" customFormat="1" x14ac:dyDescent="0.2">
      <c r="A26" s="76" t="s">
        <v>134</v>
      </c>
      <c r="B26" s="81">
        <f>B24</f>
        <v>205</v>
      </c>
      <c r="C26" s="104">
        <v>-4.7</v>
      </c>
      <c r="D26" s="85"/>
      <c r="E26" s="85"/>
      <c r="F26" s="85"/>
      <c r="G26" s="85">
        <f>B26*C26</f>
        <v>-963.5</v>
      </c>
    </row>
    <row r="27" spans="1:14" s="48" customFormat="1" x14ac:dyDescent="0.2">
      <c r="A27" s="76" t="s">
        <v>135</v>
      </c>
      <c r="B27" s="63">
        <f>B26</f>
        <v>205</v>
      </c>
      <c r="C27" s="104">
        <v>-24</v>
      </c>
      <c r="D27" s="85"/>
      <c r="E27" s="85"/>
      <c r="F27" s="85"/>
      <c r="G27" s="85">
        <f>B27*C27</f>
        <v>-4920</v>
      </c>
    </row>
    <row r="28" spans="1:14" s="79" customFormat="1" ht="13.5" thickBot="1" x14ac:dyDescent="0.25">
      <c r="A28" s="128" t="s">
        <v>146</v>
      </c>
      <c r="B28" s="129"/>
      <c r="C28" s="124">
        <f>C24+C26+C27</f>
        <v>771.3</v>
      </c>
      <c r="D28" s="130"/>
      <c r="E28" s="130"/>
      <c r="F28" s="130"/>
      <c r="G28" s="127">
        <f>SUM(G24:G27)</f>
        <v>158116.5</v>
      </c>
    </row>
    <row r="29" spans="1:14" s="48" customFormat="1" ht="6.6" customHeight="1" thickTop="1" x14ac:dyDescent="0.2">
      <c r="A29" s="75"/>
      <c r="B29" s="81"/>
      <c r="C29" s="81"/>
      <c r="D29" s="85"/>
      <c r="E29" s="85"/>
      <c r="F29" s="85"/>
      <c r="G29" s="85"/>
    </row>
    <row r="30" spans="1:14" s="48" customFormat="1" x14ac:dyDescent="0.2">
      <c r="A30" s="73" t="s">
        <v>142</v>
      </c>
      <c r="B30" s="81"/>
      <c r="C30" s="81"/>
      <c r="D30" s="85"/>
      <c r="E30" s="85"/>
      <c r="F30" s="85"/>
      <c r="G30" s="53">
        <f>G21+G28</f>
        <v>76092.899999999994</v>
      </c>
    </row>
    <row r="31" spans="1:14" s="1" customFormat="1" x14ac:dyDescent="0.2">
      <c r="A31" s="73"/>
      <c r="B31" s="56"/>
      <c r="C31" s="56"/>
      <c r="D31" s="53"/>
      <c r="E31" s="53"/>
      <c r="F31" s="53"/>
      <c r="G31" s="53"/>
    </row>
  </sheetData>
  <mergeCells count="4">
    <mergeCell ref="B2:G2"/>
    <mergeCell ref="B3:G3"/>
    <mergeCell ref="B4:G4"/>
    <mergeCell ref="B6:C6"/>
  </mergeCells>
  <pageMargins left="0.51181102362204722" right="0.51181102362204722" top="1.1417322834645669" bottom="0.74803149606299213" header="0.51181102362204722" footer="0.51181102362204722"/>
  <pageSetup orientation="landscape" r:id="rId1"/>
  <headerFooter scaleWithDoc="0">
    <oddFooter>&amp;L&amp;"Agfa Rotis Sans Serif,Regular"(c) Markus Maedler | 2009-2022&amp;R&amp;"Agfa Rotis Sans Serif,Regular"&amp;F | 6a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view="pageLayout" topLeftCell="A29" zoomScaleNormal="100" workbookViewId="0">
      <selection activeCell="A41" sqref="A41"/>
    </sheetView>
  </sheetViews>
  <sheetFormatPr defaultRowHeight="12.75" outlineLevelRow="1" x14ac:dyDescent="0.2"/>
  <cols>
    <col min="1" max="1" width="39.5703125" customWidth="1"/>
    <col min="2" max="2" width="8.5703125" bestFit="1" customWidth="1"/>
    <col min="3" max="3" width="7.5703125" bestFit="1" customWidth="1"/>
    <col min="4" max="4" width="1.7109375" style="50" customWidth="1"/>
    <col min="5" max="5" width="11.140625" customWidth="1"/>
    <col min="6" max="6" width="1.7109375" style="50" customWidth="1"/>
    <col min="7" max="7" width="11.140625" customWidth="1"/>
    <col min="8" max="8" width="3" customWidth="1"/>
  </cols>
  <sheetData>
    <row r="1" spans="1:14" x14ac:dyDescent="0.2">
      <c r="A1" s="1" t="s">
        <v>25</v>
      </c>
    </row>
    <row r="2" spans="1:14" x14ac:dyDescent="0.2">
      <c r="A2" s="48" t="s">
        <v>222</v>
      </c>
      <c r="B2" s="143" t="s">
        <v>76</v>
      </c>
      <c r="C2" s="143"/>
      <c r="D2" s="143"/>
      <c r="E2" s="143"/>
      <c r="F2" s="143"/>
      <c r="G2" s="143"/>
    </row>
    <row r="3" spans="1:14" x14ac:dyDescent="0.2">
      <c r="A3" s="106" t="s">
        <v>165</v>
      </c>
      <c r="B3" s="143" t="s">
        <v>132</v>
      </c>
      <c r="C3" s="143"/>
      <c r="D3" s="143"/>
      <c r="E3" s="143"/>
      <c r="F3" s="143"/>
      <c r="G3" s="143"/>
    </row>
    <row r="4" spans="1:14" x14ac:dyDescent="0.2">
      <c r="B4" s="144" t="s">
        <v>149</v>
      </c>
      <c r="C4" s="144"/>
      <c r="D4" s="144"/>
      <c r="E4" s="144"/>
      <c r="F4" s="144"/>
      <c r="G4" s="144"/>
    </row>
    <row r="5" spans="1:14" ht="6.6" customHeight="1" x14ac:dyDescent="0.2">
      <c r="A5" s="1"/>
    </row>
    <row r="6" spans="1:14" x14ac:dyDescent="0.2">
      <c r="A6" s="48" t="s">
        <v>149</v>
      </c>
      <c r="B6" s="145" t="s">
        <v>26</v>
      </c>
      <c r="C6" s="145"/>
      <c r="D6" s="44"/>
      <c r="E6" s="3" t="s">
        <v>27</v>
      </c>
      <c r="F6" s="44"/>
      <c r="G6" s="3" t="s">
        <v>32</v>
      </c>
    </row>
    <row r="7" spans="1:14" ht="6.6" customHeight="1" x14ac:dyDescent="0.2">
      <c r="A7" s="48"/>
      <c r="B7" s="44"/>
      <c r="C7" s="44"/>
      <c r="D7" s="44"/>
      <c r="E7" s="44"/>
      <c r="F7" s="44"/>
      <c r="G7" s="44"/>
    </row>
    <row r="8" spans="1:14" x14ac:dyDescent="0.2">
      <c r="A8" s="1" t="s">
        <v>36</v>
      </c>
      <c r="B8" s="28" t="s">
        <v>35</v>
      </c>
      <c r="C8" s="28" t="s">
        <v>34</v>
      </c>
    </row>
    <row r="9" spans="1:14" x14ac:dyDescent="0.2">
      <c r="A9" t="s">
        <v>113</v>
      </c>
      <c r="B9">
        <v>138</v>
      </c>
      <c r="C9" s="11">
        <v>800</v>
      </c>
      <c r="D9" s="51"/>
      <c r="G9" s="4">
        <f>B9*C9</f>
        <v>110400</v>
      </c>
    </row>
    <row r="10" spans="1:14" x14ac:dyDescent="0.2">
      <c r="A10" s="48" t="s">
        <v>89</v>
      </c>
      <c r="C10" s="11"/>
      <c r="D10" s="51"/>
      <c r="G10" s="4">
        <f>G11+G12</f>
        <v>-3960.6</v>
      </c>
    </row>
    <row r="11" spans="1:14" hidden="1" outlineLevel="1" x14ac:dyDescent="0.2">
      <c r="A11" t="s">
        <v>15</v>
      </c>
      <c r="B11">
        <f>B9</f>
        <v>138</v>
      </c>
      <c r="C11" s="11">
        <v>-4.7</v>
      </c>
      <c r="D11" s="21"/>
      <c r="E11" s="21"/>
      <c r="F11" s="21"/>
      <c r="G11" s="4">
        <f>B11*C11</f>
        <v>-648.6</v>
      </c>
    </row>
    <row r="12" spans="1:14" hidden="1" outlineLevel="1" x14ac:dyDescent="0.2">
      <c r="A12" t="s">
        <v>23</v>
      </c>
      <c r="B12" s="63">
        <f>B11</f>
        <v>138</v>
      </c>
      <c r="C12" s="64">
        <v>-24</v>
      </c>
      <c r="D12" s="62"/>
      <c r="E12" s="62"/>
      <c r="F12" s="62"/>
      <c r="G12" s="4">
        <f>B12*C12</f>
        <v>-3312</v>
      </c>
    </row>
    <row r="13" spans="1:14" ht="13.5" collapsed="1" thickBot="1" x14ac:dyDescent="0.25">
      <c r="A13" s="48" t="s">
        <v>148</v>
      </c>
      <c r="C13" s="13">
        <f>C9+C11+C12</f>
        <v>771.3</v>
      </c>
      <c r="D13" s="21"/>
      <c r="E13" s="5"/>
      <c r="F13" s="21"/>
      <c r="G13" s="7">
        <f>G9+G11+G12</f>
        <v>106439.4</v>
      </c>
    </row>
    <row r="14" spans="1:14" ht="3.6" customHeight="1" thickTop="1" x14ac:dyDescent="0.2">
      <c r="A14" s="15"/>
      <c r="C14" s="11"/>
      <c r="D14" s="21"/>
      <c r="E14" s="5"/>
      <c r="F14" s="21"/>
      <c r="G14" s="20"/>
    </row>
    <row r="15" spans="1:14" ht="12.75" customHeight="1" x14ac:dyDescent="0.2">
      <c r="A15" s="1" t="s">
        <v>166</v>
      </c>
      <c r="C15" s="11"/>
      <c r="D15" s="21"/>
      <c r="E15" s="5"/>
      <c r="F15" s="21"/>
      <c r="G15" s="20"/>
      <c r="I15" s="46"/>
      <c r="J15" s="46"/>
      <c r="K15" s="46"/>
      <c r="L15" s="46"/>
      <c r="M15" s="46"/>
      <c r="N15" s="46"/>
    </row>
    <row r="16" spans="1:14" x14ac:dyDescent="0.2">
      <c r="A16" t="s">
        <v>20</v>
      </c>
      <c r="D16" s="51"/>
      <c r="E16" s="4">
        <v>-8083</v>
      </c>
      <c r="F16" s="51"/>
      <c r="G16" s="4">
        <f>E16</f>
        <v>-8083</v>
      </c>
      <c r="I16" s="46"/>
      <c r="J16" s="46"/>
      <c r="K16" s="46"/>
      <c r="L16" s="46"/>
      <c r="M16" s="46"/>
      <c r="N16" s="46"/>
    </row>
    <row r="17" spans="1:14" x14ac:dyDescent="0.2">
      <c r="A17" s="75" t="s">
        <v>133</v>
      </c>
      <c r="B17" s="152" t="s">
        <v>168</v>
      </c>
      <c r="C17" s="152"/>
      <c r="D17" s="51"/>
      <c r="E17" s="4">
        <f>-1/2*'2a CB (abr)'!E17</f>
        <v>-63290</v>
      </c>
      <c r="F17" s="51"/>
      <c r="G17" s="4">
        <f>E17</f>
        <v>-63290</v>
      </c>
      <c r="I17" s="46"/>
      <c r="J17" s="46"/>
      <c r="K17" s="46"/>
      <c r="L17" s="46"/>
      <c r="M17" s="46"/>
      <c r="N17" s="46"/>
    </row>
    <row r="18" spans="1:14" x14ac:dyDescent="0.2">
      <c r="A18" s="75" t="s">
        <v>136</v>
      </c>
      <c r="B18" s="152"/>
      <c r="C18" s="152"/>
      <c r="D18" s="51"/>
      <c r="E18" s="4">
        <f>-1/2*'2a CB (abr)'!E21</f>
        <v>-26900</v>
      </c>
      <c r="F18" s="51"/>
      <c r="G18" s="4">
        <f>E18</f>
        <v>-26900</v>
      </c>
      <c r="I18" s="46"/>
      <c r="J18" s="46"/>
      <c r="K18" s="46"/>
      <c r="L18" s="46"/>
      <c r="M18" s="46"/>
      <c r="N18" s="46"/>
    </row>
    <row r="19" spans="1:14" ht="13.5" thickBot="1" x14ac:dyDescent="0.25">
      <c r="A19" s="75" t="s">
        <v>116</v>
      </c>
      <c r="B19" s="50"/>
      <c r="C19" s="50"/>
      <c r="D19" s="51"/>
      <c r="E19" s="7">
        <f>SUM(E16:E18)</f>
        <v>-98273</v>
      </c>
      <c r="F19" s="51"/>
      <c r="G19" s="7">
        <f>SUM(G16:G18)</f>
        <v>-98273</v>
      </c>
    </row>
    <row r="20" spans="1:14" ht="3.6" customHeight="1" thickTop="1" x14ac:dyDescent="0.2">
      <c r="A20" s="41"/>
      <c r="B20" s="50"/>
      <c r="C20" s="50"/>
      <c r="D20" s="51"/>
      <c r="E20" s="51"/>
      <c r="F20" s="51"/>
      <c r="G20" s="51"/>
    </row>
    <row r="21" spans="1:14" s="1" customFormat="1" x14ac:dyDescent="0.2">
      <c r="A21" s="73" t="s">
        <v>170</v>
      </c>
      <c r="B21" s="56"/>
      <c r="C21" s="56"/>
      <c r="D21" s="53"/>
      <c r="E21" s="53"/>
      <c r="F21" s="53"/>
      <c r="G21" s="53">
        <f>G13+G19</f>
        <v>8166.3999999999942</v>
      </c>
    </row>
    <row r="22" spans="1:14" s="48" customFormat="1" ht="6.6" customHeight="1" x14ac:dyDescent="0.2">
      <c r="A22" s="75"/>
      <c r="B22" s="81"/>
      <c r="C22" s="81"/>
      <c r="D22" s="85"/>
      <c r="E22" s="85"/>
      <c r="F22" s="85"/>
      <c r="G22" s="85"/>
    </row>
    <row r="23" spans="1:14" s="48" customFormat="1" x14ac:dyDescent="0.2">
      <c r="A23" s="73" t="s">
        <v>143</v>
      </c>
      <c r="B23" s="81"/>
      <c r="C23" s="81"/>
      <c r="D23" s="85"/>
      <c r="E23" s="85"/>
      <c r="F23" s="85"/>
      <c r="G23" s="85"/>
    </row>
    <row r="24" spans="1:14" s="48" customFormat="1" x14ac:dyDescent="0.2">
      <c r="A24" s="48" t="s">
        <v>150</v>
      </c>
      <c r="B24" s="81">
        <v>205</v>
      </c>
      <c r="C24" s="81">
        <v>800</v>
      </c>
      <c r="D24" s="85"/>
      <c r="E24" s="85"/>
      <c r="F24" s="85"/>
      <c r="G24" s="85">
        <f>B24*C24</f>
        <v>164000</v>
      </c>
    </row>
    <row r="25" spans="1:14" s="48" customFormat="1" x14ac:dyDescent="0.2">
      <c r="A25" s="48" t="s">
        <v>89</v>
      </c>
      <c r="B25" s="81"/>
      <c r="C25" s="81"/>
      <c r="D25" s="85"/>
      <c r="E25" s="85"/>
      <c r="F25" s="85"/>
      <c r="G25" s="85">
        <f>G26+G27</f>
        <v>-5883.5</v>
      </c>
    </row>
    <row r="26" spans="1:14" s="48" customFormat="1" hidden="1" outlineLevel="1" x14ac:dyDescent="0.2">
      <c r="A26" s="76" t="s">
        <v>134</v>
      </c>
      <c r="B26" s="81">
        <f>B24</f>
        <v>205</v>
      </c>
      <c r="C26" s="104">
        <v>-4.7</v>
      </c>
      <c r="D26" s="85"/>
      <c r="E26" s="85"/>
      <c r="F26" s="85"/>
      <c r="G26" s="85">
        <f>B26*C26</f>
        <v>-963.5</v>
      </c>
    </row>
    <row r="27" spans="1:14" s="48" customFormat="1" hidden="1" outlineLevel="1" x14ac:dyDescent="0.2">
      <c r="A27" s="76" t="s">
        <v>135</v>
      </c>
      <c r="B27" s="63">
        <f>B26</f>
        <v>205</v>
      </c>
      <c r="C27" s="104">
        <v>-24</v>
      </c>
      <c r="D27" s="85"/>
      <c r="E27" s="85"/>
      <c r="F27" s="85"/>
      <c r="G27" s="85">
        <f>B27*C27</f>
        <v>-4920</v>
      </c>
    </row>
    <row r="28" spans="1:14" s="48" customFormat="1" ht="13.5" collapsed="1" thickBot="1" x14ac:dyDescent="0.25">
      <c r="A28" s="75" t="s">
        <v>169</v>
      </c>
      <c r="B28" s="81"/>
      <c r="C28" s="13">
        <f>C24+C26+C27</f>
        <v>771.3</v>
      </c>
      <c r="D28" s="85"/>
      <c r="E28" s="85"/>
      <c r="F28" s="85"/>
      <c r="G28" s="7">
        <f>G24+G26+G27</f>
        <v>158116.5</v>
      </c>
    </row>
    <row r="29" spans="1:14" s="48" customFormat="1" ht="3.6" customHeight="1" thickTop="1" x14ac:dyDescent="0.2">
      <c r="A29" s="75"/>
      <c r="B29" s="81"/>
      <c r="C29" s="81"/>
      <c r="D29" s="85"/>
      <c r="E29" s="85"/>
      <c r="F29" s="85"/>
      <c r="G29" s="85"/>
    </row>
    <row r="30" spans="1:14" ht="12.75" customHeight="1" x14ac:dyDescent="0.2">
      <c r="A30" s="1" t="s">
        <v>166</v>
      </c>
      <c r="C30" s="11"/>
      <c r="D30" s="21"/>
      <c r="E30" s="5"/>
      <c r="F30" s="21"/>
      <c r="G30" s="20"/>
      <c r="I30" s="46"/>
      <c r="J30" s="46"/>
      <c r="K30" s="46"/>
      <c r="L30" s="46"/>
      <c r="M30" s="46"/>
      <c r="N30" s="46"/>
    </row>
    <row r="31" spans="1:14" x14ac:dyDescent="0.2">
      <c r="A31" s="75" t="s">
        <v>133</v>
      </c>
      <c r="B31" s="152" t="s">
        <v>168</v>
      </c>
      <c r="C31" s="152"/>
      <c r="D31" s="51"/>
      <c r="E31" s="4">
        <f>E17</f>
        <v>-63290</v>
      </c>
      <c r="F31" s="51"/>
      <c r="G31" s="4">
        <f>E31</f>
        <v>-63290</v>
      </c>
      <c r="I31" s="46"/>
      <c r="J31" s="46"/>
      <c r="K31" s="46"/>
      <c r="L31" s="46"/>
      <c r="M31" s="46"/>
      <c r="N31" s="46"/>
    </row>
    <row r="32" spans="1:14" x14ac:dyDescent="0.2">
      <c r="A32" s="75" t="s">
        <v>136</v>
      </c>
      <c r="B32" s="152"/>
      <c r="C32" s="152"/>
      <c r="D32" s="51"/>
      <c r="E32" s="4">
        <f>E18</f>
        <v>-26900</v>
      </c>
      <c r="F32" s="51"/>
      <c r="G32" s="4">
        <f>E32</f>
        <v>-26900</v>
      </c>
      <c r="I32" s="46"/>
      <c r="J32" s="46"/>
      <c r="K32" s="46"/>
      <c r="L32" s="46"/>
      <c r="M32" s="46"/>
      <c r="N32" s="46"/>
    </row>
    <row r="33" spans="1:7" ht="13.5" thickBot="1" x14ac:dyDescent="0.25">
      <c r="A33" s="75" t="s">
        <v>167</v>
      </c>
      <c r="B33" s="50"/>
      <c r="C33" s="50"/>
      <c r="D33" s="51"/>
      <c r="E33" s="7">
        <f>SUM(E31:E32)</f>
        <v>-90190</v>
      </c>
      <c r="F33" s="51"/>
      <c r="G33" s="7">
        <f>SUM(G31:G32)</f>
        <v>-90190</v>
      </c>
    </row>
    <row r="34" spans="1:7" s="48" customFormat="1" ht="3.6" customHeight="1" thickTop="1" x14ac:dyDescent="0.2">
      <c r="A34" s="75"/>
      <c r="B34" s="81"/>
      <c r="C34" s="81"/>
      <c r="D34" s="85"/>
      <c r="E34" s="85"/>
      <c r="F34" s="85"/>
      <c r="G34" s="85"/>
    </row>
    <row r="35" spans="1:7" s="1" customFormat="1" x14ac:dyDescent="0.2">
      <c r="A35" s="73" t="s">
        <v>146</v>
      </c>
      <c r="D35" s="56"/>
      <c r="F35" s="56"/>
      <c r="G35" s="23">
        <f>G28+G33</f>
        <v>67926.5</v>
      </c>
    </row>
    <row r="36" spans="1:7" s="48" customFormat="1" ht="6.6" customHeight="1" x14ac:dyDescent="0.2">
      <c r="A36" s="75"/>
      <c r="B36" s="81"/>
      <c r="C36" s="81"/>
      <c r="D36" s="85"/>
      <c r="E36" s="85"/>
      <c r="F36" s="85"/>
      <c r="G36" s="85"/>
    </row>
    <row r="37" spans="1:7" s="48" customFormat="1" x14ac:dyDescent="0.2">
      <c r="A37" s="73" t="s">
        <v>142</v>
      </c>
      <c r="B37" s="81"/>
      <c r="C37" s="81"/>
      <c r="D37" s="85"/>
      <c r="E37" s="85"/>
      <c r="F37" s="85"/>
      <c r="G37" s="53">
        <f>G21+G35</f>
        <v>76092.899999999994</v>
      </c>
    </row>
  </sheetData>
  <mergeCells count="6">
    <mergeCell ref="B2:G2"/>
    <mergeCell ref="B3:G3"/>
    <mergeCell ref="B4:G4"/>
    <mergeCell ref="B6:C6"/>
    <mergeCell ref="B17:C18"/>
    <mergeCell ref="B31:C32"/>
  </mergeCells>
  <pageMargins left="0.51181102362204722" right="0.51181102362204722" top="1.1417322834645669" bottom="0.74803149606299213" header="0.51181102362204722" footer="0.51181102362204722"/>
  <pageSetup orientation="landscape" r:id="rId1"/>
  <headerFooter scaleWithDoc="0">
    <oddFooter>&amp;L&amp;"Agfa Rotis Sans Serif,Regular"(c) Markus Maedler | 2009-2022&amp;R&amp;"Agfa Rotis Sans Serif,Regular"&amp;F | 7a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zoomScale="110" zoomScaleNormal="110" workbookViewId="0"/>
  </sheetViews>
  <sheetFormatPr defaultRowHeight="12.75" outlineLevelRow="1" x14ac:dyDescent="0.2"/>
  <cols>
    <col min="1" max="1" width="36.5703125" bestFit="1" customWidth="1"/>
    <col min="2" max="4" width="15.7109375" customWidth="1"/>
    <col min="5" max="5" width="6.85546875" customWidth="1"/>
    <col min="6" max="8" width="15.7109375" customWidth="1"/>
  </cols>
  <sheetData>
    <row r="1" spans="1:11" x14ac:dyDescent="0.2">
      <c r="A1" s="1" t="s">
        <v>25</v>
      </c>
    </row>
    <row r="2" spans="1:11" x14ac:dyDescent="0.2">
      <c r="A2" s="48" t="s">
        <v>185</v>
      </c>
      <c r="B2" s="15"/>
    </row>
    <row r="3" spans="1:11" ht="12.75" customHeight="1" x14ac:dyDescent="0.2">
      <c r="B3" s="143" t="s">
        <v>30</v>
      </c>
      <c r="C3" s="143"/>
      <c r="D3" s="143"/>
      <c r="F3" s="153" t="s">
        <v>52</v>
      </c>
      <c r="G3" s="153"/>
      <c r="H3" s="153"/>
    </row>
    <row r="4" spans="1:11" x14ac:dyDescent="0.2">
      <c r="A4" s="1"/>
      <c r="B4" s="143" t="s">
        <v>46</v>
      </c>
      <c r="C4" s="143"/>
      <c r="D4" s="143"/>
      <c r="F4" s="153"/>
      <c r="G4" s="153"/>
      <c r="H4" s="153"/>
    </row>
    <row r="5" spans="1:11" x14ac:dyDescent="0.2">
      <c r="A5" s="1"/>
      <c r="F5" s="153"/>
      <c r="G5" s="153"/>
      <c r="H5" s="153"/>
    </row>
    <row r="6" spans="1:11" x14ac:dyDescent="0.2">
      <c r="A6" s="1"/>
      <c r="B6" s="3" t="s">
        <v>0</v>
      </c>
      <c r="C6" s="3" t="s">
        <v>1</v>
      </c>
      <c r="D6" s="3" t="s">
        <v>2</v>
      </c>
      <c r="F6" s="153"/>
      <c r="G6" s="153"/>
      <c r="H6" s="153"/>
    </row>
    <row r="7" spans="1:11" x14ac:dyDescent="0.2">
      <c r="A7" s="15" t="s">
        <v>33</v>
      </c>
      <c r="F7" s="153"/>
      <c r="G7" s="153"/>
      <c r="H7" s="153"/>
    </row>
    <row r="8" spans="1:11" x14ac:dyDescent="0.2">
      <c r="A8" s="48" t="s">
        <v>155</v>
      </c>
      <c r="B8">
        <v>206</v>
      </c>
      <c r="C8">
        <v>181</v>
      </c>
      <c r="D8">
        <v>223</v>
      </c>
      <c r="F8" s="153"/>
      <c r="G8" s="153"/>
      <c r="H8" s="153"/>
    </row>
    <row r="9" spans="1:11" x14ac:dyDescent="0.2">
      <c r="A9" t="s">
        <v>4</v>
      </c>
      <c r="B9" s="2">
        <v>123</v>
      </c>
      <c r="C9" s="2">
        <v>135</v>
      </c>
      <c r="D9" s="2">
        <v>138</v>
      </c>
      <c r="F9" s="153"/>
      <c r="G9" s="153"/>
      <c r="H9" s="153"/>
    </row>
    <row r="10" spans="1:11" x14ac:dyDescent="0.2">
      <c r="A10" s="15" t="s">
        <v>32</v>
      </c>
      <c r="B10">
        <f>+B9+B8</f>
        <v>329</v>
      </c>
      <c r="C10">
        <f>+C9+C8</f>
        <v>316</v>
      </c>
      <c r="D10">
        <f>+D9+D8</f>
        <v>361</v>
      </c>
      <c r="F10" s="153"/>
      <c r="G10" s="153"/>
      <c r="H10" s="153"/>
    </row>
    <row r="12" spans="1:11" x14ac:dyDescent="0.2">
      <c r="B12" s="143" t="s">
        <v>29</v>
      </c>
      <c r="C12" s="143"/>
      <c r="D12" s="143"/>
      <c r="F12" s="143" t="s">
        <v>29</v>
      </c>
      <c r="G12" s="143"/>
      <c r="H12" s="143"/>
    </row>
    <row r="13" spans="1:11" x14ac:dyDescent="0.2">
      <c r="B13" s="143" t="s">
        <v>47</v>
      </c>
      <c r="C13" s="143"/>
      <c r="D13" s="143"/>
      <c r="F13" s="143" t="s">
        <v>48</v>
      </c>
      <c r="G13" s="143"/>
      <c r="H13" s="143"/>
    </row>
    <row r="14" spans="1:11" x14ac:dyDescent="0.2">
      <c r="A14" s="1"/>
    </row>
    <row r="15" spans="1:11" x14ac:dyDescent="0.2">
      <c r="B15" s="3" t="s">
        <v>0</v>
      </c>
      <c r="C15" s="3" t="s">
        <v>1</v>
      </c>
      <c r="D15" s="3" t="s">
        <v>2</v>
      </c>
      <c r="F15" s="3" t="s">
        <v>0</v>
      </c>
      <c r="G15" s="3" t="s">
        <v>1</v>
      </c>
      <c r="H15" s="3" t="s">
        <v>2</v>
      </c>
      <c r="J15" s="10"/>
      <c r="K15" s="10"/>
    </row>
    <row r="16" spans="1:11" x14ac:dyDescent="0.2">
      <c r="A16" t="s">
        <v>3</v>
      </c>
    </row>
    <row r="17" spans="1:8" x14ac:dyDescent="0.2">
      <c r="A17" s="48" t="s">
        <v>155</v>
      </c>
      <c r="B17" s="4">
        <v>82400</v>
      </c>
      <c r="C17" s="4">
        <v>72400</v>
      </c>
      <c r="D17" s="4">
        <v>89200</v>
      </c>
      <c r="F17" s="8">
        <f t="shared" ref="F17:H19" si="0">B17/B8</f>
        <v>400</v>
      </c>
      <c r="G17" s="8">
        <f t="shared" si="0"/>
        <v>400</v>
      </c>
      <c r="H17" s="8">
        <f t="shared" si="0"/>
        <v>400</v>
      </c>
    </row>
    <row r="18" spans="1:8" x14ac:dyDescent="0.2">
      <c r="A18" t="s">
        <v>4</v>
      </c>
      <c r="B18" s="6">
        <v>98400</v>
      </c>
      <c r="C18" s="6">
        <v>108000</v>
      </c>
      <c r="D18" s="6">
        <v>110400</v>
      </c>
      <c r="F18" s="9">
        <f t="shared" si="0"/>
        <v>800</v>
      </c>
      <c r="G18" s="9">
        <f t="shared" si="0"/>
        <v>800</v>
      </c>
      <c r="H18" s="9">
        <f t="shared" si="0"/>
        <v>800</v>
      </c>
    </row>
    <row r="19" spans="1:8" x14ac:dyDescent="0.2">
      <c r="A19" t="s">
        <v>5</v>
      </c>
      <c r="B19" s="4">
        <f>+SUM(B17:B18)</f>
        <v>180800</v>
      </c>
      <c r="C19" s="4">
        <f>+SUM(C17:C18)</f>
        <v>180400</v>
      </c>
      <c r="D19" s="4">
        <f>+SUM(D17:D18)</f>
        <v>199600</v>
      </c>
      <c r="F19" s="8">
        <f t="shared" si="0"/>
        <v>549.54407294832822</v>
      </c>
      <c r="G19" s="8">
        <f t="shared" si="0"/>
        <v>570.88607594936707</v>
      </c>
      <c r="H19" s="8">
        <f t="shared" si="0"/>
        <v>552.90858725761768</v>
      </c>
    </row>
    <row r="20" spans="1:8" x14ac:dyDescent="0.2">
      <c r="A20" t="s">
        <v>6</v>
      </c>
    </row>
    <row r="21" spans="1:8" x14ac:dyDescent="0.2">
      <c r="A21" t="s">
        <v>7</v>
      </c>
      <c r="B21" s="4">
        <v>8000</v>
      </c>
      <c r="C21" s="4">
        <v>8000</v>
      </c>
      <c r="D21" s="4">
        <v>8000</v>
      </c>
      <c r="F21" s="11">
        <f t="shared" ref="F21:H23" si="1">B21/B$10</f>
        <v>24.316109422492403</v>
      </c>
      <c r="G21" s="11">
        <f t="shared" si="1"/>
        <v>25.316455696202532</v>
      </c>
      <c r="H21" s="11">
        <f t="shared" si="1"/>
        <v>22.1606648199446</v>
      </c>
    </row>
    <row r="22" spans="1:8" x14ac:dyDescent="0.2">
      <c r="A22" t="s">
        <v>8</v>
      </c>
      <c r="B22" s="6">
        <v>1240</v>
      </c>
      <c r="C22" s="6">
        <v>1240</v>
      </c>
      <c r="D22" s="6">
        <v>1240</v>
      </c>
      <c r="F22" s="12">
        <f t="shared" si="1"/>
        <v>3.768996960486322</v>
      </c>
      <c r="G22" s="12">
        <f t="shared" si="1"/>
        <v>3.9240506329113924</v>
      </c>
      <c r="H22" s="12">
        <f t="shared" si="1"/>
        <v>3.4349030470914128</v>
      </c>
    </row>
    <row r="23" spans="1:8" x14ac:dyDescent="0.2">
      <c r="B23" s="5">
        <f>+B22+B21</f>
        <v>9240</v>
      </c>
      <c r="C23" s="5">
        <f>+C22+C21</f>
        <v>9240</v>
      </c>
      <c r="D23" s="5">
        <f>+D22+D21</f>
        <v>9240</v>
      </c>
      <c r="F23" s="11">
        <f t="shared" si="1"/>
        <v>28.085106382978722</v>
      </c>
      <c r="G23" s="11">
        <f t="shared" si="1"/>
        <v>29.240506329113924</v>
      </c>
      <c r="H23" s="11">
        <f t="shared" si="1"/>
        <v>25.59556786703601</v>
      </c>
    </row>
    <row r="24" spans="1:8" x14ac:dyDescent="0.2">
      <c r="A24" t="s">
        <v>9</v>
      </c>
      <c r="B24" s="5"/>
      <c r="C24" s="5"/>
      <c r="D24" s="5"/>
      <c r="F24" s="11"/>
      <c r="G24" s="11"/>
      <c r="H24" s="11"/>
    </row>
    <row r="25" spans="1:8" x14ac:dyDescent="0.2">
      <c r="A25" t="s">
        <v>10</v>
      </c>
      <c r="B25" s="5">
        <v>95000</v>
      </c>
      <c r="C25" s="5">
        <v>95000</v>
      </c>
      <c r="D25" s="5">
        <v>95000</v>
      </c>
      <c r="F25" s="11">
        <f t="shared" ref="F25:H26" si="2">B25/B$10</f>
        <v>288.75379939209728</v>
      </c>
      <c r="G25" s="11">
        <f t="shared" si="2"/>
        <v>300.63291139240505</v>
      </c>
      <c r="H25" s="11">
        <f t="shared" si="2"/>
        <v>263.15789473684208</v>
      </c>
    </row>
    <row r="26" spans="1:8" x14ac:dyDescent="0.2">
      <c r="A26" t="s">
        <v>11</v>
      </c>
      <c r="B26" s="5">
        <v>5400</v>
      </c>
      <c r="C26" s="5">
        <v>5400</v>
      </c>
      <c r="D26" s="5">
        <v>5400</v>
      </c>
      <c r="F26" s="11">
        <f t="shared" si="2"/>
        <v>16.413373860182372</v>
      </c>
      <c r="G26" s="11">
        <f t="shared" si="2"/>
        <v>17.088607594936708</v>
      </c>
      <c r="H26" s="11">
        <f t="shared" si="2"/>
        <v>14.958448753462603</v>
      </c>
    </row>
    <row r="27" spans="1:8" x14ac:dyDescent="0.2">
      <c r="A27" t="s">
        <v>12</v>
      </c>
      <c r="B27" s="5"/>
      <c r="C27" s="5"/>
      <c r="D27" s="5"/>
      <c r="F27" s="11"/>
      <c r="G27" s="11"/>
      <c r="H27" s="11"/>
    </row>
    <row r="28" spans="1:8" x14ac:dyDescent="0.2">
      <c r="A28" t="s">
        <v>13</v>
      </c>
      <c r="B28" s="5">
        <v>25500</v>
      </c>
      <c r="C28" s="5">
        <v>25500</v>
      </c>
      <c r="D28" s="5">
        <v>25500</v>
      </c>
      <c r="F28" s="11">
        <f t="shared" ref="F28:H31" si="3">B28/B$10</f>
        <v>77.507598784194528</v>
      </c>
      <c r="G28" s="11">
        <f t="shared" si="3"/>
        <v>80.696202531645568</v>
      </c>
      <c r="H28" s="11">
        <f t="shared" si="3"/>
        <v>70.637119113573405</v>
      </c>
    </row>
    <row r="29" spans="1:8" x14ac:dyDescent="0.2">
      <c r="A29" t="s">
        <v>14</v>
      </c>
      <c r="B29" s="5">
        <v>680</v>
      </c>
      <c r="C29" s="5">
        <v>680</v>
      </c>
      <c r="D29" s="5">
        <v>680</v>
      </c>
      <c r="F29" s="11">
        <f t="shared" si="3"/>
        <v>2.0668693009118542</v>
      </c>
      <c r="G29" s="11">
        <f t="shared" si="3"/>
        <v>2.1518987341772151</v>
      </c>
      <c r="H29" s="11">
        <f t="shared" si="3"/>
        <v>1.8836565096952909</v>
      </c>
    </row>
    <row r="30" spans="1:8" x14ac:dyDescent="0.2">
      <c r="A30" t="s">
        <v>15</v>
      </c>
      <c r="B30" s="6">
        <v>1546</v>
      </c>
      <c r="C30" s="6">
        <v>1485</v>
      </c>
      <c r="D30" s="6">
        <v>1697</v>
      </c>
      <c r="F30" s="16">
        <f t="shared" si="3"/>
        <v>4.6990881458966562</v>
      </c>
      <c r="G30" s="16">
        <f t="shared" si="3"/>
        <v>4.6993670886075947</v>
      </c>
      <c r="H30" s="16">
        <f t="shared" si="3"/>
        <v>4.7008310249307481</v>
      </c>
    </row>
    <row r="31" spans="1:8" x14ac:dyDescent="0.2">
      <c r="B31" s="5">
        <f>+SUM(B25:B30)</f>
        <v>128126</v>
      </c>
      <c r="C31" s="5">
        <f>+SUM(C25:C30)</f>
        <v>128065</v>
      </c>
      <c r="D31" s="5">
        <f>+SUM(D25:D30)</f>
        <v>128277</v>
      </c>
      <c r="F31" s="11">
        <f t="shared" si="3"/>
        <v>389.44072948328267</v>
      </c>
      <c r="G31" s="11">
        <f t="shared" si="3"/>
        <v>405.26898734177217</v>
      </c>
      <c r="H31" s="11">
        <f t="shared" si="3"/>
        <v>355.33795013850414</v>
      </c>
    </row>
    <row r="32" spans="1:8" x14ac:dyDescent="0.2">
      <c r="A32" t="s">
        <v>16</v>
      </c>
      <c r="B32" s="5"/>
      <c r="C32" s="5"/>
      <c r="D32" s="5"/>
      <c r="F32" s="11"/>
      <c r="G32" s="11"/>
      <c r="H32" s="11"/>
    </row>
    <row r="33" spans="1:8" x14ac:dyDescent="0.2">
      <c r="A33" t="s">
        <v>24</v>
      </c>
      <c r="B33" s="5">
        <v>21600</v>
      </c>
      <c r="C33" s="5">
        <v>21600</v>
      </c>
      <c r="D33" s="5">
        <v>21600</v>
      </c>
      <c r="F33" s="11">
        <f t="shared" ref="F33:H38" si="4">B33/B$10</f>
        <v>65.653495440729486</v>
      </c>
      <c r="G33" s="11">
        <f t="shared" si="4"/>
        <v>68.35443037974683</v>
      </c>
      <c r="H33" s="11">
        <f t="shared" si="4"/>
        <v>59.833795013850413</v>
      </c>
    </row>
    <row r="34" spans="1:8" x14ac:dyDescent="0.2">
      <c r="A34" t="s">
        <v>23</v>
      </c>
      <c r="B34" s="5">
        <v>7896</v>
      </c>
      <c r="C34" s="5">
        <v>7584</v>
      </c>
      <c r="D34" s="5">
        <v>8664</v>
      </c>
      <c r="F34" s="17">
        <f t="shared" si="4"/>
        <v>24</v>
      </c>
      <c r="G34" s="17">
        <f t="shared" si="4"/>
        <v>24</v>
      </c>
      <c r="H34" s="17">
        <f t="shared" si="4"/>
        <v>24</v>
      </c>
    </row>
    <row r="35" spans="1:8" x14ac:dyDescent="0.2">
      <c r="A35" t="s">
        <v>17</v>
      </c>
      <c r="B35" s="5">
        <v>12000</v>
      </c>
      <c r="C35" s="5">
        <v>12000</v>
      </c>
      <c r="D35" s="5">
        <v>12000</v>
      </c>
      <c r="F35" s="11">
        <f t="shared" si="4"/>
        <v>36.474164133738604</v>
      </c>
      <c r="G35" s="11">
        <f t="shared" si="4"/>
        <v>37.974683544303801</v>
      </c>
      <c r="H35" s="11">
        <f t="shared" si="4"/>
        <v>33.2409972299169</v>
      </c>
    </row>
    <row r="36" spans="1:8" x14ac:dyDescent="0.2">
      <c r="A36" t="s">
        <v>18</v>
      </c>
      <c r="B36" s="5">
        <v>9000</v>
      </c>
      <c r="C36" s="5">
        <v>9000</v>
      </c>
      <c r="D36" s="5">
        <v>9000</v>
      </c>
      <c r="F36" s="11">
        <f t="shared" si="4"/>
        <v>27.355623100303951</v>
      </c>
      <c r="G36" s="11">
        <f t="shared" si="4"/>
        <v>28.481012658227847</v>
      </c>
      <c r="H36" s="11">
        <f t="shared" si="4"/>
        <v>24.930747922437675</v>
      </c>
    </row>
    <row r="37" spans="1:8" x14ac:dyDescent="0.2">
      <c r="A37" t="s">
        <v>19</v>
      </c>
      <c r="B37" s="6">
        <v>11200</v>
      </c>
      <c r="C37" s="6">
        <v>11200</v>
      </c>
      <c r="D37" s="6">
        <v>11200</v>
      </c>
      <c r="F37" s="12">
        <f t="shared" si="4"/>
        <v>34.042553191489361</v>
      </c>
      <c r="G37" s="12">
        <f t="shared" si="4"/>
        <v>35.443037974683541</v>
      </c>
      <c r="H37" s="12">
        <f t="shared" si="4"/>
        <v>31.024930747922436</v>
      </c>
    </row>
    <row r="38" spans="1:8" x14ac:dyDescent="0.2">
      <c r="B38" s="5">
        <f>+SUM(B33:B37)</f>
        <v>61696</v>
      </c>
      <c r="C38" s="5">
        <f>+SUM(C33:C37)</f>
        <v>61384</v>
      </c>
      <c r="D38" s="5">
        <f>+SUM(D33:D37)</f>
        <v>62464</v>
      </c>
      <c r="F38" s="11">
        <f t="shared" si="4"/>
        <v>187.52583586626139</v>
      </c>
      <c r="G38" s="11">
        <f t="shared" si="4"/>
        <v>194.25316455696202</v>
      </c>
      <c r="H38" s="11">
        <f t="shared" si="4"/>
        <v>173.03047091412742</v>
      </c>
    </row>
    <row r="39" spans="1:8" x14ac:dyDescent="0.2">
      <c r="B39" s="5"/>
      <c r="C39" s="5"/>
      <c r="D39" s="5"/>
      <c r="F39" s="11"/>
      <c r="G39" s="11"/>
      <c r="H39" s="11"/>
    </row>
    <row r="40" spans="1:8" x14ac:dyDescent="0.2">
      <c r="A40" t="s">
        <v>20</v>
      </c>
      <c r="B40" s="5">
        <v>7909</v>
      </c>
      <c r="C40" s="5">
        <v>7039</v>
      </c>
      <c r="D40" s="5">
        <v>8083</v>
      </c>
      <c r="F40" s="22">
        <f t="shared" ref="F40:H46" si="5">B40/B$10</f>
        <v>24.039513677811549</v>
      </c>
      <c r="G40" s="22">
        <f t="shared" si="5"/>
        <v>22.275316455696203</v>
      </c>
      <c r="H40" s="22">
        <f t="shared" si="5"/>
        <v>22.390581717451525</v>
      </c>
    </row>
    <row r="41" spans="1:8" hidden="1" outlineLevel="1" x14ac:dyDescent="0.2">
      <c r="A41" s="34" t="s">
        <v>51</v>
      </c>
      <c r="B41" s="25">
        <f>B44/(B33+B34)</f>
        <v>0.52291836181177109</v>
      </c>
      <c r="C41" s="25">
        <f>C44/(C33+C34)</f>
        <v>0.52628152412280704</v>
      </c>
      <c r="D41" s="25">
        <f>D44/(D33+D34)</f>
        <v>0.50343642611683848</v>
      </c>
      <c r="F41" s="25">
        <f>F44/(F33+F34)</f>
        <v>0.52291836181177109</v>
      </c>
      <c r="G41" s="25">
        <f>G44/(G33+G34)</f>
        <v>0.52628152412280704</v>
      </c>
      <c r="H41" s="25">
        <f>H44/(H33+H34)</f>
        <v>0.50343642611683848</v>
      </c>
    </row>
    <row r="42" spans="1:8" hidden="1" outlineLevel="1" x14ac:dyDescent="0.2">
      <c r="A42" s="34" t="s">
        <v>49</v>
      </c>
      <c r="B42" s="5">
        <f t="shared" ref="B42:D43" si="6">B$41*B33</f>
        <v>11295.036615134255</v>
      </c>
      <c r="C42" s="5">
        <f t="shared" si="6"/>
        <v>11367.680921052632</v>
      </c>
      <c r="D42" s="5">
        <f t="shared" si="6"/>
        <v>10874.226804123711</v>
      </c>
      <c r="F42" s="19">
        <f t="shared" ref="F42:H43" si="7">F$41*F33</f>
        <v>34.331418283082847</v>
      </c>
      <c r="G42" s="19">
        <f t="shared" si="7"/>
        <v>35.973673800799467</v>
      </c>
      <c r="H42" s="19">
        <f t="shared" si="7"/>
        <v>30.122511922780362</v>
      </c>
    </row>
    <row r="43" spans="1:8" hidden="1" outlineLevel="1" x14ac:dyDescent="0.2">
      <c r="A43" s="34" t="s">
        <v>50</v>
      </c>
      <c r="B43" s="5">
        <f t="shared" si="6"/>
        <v>4128.963384865745</v>
      </c>
      <c r="C43" s="5">
        <f t="shared" si="6"/>
        <v>3991.3190789473688</v>
      </c>
      <c r="D43" s="5">
        <f t="shared" si="6"/>
        <v>4361.7731958762888</v>
      </c>
      <c r="F43" s="19">
        <f t="shared" si="7"/>
        <v>12.550040683482507</v>
      </c>
      <c r="G43" s="19">
        <f t="shared" si="7"/>
        <v>12.63075657894737</v>
      </c>
      <c r="H43" s="19">
        <f t="shared" si="7"/>
        <v>12.082474226804123</v>
      </c>
    </row>
    <row r="44" spans="1:8" collapsed="1" x14ac:dyDescent="0.2">
      <c r="A44" t="s">
        <v>28</v>
      </c>
      <c r="B44" s="5">
        <v>15424</v>
      </c>
      <c r="C44" s="5">
        <v>15359</v>
      </c>
      <c r="D44" s="5">
        <v>15236</v>
      </c>
      <c r="F44" s="33">
        <f t="shared" si="5"/>
        <v>46.881458966565347</v>
      </c>
      <c r="G44" s="33">
        <f t="shared" si="5"/>
        <v>48.604430379746837</v>
      </c>
      <c r="H44" s="33">
        <f t="shared" si="5"/>
        <v>42.204986149584485</v>
      </c>
    </row>
    <row r="45" spans="1:8" ht="13.5" thickBot="1" x14ac:dyDescent="0.25">
      <c r="A45" t="s">
        <v>21</v>
      </c>
      <c r="B45" s="7">
        <f>B44+B40+B38+B31+B23</f>
        <v>222395</v>
      </c>
      <c r="C45" s="7">
        <f>C44+C40+C38+C31+C23</f>
        <v>221087</v>
      </c>
      <c r="D45" s="7">
        <f>D44+D40+D38+D31+D23</f>
        <v>223300</v>
      </c>
      <c r="F45" s="13">
        <f t="shared" si="5"/>
        <v>675.97264437689967</v>
      </c>
      <c r="G45" s="13">
        <f t="shared" si="5"/>
        <v>699.64240506329111</v>
      </c>
      <c r="H45" s="13">
        <f t="shared" si="5"/>
        <v>618.55955678670364</v>
      </c>
    </row>
    <row r="46" spans="1:8" s="1" customFormat="1" ht="13.5" thickTop="1" x14ac:dyDescent="0.2">
      <c r="A46" s="1" t="s">
        <v>22</v>
      </c>
      <c r="B46" s="23">
        <f>+B19-B45</f>
        <v>-41595</v>
      </c>
      <c r="C46" s="23">
        <f>+C19-C45</f>
        <v>-40687</v>
      </c>
      <c r="D46" s="23">
        <f>+D19-D45</f>
        <v>-23700</v>
      </c>
      <c r="F46" s="24">
        <f t="shared" si="5"/>
        <v>-126.42857142857143</v>
      </c>
      <c r="G46" s="24">
        <f t="shared" si="5"/>
        <v>-128.75632911392404</v>
      </c>
      <c r="H46" s="24">
        <f t="shared" si="5"/>
        <v>-65.65096952908587</v>
      </c>
    </row>
    <row r="49" spans="2:8" x14ac:dyDescent="0.2">
      <c r="B49" s="5"/>
      <c r="C49" s="5"/>
      <c r="D49" s="5"/>
      <c r="F49" s="11"/>
      <c r="G49" s="11"/>
      <c r="H49" s="11"/>
    </row>
  </sheetData>
  <mergeCells count="7">
    <mergeCell ref="F3:H10"/>
    <mergeCell ref="F13:H13"/>
    <mergeCell ref="F12:H12"/>
    <mergeCell ref="B3:D3"/>
    <mergeCell ref="B12:D12"/>
    <mergeCell ref="B4:D4"/>
    <mergeCell ref="B13:D13"/>
  </mergeCells>
  <phoneticPr fontId="0" type="noConversion"/>
  <pageMargins left="0.51181102362204722" right="0.51181102362204722" top="1.1417322834645669" bottom="0.74803149606299213" header="0.51181102362204722" footer="0.51181102362204722"/>
  <pageSetup scale="89" orientation="landscape" r:id="rId1"/>
  <headerFooter scaleWithDoc="0">
    <oddFooter>&amp;L&amp;"Agfa Rotis Sans Serif,Regular"(c) Markus Maedler | 2009-2022&amp;R&amp;"Agfa Rotis Sans Serif,Regular"&amp;F | 2b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zoomScaleNormal="100" workbookViewId="0"/>
  </sheetViews>
  <sheetFormatPr defaultRowHeight="12.75" x14ac:dyDescent="0.2"/>
  <cols>
    <col min="1" max="1" width="36.5703125" bestFit="1" customWidth="1"/>
    <col min="2" max="2" width="8.5703125" bestFit="1" customWidth="1"/>
    <col min="3" max="3" width="7.5703125" bestFit="1" customWidth="1"/>
    <col min="4" max="4" width="1.7109375" style="50" customWidth="1"/>
    <col min="5" max="5" width="11.140625" customWidth="1"/>
    <col min="6" max="6" width="1.7109375" style="50" customWidth="1"/>
    <col min="7" max="7" width="11.140625" customWidth="1"/>
    <col min="8" max="8" width="3" customWidth="1"/>
    <col min="9" max="9" width="9.140625" style="38" customWidth="1"/>
  </cols>
  <sheetData>
    <row r="1" spans="1:15" x14ac:dyDescent="0.2">
      <c r="A1" s="1" t="s">
        <v>25</v>
      </c>
    </row>
    <row r="2" spans="1:15" x14ac:dyDescent="0.2">
      <c r="A2" s="48" t="s">
        <v>188</v>
      </c>
      <c r="B2" s="143" t="s">
        <v>76</v>
      </c>
      <c r="C2" s="143"/>
      <c r="D2" s="143"/>
      <c r="E2" s="143"/>
      <c r="F2" s="143"/>
      <c r="G2" s="143"/>
    </row>
    <row r="3" spans="1:15" x14ac:dyDescent="0.2">
      <c r="A3" s="106" t="s">
        <v>163</v>
      </c>
      <c r="B3" s="143" t="s">
        <v>132</v>
      </c>
      <c r="C3" s="143"/>
      <c r="D3" s="143"/>
      <c r="E3" s="143"/>
      <c r="F3" s="143"/>
      <c r="G3" s="143"/>
    </row>
    <row r="4" spans="1:15" x14ac:dyDescent="0.2">
      <c r="B4" s="144" t="s">
        <v>149</v>
      </c>
      <c r="C4" s="144"/>
      <c r="D4" s="144"/>
      <c r="E4" s="144"/>
      <c r="F4" s="144"/>
      <c r="G4" s="144"/>
    </row>
    <row r="5" spans="1:15" x14ac:dyDescent="0.2">
      <c r="A5" s="1"/>
    </row>
    <row r="6" spans="1:15" x14ac:dyDescent="0.2">
      <c r="B6" s="145" t="s">
        <v>26</v>
      </c>
      <c r="C6" s="145"/>
      <c r="D6" s="44"/>
      <c r="E6" s="3" t="s">
        <v>27</v>
      </c>
      <c r="F6" s="44"/>
      <c r="G6" s="3" t="s">
        <v>32</v>
      </c>
      <c r="I6" s="38" t="s">
        <v>55</v>
      </c>
    </row>
    <row r="7" spans="1:15" x14ac:dyDescent="0.2">
      <c r="B7" s="28" t="s">
        <v>35</v>
      </c>
      <c r="C7" s="28" t="s">
        <v>34</v>
      </c>
      <c r="D7" s="44"/>
      <c r="E7" s="44"/>
      <c r="F7" s="44"/>
      <c r="G7" s="44"/>
    </row>
    <row r="8" spans="1:15" x14ac:dyDescent="0.2">
      <c r="A8" s="1" t="s">
        <v>88</v>
      </c>
    </row>
    <row r="9" spans="1:15" x14ac:dyDescent="0.2">
      <c r="A9" t="s">
        <v>3</v>
      </c>
      <c r="B9">
        <v>138</v>
      </c>
      <c r="C9" s="11">
        <v>800</v>
      </c>
      <c r="D9" s="51"/>
      <c r="G9" s="4">
        <f>B9*C9</f>
        <v>110400</v>
      </c>
      <c r="I9" s="38" t="s">
        <v>93</v>
      </c>
    </row>
    <row r="10" spans="1:15" x14ac:dyDescent="0.2">
      <c r="A10" s="48" t="s">
        <v>89</v>
      </c>
      <c r="C10" s="11"/>
      <c r="D10" s="51"/>
      <c r="G10" s="4"/>
    </row>
    <row r="11" spans="1:15" x14ac:dyDescent="0.2">
      <c r="A11" t="s">
        <v>15</v>
      </c>
      <c r="B11">
        <f>B9</f>
        <v>138</v>
      </c>
      <c r="C11" s="11">
        <v>4.7</v>
      </c>
      <c r="D11" s="21"/>
      <c r="E11" s="21"/>
      <c r="F11" s="21"/>
      <c r="G11" s="4">
        <f>B11*C11</f>
        <v>648.6</v>
      </c>
    </row>
    <row r="12" spans="1:15" x14ac:dyDescent="0.2">
      <c r="A12" t="s">
        <v>23</v>
      </c>
      <c r="B12" s="63">
        <f>B11</f>
        <v>138</v>
      </c>
      <c r="C12" s="64">
        <v>24</v>
      </c>
      <c r="D12" s="62"/>
      <c r="E12" s="62"/>
      <c r="F12" s="62"/>
      <c r="G12" s="4">
        <f>B12*C12</f>
        <v>3312</v>
      </c>
    </row>
    <row r="13" spans="1:15" ht="13.5" thickBot="1" x14ac:dyDescent="0.25">
      <c r="A13" s="48" t="s">
        <v>36</v>
      </c>
      <c r="C13" s="13">
        <f>C9-C11-C12</f>
        <v>771.3</v>
      </c>
      <c r="D13" s="21"/>
      <c r="E13" s="5"/>
      <c r="F13" s="21"/>
      <c r="G13" s="89">
        <f>G9-G11-G12</f>
        <v>106439.4</v>
      </c>
      <c r="I13" s="38" t="s">
        <v>112</v>
      </c>
    </row>
    <row r="14" spans="1:15" ht="6.6" customHeight="1" thickTop="1" x14ac:dyDescent="0.2">
      <c r="A14" s="15"/>
      <c r="C14" s="11"/>
      <c r="D14" s="21"/>
      <c r="E14" s="5"/>
      <c r="F14" s="21"/>
      <c r="G14" s="20"/>
    </row>
    <row r="15" spans="1:15" ht="12.75" customHeight="1" x14ac:dyDescent="0.2">
      <c r="A15" s="1" t="s">
        <v>90</v>
      </c>
      <c r="C15" s="11"/>
      <c r="D15" s="21"/>
      <c r="E15" s="5"/>
      <c r="F15" s="21"/>
      <c r="G15" s="20"/>
      <c r="I15" s="38" t="s">
        <v>37</v>
      </c>
    </row>
    <row r="16" spans="1:15" ht="12.75" customHeight="1" x14ac:dyDescent="0.2">
      <c r="A16" s="48" t="s">
        <v>3</v>
      </c>
      <c r="B16">
        <v>205</v>
      </c>
      <c r="C16" s="11">
        <v>400</v>
      </c>
      <c r="D16" s="51"/>
      <c r="G16" s="4">
        <f>B16*C16</f>
        <v>82000</v>
      </c>
      <c r="I16" s="154" t="s">
        <v>94</v>
      </c>
      <c r="J16" s="154"/>
      <c r="K16" s="154"/>
      <c r="L16" s="154"/>
      <c r="M16" s="154"/>
      <c r="N16" s="154"/>
      <c r="O16" s="154"/>
    </row>
    <row r="17" spans="1:15" x14ac:dyDescent="0.2">
      <c r="A17" s="48" t="s">
        <v>89</v>
      </c>
      <c r="G17" s="4"/>
      <c r="I17" s="154"/>
      <c r="J17" s="154"/>
      <c r="K17" s="154"/>
      <c r="L17" s="154"/>
      <c r="M17" s="154"/>
      <c r="N17" s="154"/>
      <c r="O17" s="154"/>
    </row>
    <row r="18" spans="1:15" x14ac:dyDescent="0.2">
      <c r="A18" t="s">
        <v>15</v>
      </c>
      <c r="B18">
        <f>B16</f>
        <v>205</v>
      </c>
      <c r="C18" s="11">
        <v>4.7</v>
      </c>
      <c r="D18" s="21"/>
      <c r="E18" s="21"/>
      <c r="F18" s="21"/>
      <c r="G18" s="4">
        <f>B18*C18</f>
        <v>963.5</v>
      </c>
      <c r="I18" s="154"/>
      <c r="J18" s="154"/>
      <c r="K18" s="154"/>
      <c r="L18" s="154"/>
      <c r="M18" s="154"/>
      <c r="N18" s="154"/>
      <c r="O18" s="154"/>
    </row>
    <row r="19" spans="1:15" x14ac:dyDescent="0.2">
      <c r="A19" t="s">
        <v>23</v>
      </c>
      <c r="B19" s="63">
        <f>B18</f>
        <v>205</v>
      </c>
      <c r="C19" s="64">
        <v>24</v>
      </c>
      <c r="D19" s="21"/>
      <c r="E19" s="21"/>
      <c r="F19" s="21"/>
      <c r="G19" s="4">
        <f>B19*C19</f>
        <v>4920</v>
      </c>
    </row>
    <row r="20" spans="1:15" ht="13.15" customHeight="1" thickBot="1" x14ac:dyDescent="0.25">
      <c r="A20" s="48" t="s">
        <v>36</v>
      </c>
      <c r="C20" s="13">
        <f>C16-C18-C19</f>
        <v>371.3</v>
      </c>
      <c r="D20" s="52"/>
      <c r="E20" s="11"/>
      <c r="F20" s="54"/>
      <c r="G20" s="89">
        <f>G16-G18-G19</f>
        <v>76116.5</v>
      </c>
    </row>
    <row r="21" spans="1:15" ht="6.6" customHeight="1" thickTop="1" x14ac:dyDescent="0.2">
      <c r="A21" s="15"/>
      <c r="C21" s="11"/>
      <c r="D21" s="21"/>
      <c r="E21" s="5"/>
      <c r="F21" s="21"/>
      <c r="G21" s="20"/>
    </row>
    <row r="22" spans="1:15" ht="13.15" customHeight="1" x14ac:dyDescent="0.2">
      <c r="A22" s="1" t="s">
        <v>152</v>
      </c>
      <c r="C22" s="11"/>
      <c r="D22" s="21"/>
      <c r="E22" s="5"/>
      <c r="F22" s="21"/>
      <c r="G22" s="23">
        <f>G13+G20</f>
        <v>182555.9</v>
      </c>
    </row>
    <row r="23" spans="1:15" ht="6.6" customHeight="1" x14ac:dyDescent="0.2">
      <c r="A23" s="15"/>
      <c r="C23" s="11"/>
      <c r="D23" s="21"/>
      <c r="E23" s="5"/>
      <c r="F23" s="21"/>
      <c r="G23" s="20"/>
    </row>
    <row r="24" spans="1:15" ht="12.75" customHeight="1" x14ac:dyDescent="0.2">
      <c r="A24" s="1" t="s">
        <v>91</v>
      </c>
      <c r="C24" s="11"/>
      <c r="D24" s="21"/>
      <c r="E24" s="5"/>
      <c r="F24" s="21"/>
      <c r="G24" s="20"/>
    </row>
    <row r="25" spans="1:15" x14ac:dyDescent="0.2">
      <c r="A25" s="15" t="s">
        <v>67</v>
      </c>
    </row>
    <row r="26" spans="1:15" x14ac:dyDescent="0.2">
      <c r="A26" s="34" t="s">
        <v>65</v>
      </c>
      <c r="D26" s="51"/>
      <c r="E26" s="4">
        <v>8000</v>
      </c>
      <c r="F26" s="51"/>
      <c r="G26" s="4">
        <f>E26</f>
        <v>8000</v>
      </c>
    </row>
    <row r="27" spans="1:15" ht="12.75" customHeight="1" x14ac:dyDescent="0.2">
      <c r="A27" s="34" t="s">
        <v>66</v>
      </c>
      <c r="B27" s="50"/>
      <c r="C27" s="50"/>
      <c r="D27" s="21"/>
      <c r="E27" s="39">
        <v>1240</v>
      </c>
      <c r="F27" s="51"/>
      <c r="G27" s="39">
        <f t="shared" ref="G27:G45" si="0">E27</f>
        <v>1240</v>
      </c>
    </row>
    <row r="28" spans="1:15" x14ac:dyDescent="0.2">
      <c r="B28" s="21"/>
      <c r="C28" s="21"/>
      <c r="D28" s="21"/>
      <c r="E28" s="4">
        <f>SUM(E26:E27)</f>
        <v>9240</v>
      </c>
      <c r="F28" s="51"/>
      <c r="G28" s="4">
        <f t="shared" si="0"/>
        <v>9240</v>
      </c>
    </row>
    <row r="29" spans="1:15" x14ac:dyDescent="0.2">
      <c r="A29" t="s">
        <v>9</v>
      </c>
      <c r="B29" s="50"/>
      <c r="C29" s="50"/>
      <c r="D29" s="21"/>
      <c r="E29" s="5"/>
      <c r="F29" s="21"/>
      <c r="G29" s="4"/>
    </row>
    <row r="30" spans="1:15" x14ac:dyDescent="0.2">
      <c r="A30" s="34" t="s">
        <v>61</v>
      </c>
      <c r="B30" s="50"/>
      <c r="C30" s="50"/>
      <c r="D30" s="51"/>
      <c r="E30" s="4">
        <v>5400</v>
      </c>
      <c r="F30" s="51"/>
      <c r="G30" s="4">
        <f>E30</f>
        <v>5400</v>
      </c>
    </row>
    <row r="31" spans="1:15" x14ac:dyDescent="0.2">
      <c r="A31" s="34" t="s">
        <v>60</v>
      </c>
      <c r="B31" s="50"/>
      <c r="C31" s="50"/>
      <c r="D31" s="51"/>
      <c r="E31" s="4">
        <v>95000</v>
      </c>
      <c r="F31" s="51"/>
      <c r="G31" s="4">
        <f t="shared" si="0"/>
        <v>95000</v>
      </c>
    </row>
    <row r="32" spans="1:15" x14ac:dyDescent="0.2">
      <c r="A32" s="34" t="s">
        <v>62</v>
      </c>
      <c r="B32" s="50"/>
      <c r="C32" s="50"/>
      <c r="D32" s="21"/>
      <c r="E32" s="5"/>
      <c r="F32" s="21"/>
      <c r="G32" s="4"/>
    </row>
    <row r="33" spans="1:9" x14ac:dyDescent="0.2">
      <c r="A33" s="41" t="s">
        <v>63</v>
      </c>
      <c r="B33" s="50"/>
      <c r="C33" s="50"/>
      <c r="D33" s="51"/>
      <c r="E33" s="4">
        <v>25500</v>
      </c>
      <c r="F33" s="51"/>
      <c r="G33" s="4">
        <f t="shared" si="0"/>
        <v>25500</v>
      </c>
    </row>
    <row r="34" spans="1:9" x14ac:dyDescent="0.2">
      <c r="A34" s="41" t="s">
        <v>64</v>
      </c>
      <c r="B34" s="50"/>
      <c r="C34" s="50"/>
      <c r="D34" s="51"/>
      <c r="E34" s="39">
        <v>680</v>
      </c>
      <c r="F34" s="51"/>
      <c r="G34" s="39">
        <f t="shared" si="0"/>
        <v>680</v>
      </c>
    </row>
    <row r="35" spans="1:9" x14ac:dyDescent="0.2">
      <c r="B35" s="21"/>
      <c r="C35" s="40"/>
      <c r="D35" s="51"/>
      <c r="E35" s="4">
        <f>SUM(E30:E34)</f>
        <v>126580</v>
      </c>
      <c r="F35" s="51"/>
      <c r="G35" s="4">
        <f>E35</f>
        <v>126580</v>
      </c>
    </row>
    <row r="36" spans="1:9" x14ac:dyDescent="0.2">
      <c r="A36" t="s">
        <v>16</v>
      </c>
      <c r="B36" s="50"/>
      <c r="C36" s="40"/>
      <c r="D36" s="51"/>
      <c r="E36" s="4"/>
      <c r="F36" s="51"/>
      <c r="G36" s="4"/>
    </row>
    <row r="37" spans="1:9" x14ac:dyDescent="0.2">
      <c r="A37" s="34" t="s">
        <v>59</v>
      </c>
      <c r="B37" s="50"/>
      <c r="C37" s="40"/>
      <c r="D37" s="51"/>
      <c r="E37" s="51">
        <v>11200</v>
      </c>
      <c r="F37" s="51"/>
      <c r="G37" s="51">
        <f>E37</f>
        <v>11200</v>
      </c>
    </row>
    <row r="38" spans="1:9" x14ac:dyDescent="0.2">
      <c r="A38" s="34" t="s">
        <v>56</v>
      </c>
      <c r="B38" s="50"/>
      <c r="C38" s="40"/>
      <c r="D38" s="51"/>
      <c r="E38" s="4">
        <v>21600</v>
      </c>
      <c r="F38" s="51"/>
      <c r="G38" s="4">
        <f t="shared" si="0"/>
        <v>21600</v>
      </c>
    </row>
    <row r="39" spans="1:9" x14ac:dyDescent="0.2">
      <c r="A39" s="34" t="s">
        <v>57</v>
      </c>
      <c r="B39" s="50"/>
      <c r="C39" s="40"/>
      <c r="D39" s="51"/>
      <c r="E39" s="4">
        <v>12000</v>
      </c>
      <c r="F39" s="51"/>
      <c r="G39" s="4">
        <f t="shared" si="0"/>
        <v>12000</v>
      </c>
    </row>
    <row r="40" spans="1:9" x14ac:dyDescent="0.2">
      <c r="A40" s="34" t="s">
        <v>58</v>
      </c>
      <c r="B40" s="50"/>
      <c r="C40" s="40"/>
      <c r="D40" s="51"/>
      <c r="E40" s="39">
        <v>9000</v>
      </c>
      <c r="F40" s="51"/>
      <c r="G40" s="39">
        <f t="shared" si="0"/>
        <v>9000</v>
      </c>
    </row>
    <row r="41" spans="1:9" x14ac:dyDescent="0.2">
      <c r="B41" s="21"/>
      <c r="C41" s="40"/>
      <c r="D41" s="51"/>
      <c r="E41" s="4">
        <f>SUM(E37:E40)</f>
        <v>53800</v>
      </c>
      <c r="F41" s="51"/>
      <c r="G41" s="4">
        <f t="shared" si="0"/>
        <v>53800</v>
      </c>
    </row>
    <row r="42" spans="1:9" ht="6.6" customHeight="1" x14ac:dyDescent="0.2">
      <c r="A42" s="15"/>
      <c r="C42" s="11"/>
      <c r="D42" s="21"/>
      <c r="E42" s="5"/>
      <c r="F42" s="21"/>
      <c r="G42" s="20"/>
    </row>
    <row r="43" spans="1:9" x14ac:dyDescent="0.2">
      <c r="A43" t="s">
        <v>20</v>
      </c>
      <c r="D43" s="51"/>
      <c r="E43" s="4">
        <v>8083</v>
      </c>
      <c r="F43" s="51"/>
      <c r="G43" s="4">
        <f t="shared" si="0"/>
        <v>8083</v>
      </c>
      <c r="I43" s="38" t="s">
        <v>54</v>
      </c>
    </row>
    <row r="44" spans="1:9" x14ac:dyDescent="0.2">
      <c r="A44" t="s">
        <v>28</v>
      </c>
      <c r="D44" s="51"/>
      <c r="E44" s="4">
        <v>15236</v>
      </c>
      <c r="F44" s="51"/>
      <c r="G44" s="4">
        <f t="shared" si="0"/>
        <v>15236</v>
      </c>
      <c r="I44" s="38" t="s">
        <v>154</v>
      </c>
    </row>
    <row r="45" spans="1:9" ht="13.5" thickBot="1" x14ac:dyDescent="0.25">
      <c r="A45" s="48" t="s">
        <v>92</v>
      </c>
      <c r="C45" s="40"/>
      <c r="D45" s="51"/>
      <c r="E45" s="7">
        <f>+SUM(E43:E44)+E41+E35+E28</f>
        <v>212939</v>
      </c>
      <c r="F45" s="51"/>
      <c r="G45" s="89">
        <f t="shared" si="0"/>
        <v>212939</v>
      </c>
      <c r="I45"/>
    </row>
    <row r="46" spans="1:9" ht="13.5" thickTop="1" x14ac:dyDescent="0.2">
      <c r="C46" s="40"/>
      <c r="D46" s="51"/>
      <c r="E46" s="51"/>
      <c r="F46" s="51"/>
      <c r="G46" s="51"/>
      <c r="I46"/>
    </row>
    <row r="47" spans="1:9" x14ac:dyDescent="0.2">
      <c r="A47" s="1" t="s">
        <v>22</v>
      </c>
      <c r="D47" s="51"/>
      <c r="E47" s="4"/>
      <c r="F47" s="51"/>
      <c r="G47" s="23">
        <f>G13+G20-G45</f>
        <v>-30383.100000000006</v>
      </c>
      <c r="I47"/>
    </row>
    <row r="48" spans="1:9" x14ac:dyDescent="0.2">
      <c r="D48" s="21"/>
      <c r="E48" s="5"/>
      <c r="F48" s="21"/>
      <c r="G48" s="5"/>
      <c r="I48"/>
    </row>
    <row r="49" spans="1:9" x14ac:dyDescent="0.2">
      <c r="A49" s="1" t="s">
        <v>86</v>
      </c>
      <c r="B49" s="27">
        <f>(G45-G20)/C13</f>
        <v>177.39206534422405</v>
      </c>
      <c r="G49" s="23">
        <f>(G45-G20)/(G13/G9)</f>
        <v>141913.65227537925</v>
      </c>
      <c r="I49" s="38" t="s">
        <v>87</v>
      </c>
    </row>
  </sheetData>
  <mergeCells count="5">
    <mergeCell ref="B2:G2"/>
    <mergeCell ref="B3:G3"/>
    <mergeCell ref="B4:G4"/>
    <mergeCell ref="B6:C6"/>
    <mergeCell ref="I16:O18"/>
  </mergeCells>
  <pageMargins left="0.51181102362204722" right="0.51181102362204722" top="1.1417322834645669" bottom="0.74803149606299213" header="0.51181102362204722" footer="0.51181102362204722"/>
  <pageSetup scale="80" orientation="landscape" r:id="rId1"/>
  <headerFooter scaleWithDoc="0">
    <oddFooter>&amp;L&amp;"Agfa Rotis Sans Serif,Regular"(c) Markus Maedler | 2009-2022&amp;R&amp;"Agfa Rotis Sans Serif,Regular"&amp;F | 3b</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CC447603690848868FA66687B444F8" ma:contentTypeVersion="14" ma:contentTypeDescription="Utwórz nowy dokument." ma:contentTypeScope="" ma:versionID="3cedabb3e797aea379bd25f5135f514e">
  <xsd:schema xmlns:xsd="http://www.w3.org/2001/XMLSchema" xmlns:xs="http://www.w3.org/2001/XMLSchema" xmlns:p="http://schemas.microsoft.com/office/2006/metadata/properties" xmlns:ns2="5fd1f750-bc3e-40e5-b056-3e3bd9bae898" xmlns:ns3="7cebc644-8943-4093-b2df-71a7d3d0fd4c" targetNamespace="http://schemas.microsoft.com/office/2006/metadata/properties" ma:root="true" ma:fieldsID="af169be6c30f35423badac68fdd75e59" ns2:_="" ns3:_="">
    <xsd:import namespace="5fd1f750-bc3e-40e5-b056-3e3bd9bae898"/>
    <xsd:import namespace="7cebc644-8943-4093-b2df-71a7d3d0fd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d1f750-bc3e-40e5-b056-3e3bd9bae8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i obrazów" ma:readOnly="false" ma:fieldId="{5cf76f15-5ced-4ddc-b409-7134ff3c332f}" ma:taxonomyMulti="true" ma:sspId="89cb2ede-04ef-4bc4-8a53-621eaf49240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ebc644-8943-4093-b2df-71a7d3d0fd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c763a93-e5a0-48e7-9c04-a9bd637ee440}" ma:internalName="TaxCatchAll" ma:showField="CatchAllData" ma:web="7cebc644-8943-4093-b2df-71a7d3d0fd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d1f750-bc3e-40e5-b056-3e3bd9bae898">
      <Terms xmlns="http://schemas.microsoft.com/office/infopath/2007/PartnerControls"/>
    </lcf76f155ced4ddcb4097134ff3c332f>
    <TaxCatchAll xmlns="7cebc644-8943-4093-b2df-71a7d3d0fd4c" xsi:nil="true"/>
  </documentManagement>
</p:properties>
</file>

<file path=customXml/itemProps1.xml><?xml version="1.0" encoding="utf-8"?>
<ds:datastoreItem xmlns:ds="http://schemas.openxmlformats.org/officeDocument/2006/customXml" ds:itemID="{2F4D0203-0E49-443C-B507-A97D90401F60}"/>
</file>

<file path=customXml/itemProps2.xml><?xml version="1.0" encoding="utf-8"?>
<ds:datastoreItem xmlns:ds="http://schemas.openxmlformats.org/officeDocument/2006/customXml" ds:itemID="{369A290C-A034-4A2B-87EE-F5578FC62843}"/>
</file>

<file path=customXml/itemProps3.xml><?xml version="1.0" encoding="utf-8"?>
<ds:datastoreItem xmlns:ds="http://schemas.openxmlformats.org/officeDocument/2006/customXml" ds:itemID="{26311916-1447-4608-8BB4-F3C4D9D381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1 READ THIS FIRST</vt:lpstr>
      <vt:lpstr>2a CB (abr)</vt:lpstr>
      <vt:lpstr>3a CIS basic (abr)</vt:lpstr>
      <vt:lpstr>4 Marketing</vt:lpstr>
      <vt:lpstr>5a Decision (abr)</vt:lpstr>
      <vt:lpstr>6a CIS advcd (abr)</vt:lpstr>
      <vt:lpstr>7a SIS (abr)</vt:lpstr>
      <vt:lpstr>2b CB</vt:lpstr>
      <vt:lpstr>3b CIS basic</vt:lpstr>
      <vt:lpstr>5b Decision</vt:lpstr>
      <vt:lpstr>6b CIS advcd</vt:lpstr>
      <vt:lpstr>6c CIS advcd Alt.1</vt:lpstr>
      <vt:lpstr>6d CIS advcd Alt.2</vt:lpstr>
      <vt:lpstr>7b SIS</vt:lpstr>
    </vt:vector>
  </TitlesOfParts>
  <Company>IESE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Maedler</dc:creator>
  <cp:lastModifiedBy>Mädler, Markus</cp:lastModifiedBy>
  <cp:lastPrinted>2015-01-14T15:48:33Z</cp:lastPrinted>
  <dcterms:created xsi:type="dcterms:W3CDTF">2000-03-22T23:34:18Z</dcterms:created>
  <dcterms:modified xsi:type="dcterms:W3CDTF">2022-02-13T17:08:42Z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0x01010054CC447603690848868FA66687B444F8</vt:lpwstr>
  </property>
</Properties>
</file>