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s" sheetId="1" state="visible" r:id="rId3"/>
    <sheet name="Build estimate" sheetId="2" state="visible" r:id="rId4"/>
    <sheet name="Monthly ru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<sst xmlns="http://schemas.openxmlformats.org/spreadsheetml/2006/main" count="102" uniqueCount="102">
  <si>
    <t xml:space="preserve">Telemedicine cost model — inputs</t>
  </si>
  <si>
    <t xml:space="preserve">Blue cells are yours to change. Defaults reproduce the article's worked example (5,000 visits/month, month 12).</t>
  </si>
  <si>
    <t xml:space="preserve">VOLUME &amp; USAGE</t>
  </si>
  <si>
    <t xml:space="preserve">Video visits per month</t>
  </si>
  <si>
    <t xml:space="preserve">Average visit length, minutes</t>
  </si>
  <si>
    <t xml:space="preserve">Participants per visit</t>
  </si>
  <si>
    <t xml:space="preserve">Share of visits recorded</t>
  </si>
  <si>
    <t xml:space="preserve">1.0 = record everything</t>
  </si>
  <si>
    <t xml:space="preserve">New patients per month (identity checks)</t>
  </si>
  <si>
    <t xml:space="preserve">Active providers</t>
  </si>
  <si>
    <t xml:space="preserve">Prescribers (e-Rx seats)</t>
  </si>
  <si>
    <t xml:space="preserve">set 0 if no e-prescribing</t>
  </si>
  <si>
    <t xml:space="preserve">AI scribe seats</t>
  </si>
  <si>
    <t xml:space="preserve">set 0 to drop the scribe</t>
  </si>
  <si>
    <t xml:space="preserve">Operating month (for storage pile-up)</t>
  </si>
  <si>
    <t xml:space="preserve">storage grows every month</t>
  </si>
  <si>
    <t xml:space="preserve">BUILD</t>
  </si>
  <si>
    <t xml:space="preserve">Team size, full-time equivalents</t>
  </si>
  <si>
    <t xml:space="preserve">PM+designer 0.5 each, 2 BE, 1–2 app, QA</t>
  </si>
  <si>
    <t xml:space="preserve">Build duration, months</t>
  </si>
  <si>
    <t xml:space="preserve">Hours per FTE per month</t>
  </si>
  <si>
    <t xml:space="preserve">Blended rate, $/hour</t>
  </si>
  <si>
    <t xml:space="preserve">nearshore ≈ $55; US agency ≈ $160 (2026)</t>
  </si>
  <si>
    <t xml:space="preserve">One-time compliance (risk analysis, policies, BAAs, pen test)</t>
  </si>
  <si>
    <t xml:space="preserve">$25–40k typical for PHI tier</t>
  </si>
  <si>
    <t xml:space="preserve">RUN RATES (2026 list prices — verify at contract time)</t>
  </si>
  <si>
    <t xml:space="preserve">CPaaS price, $/participant-minute</t>
  </si>
  <si>
    <t xml:space="preserve">Vonage 0.00395, Daily 0.004; BAA required</t>
  </si>
  <si>
    <t xml:space="preserve">Recording processing, $/recorded minute</t>
  </si>
  <si>
    <t xml:space="preserve">CPaaS composition 0.005–0.015</t>
  </si>
  <si>
    <t xml:space="preserve">Recording size, MB per minute</t>
  </si>
  <si>
    <t xml:space="preserve">225 MB per 20-min visit at 1.5 Mbit/s</t>
  </si>
  <si>
    <t xml:space="preserve">Object storage, $/GB-month</t>
  </si>
  <si>
    <t xml:space="preserve">S3 Standard; archive tiers from $0.004</t>
  </si>
  <si>
    <t xml:space="preserve">Identity verification, $/check</t>
  </si>
  <si>
    <t xml:space="preserve">Stripe Identity $1.50; Veriff ~$0.80</t>
  </si>
  <si>
    <t xml:space="preserve">AI scribe, $/provider/month</t>
  </si>
  <si>
    <t xml:space="preserve">$59–299 market band, $150–200 norm</t>
  </si>
  <si>
    <t xml:space="preserve">e-Rx network, $/prescriber/month</t>
  </si>
  <si>
    <t xml:space="preserve">quote-based estimate — confirm</t>
  </si>
  <si>
    <t xml:space="preserve">EHR aggregator, $/year</t>
  </si>
  <si>
    <t xml:space="preserve">Redox-class ACV $30–60k small scale</t>
  </si>
  <si>
    <t xml:space="preserve">Compliance operations, $/year</t>
  </si>
  <si>
    <t xml:space="preserve">risk analysis + pen test + SOC 2</t>
  </si>
  <si>
    <t xml:space="preserve">BAA-covered cloud floor, $/month</t>
  </si>
  <si>
    <t xml:space="preserve">app, DB, signaling, logs, backups</t>
  </si>
  <si>
    <t xml:space="preserve">Maintenance, % of build per year</t>
  </si>
  <si>
    <t xml:space="preserve">industry rule of thumb 15–20%</t>
  </si>
  <si>
    <t xml:space="preserve">Support + on-call, $/month</t>
  </si>
  <si>
    <t xml:space="preserve">2 agents + 0.5 SRE, nearshore loaded</t>
  </si>
  <si>
    <t xml:space="preserve">Sources: article References — Vonage/Daily/Agora/LiveKit pricing pages, AWS, Stripe, Vendr (Redox), Drata (SOC 2), Commure/AAFP (scribe), Aalpha (rates); accessed 2026-06-11.</t>
  </si>
  <si>
    <t xml:space="preserve">Budget one: the build (one-time)</t>
  </si>
  <si>
    <t xml:space="preserve">Engineering hours</t>
  </si>
  <si>
    <t xml:space="preserve">FTE × hours/month × months</t>
  </si>
  <si>
    <t xml:space="preserve">Engineering cost</t>
  </si>
  <si>
    <t xml:space="preserve">hours × blended rate</t>
  </si>
  <si>
    <t xml:space="preserve">One-time compliance</t>
  </si>
  <si>
    <t xml:space="preserve">risk analysis (45 CFR §164.308), policies, BAAs, pen test</t>
  </si>
  <si>
    <t xml:space="preserve">TOTAL BUILD</t>
  </si>
  <si>
    <t xml:space="preserve">Reference ranges (2026, PHI compliance tier):</t>
  </si>
  <si>
    <t xml:space="preserve">Lean MVP</t>
  </si>
  <si>
    <t xml:space="preserve">$130–160k nearshore · $380–460k US</t>
  </si>
  <si>
    <t xml:space="preserve">Clinical-grade MVP</t>
  </si>
  <si>
    <t xml:space="preserve">$260–310k nearshore · $740–880k US</t>
  </si>
  <si>
    <t xml:space="preserve">Integrated platform</t>
  </si>
  <si>
    <t xml:space="preserve">$400–550k nearshore · $1.1–1.6M US</t>
  </si>
  <si>
    <t xml:space="preserve">Budget two: the run (per month)</t>
  </si>
  <si>
    <t xml:space="preserve">Run line</t>
  </si>
  <si>
    <t xml:space="preserve">$/month</t>
  </si>
  <si>
    <t xml:space="preserve">Share</t>
  </si>
  <si>
    <t xml:space="preserve">How it is computed</t>
  </si>
  <si>
    <t xml:space="preserve">Video transport (CPaaS, BAA signed)</t>
  </si>
  <si>
    <t xml:space="preserve">visits × minutes × participants × $/participant-min</t>
  </si>
  <si>
    <t xml:space="preserve">Recording processing</t>
  </si>
  <si>
    <t xml:space="preserve">recorded minutes × $/recorded minute</t>
  </si>
  <si>
    <t xml:space="preserve">Recording storage (cumulative)</t>
  </si>
  <si>
    <t xml:space="preserve">GB added/month × operating month × $/GB-mo (Standard class)</t>
  </si>
  <si>
    <t xml:space="preserve">BAA-covered cloud floor</t>
  </si>
  <si>
    <t xml:space="preserve">app servers, DB, signaling, logs, backups</t>
  </si>
  <si>
    <t xml:space="preserve">Identity verification</t>
  </si>
  <si>
    <t xml:space="preserve">new patients × $/check</t>
  </si>
  <si>
    <t xml:space="preserve">EHR aggregator</t>
  </si>
  <si>
    <t xml:space="preserve">annual contract ÷ 12</t>
  </si>
  <si>
    <t xml:space="preserve">e-Prescribing network</t>
  </si>
  <si>
    <t xml:space="preserve">prescribers × $/prescriber/month</t>
  </si>
  <si>
    <t xml:space="preserve">AI scribe</t>
  </si>
  <si>
    <t xml:space="preserve">seats × $/provider/month</t>
  </si>
  <si>
    <t xml:space="preserve">Compliance operations</t>
  </si>
  <si>
    <t xml:space="preserve">risk analysis + pen test + SOC 2, annual ÷ 12</t>
  </si>
  <si>
    <t xml:space="preserve">Maintenance engineering</t>
  </si>
  <si>
    <t xml:space="preserve">build total × %/year ÷ 12</t>
  </si>
  <si>
    <t xml:space="preserve">Support + on-call</t>
  </si>
  <si>
    <t xml:space="preserve">input</t>
  </si>
  <si>
    <t xml:space="preserve">TOTAL RUN / MONTH</t>
  </si>
  <si>
    <t xml:space="preserve">Per-visit cost</t>
  </si>
  <si>
    <t xml:space="preserve">total ÷ visits — compare with your visit price</t>
  </si>
  <si>
    <t xml:space="preserve">All video lines combined</t>
  </si>
  <si>
    <t xml:space="preserve">transport + processing + storage — the slice everyone negotiates</t>
  </si>
  <si>
    <t xml:space="preserve">Annual run</t>
  </si>
  <si>
    <t xml:space="preserve">3-year TCO (build + 36 months run)</t>
  </si>
  <si>
    <t xml:space="preserve">build is typically ~15% of the 3-year total</t>
  </si>
  <si>
    <t xml:space="preserve">Companion to: 'The Telemedicine Cost Model' · www.forasoft.com/learn/telemedicine-video/articles-telemedicine/telemedicine-cost-model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</si>
</sst>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%"/>
    <numFmt numFmtId="166" formatCode="\$#,##0;&quot;($&quot;#,##0\);\-"/>
    <numFmt numFmtId="167" formatCode="\$0.0000"/>
    <numFmt numFmtId="168" formatCode="\$#,##0.00;&quot;($&quot;#,##0.00\);\-"/>
    <numFmt numFmtId="169" formatCode="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3A6F"/>
      <name val="Arial"/>
      <family val="0"/>
      <charset val="1"/>
    </font>
    <font>
      <i val="true"/>
      <sz val="9"/>
      <color rgb="FF7A7F87"/>
      <name val="Arial"/>
      <family val="0"/>
      <charset val="1"/>
    </font>
    <font>
      <b val="true"/>
      <sz val="11"/>
      <color rgb="FF1B3A6F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008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5F7FA"/>
        <bgColor rgb="FFE8EBE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8EBEF"/>
      </left>
      <right style="thin">
        <color rgb="FFE8EBEF"/>
      </right>
      <top style="thin">
        <color rgb="FFE8EBEF"/>
      </top>
      <bottom style="thin">
        <color rgb="FFE8EBE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5F7F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A7F87"/>
      <rgbColor rgb="FF9999FF"/>
      <rgbColor rgb="FF993366"/>
      <rgbColor rgb="FFFFFFCC"/>
      <rgbColor rgb="FFE8EB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B3A6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6"/>
    <col collapsed="false" customWidth="true" hidden="false" outlineLevel="0" max="2" min="2" style="0" width="14"/>
    <col collapsed="false" customWidth="true" hidden="false" outlineLevel="0" max="3" min="3" style="0" width="64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/>
      <c r="C4" s="4"/>
    </row>
    <row r="5" customFormat="false" ht="15" hidden="false" customHeight="false" outlineLevel="0" collapsed="false">
      <c r="A5" s="5" t="s">
        <v>3</v>
      </c>
      <c r="B5" s="6" t="n">
        <v>5000</v>
      </c>
    </row>
    <row r="6" customFormat="false" ht="15" hidden="false" customHeight="false" outlineLevel="0" collapsed="false">
      <c r="A6" s="5" t="s">
        <v>4</v>
      </c>
      <c r="B6" s="6" t="n">
        <v>20</v>
      </c>
    </row>
    <row r="7" customFormat="false" ht="15" hidden="false" customHeight="false" outlineLevel="0" collapsed="false">
      <c r="A7" s="5" t="s">
        <v>5</v>
      </c>
      <c r="B7" s="6" t="n">
        <v>2</v>
      </c>
    </row>
    <row r="8" customFormat="false" ht="15" hidden="false" customHeight="false" outlineLevel="0" collapsed="false">
      <c r="A8" s="5" t="s">
        <v>6</v>
      </c>
      <c r="B8" s="7" t="n">
        <v>1</v>
      </c>
      <c r="C8" s="2" t="s">
        <v>7</v>
      </c>
    </row>
    <row r="9" customFormat="false" ht="15" hidden="false" customHeight="false" outlineLevel="0" collapsed="false">
      <c r="A9" s="5" t="s">
        <v>8</v>
      </c>
      <c r="B9" s="6" t="n">
        <v>1500</v>
      </c>
    </row>
    <row r="10" customFormat="false" ht="15" hidden="false" customHeight="false" outlineLevel="0" collapsed="false">
      <c r="A10" s="5" t="s">
        <v>9</v>
      </c>
      <c r="B10" s="6" t="n">
        <v>60</v>
      </c>
    </row>
    <row r="11" customFormat="false" ht="15" hidden="false" customHeight="false" outlineLevel="0" collapsed="false">
      <c r="A11" s="5" t="s">
        <v>10</v>
      </c>
      <c r="B11" s="6" t="n">
        <v>60</v>
      </c>
      <c r="C11" s="2" t="s">
        <v>11</v>
      </c>
    </row>
    <row r="12" customFormat="false" ht="15" hidden="false" customHeight="false" outlineLevel="0" collapsed="false">
      <c r="A12" s="5" t="s">
        <v>12</v>
      </c>
      <c r="B12" s="6" t="n">
        <v>60</v>
      </c>
      <c r="C12" s="2" t="s">
        <v>13</v>
      </c>
    </row>
    <row r="13" customFormat="false" ht="15" hidden="false" customHeight="false" outlineLevel="0" collapsed="false">
      <c r="A13" s="5" t="s">
        <v>14</v>
      </c>
      <c r="B13" s="6" t="n">
        <v>12</v>
      </c>
      <c r="C13" s="2" t="s">
        <v>15</v>
      </c>
    </row>
    <row r="14" customFormat="false" ht="15" hidden="false" customHeight="false" outlineLevel="0" collapsed="false">
      <c r="A14" s="3" t="s">
        <v>16</v>
      </c>
      <c r="B14" s="4"/>
      <c r="C14" s="4"/>
    </row>
    <row r="15" customFormat="false" ht="15" hidden="false" customHeight="false" outlineLevel="0" collapsed="false">
      <c r="A15" s="5" t="s">
        <v>17</v>
      </c>
      <c r="B15" s="6" t="n">
        <v>5</v>
      </c>
      <c r="C15" s="2" t="s">
        <v>18</v>
      </c>
    </row>
    <row r="16" customFormat="false" ht="15" hidden="false" customHeight="false" outlineLevel="0" collapsed="false">
      <c r="A16" s="5" t="s">
        <v>19</v>
      </c>
      <c r="B16" s="6" t="n">
        <v>6</v>
      </c>
    </row>
    <row r="17" customFormat="false" ht="15" hidden="false" customHeight="false" outlineLevel="0" collapsed="false">
      <c r="A17" s="5" t="s">
        <v>20</v>
      </c>
      <c r="B17" s="6" t="n">
        <v>160</v>
      </c>
    </row>
    <row r="18" customFormat="false" ht="15" hidden="false" customHeight="false" outlineLevel="0" collapsed="false">
      <c r="A18" s="5" t="s">
        <v>21</v>
      </c>
      <c r="B18" s="6" t="n">
        <v>55</v>
      </c>
      <c r="C18" s="2" t="s">
        <v>22</v>
      </c>
    </row>
    <row r="19" customFormat="false" ht="15" hidden="false" customHeight="false" outlineLevel="0" collapsed="false">
      <c r="A19" s="5" t="s">
        <v>23</v>
      </c>
      <c r="B19" s="8" t="n">
        <v>32500</v>
      </c>
      <c r="C19" s="2" t="s">
        <v>24</v>
      </c>
    </row>
    <row r="20" customFormat="false" ht="15" hidden="false" customHeight="false" outlineLevel="0" collapsed="false">
      <c r="A20" s="3" t="s">
        <v>25</v>
      </c>
      <c r="B20" s="4"/>
      <c r="C20" s="4"/>
    </row>
    <row r="21" customFormat="false" ht="15" hidden="false" customHeight="false" outlineLevel="0" collapsed="false">
      <c r="A21" s="5" t="s">
        <v>26</v>
      </c>
      <c r="B21" s="9" t="n">
        <v>0.004</v>
      </c>
      <c r="C21" s="2" t="s">
        <v>27</v>
      </c>
    </row>
    <row r="22" customFormat="false" ht="15" hidden="false" customHeight="false" outlineLevel="0" collapsed="false">
      <c r="A22" s="5" t="s">
        <v>28</v>
      </c>
      <c r="B22" s="9" t="n">
        <v>0.01</v>
      </c>
      <c r="C22" s="2" t="s">
        <v>29</v>
      </c>
    </row>
    <row r="23" customFormat="false" ht="15" hidden="false" customHeight="false" outlineLevel="0" collapsed="false">
      <c r="A23" s="5" t="s">
        <v>30</v>
      </c>
      <c r="B23" s="6" t="n">
        <v>11.25</v>
      </c>
      <c r="C23" s="2" t="s">
        <v>31</v>
      </c>
    </row>
    <row r="24" customFormat="false" ht="15" hidden="false" customHeight="false" outlineLevel="0" collapsed="false">
      <c r="A24" s="5" t="s">
        <v>32</v>
      </c>
      <c r="B24" s="9" t="n">
        <v>0.023</v>
      </c>
      <c r="C24" s="2" t="s">
        <v>33</v>
      </c>
    </row>
    <row r="25" customFormat="false" ht="15" hidden="false" customHeight="false" outlineLevel="0" collapsed="false">
      <c r="A25" s="5" t="s">
        <v>34</v>
      </c>
      <c r="B25" s="10" t="n">
        <v>1.5</v>
      </c>
      <c r="C25" s="2" t="s">
        <v>35</v>
      </c>
    </row>
    <row r="26" customFormat="false" ht="15" hidden="false" customHeight="false" outlineLevel="0" collapsed="false">
      <c r="A26" s="5" t="s">
        <v>36</v>
      </c>
      <c r="B26" s="8" t="n">
        <v>150</v>
      </c>
      <c r="C26" s="2" t="s">
        <v>37</v>
      </c>
    </row>
    <row r="27" customFormat="false" ht="15" hidden="false" customHeight="false" outlineLevel="0" collapsed="false">
      <c r="A27" s="5" t="s">
        <v>38</v>
      </c>
      <c r="B27" s="8" t="n">
        <v>75</v>
      </c>
      <c r="C27" s="2" t="s">
        <v>39</v>
      </c>
    </row>
    <row r="28" customFormat="false" ht="15" hidden="false" customHeight="false" outlineLevel="0" collapsed="false">
      <c r="A28" s="5" t="s">
        <v>40</v>
      </c>
      <c r="B28" s="8" t="n">
        <v>45000</v>
      </c>
      <c r="C28" s="2" t="s">
        <v>41</v>
      </c>
    </row>
    <row r="29" customFormat="false" ht="15" hidden="false" customHeight="false" outlineLevel="0" collapsed="false">
      <c r="A29" s="5" t="s">
        <v>42</v>
      </c>
      <c r="B29" s="8" t="n">
        <v>60000</v>
      </c>
      <c r="C29" s="2" t="s">
        <v>43</v>
      </c>
    </row>
    <row r="30" customFormat="false" ht="15" hidden="false" customHeight="false" outlineLevel="0" collapsed="false">
      <c r="A30" s="5" t="s">
        <v>44</v>
      </c>
      <c r="B30" s="8" t="n">
        <v>2500</v>
      </c>
      <c r="C30" s="2" t="s">
        <v>45</v>
      </c>
    </row>
    <row r="31" customFormat="false" ht="15" hidden="false" customHeight="false" outlineLevel="0" collapsed="false">
      <c r="A31" s="5" t="s">
        <v>46</v>
      </c>
      <c r="B31" s="7" t="n">
        <v>0.18</v>
      </c>
      <c r="C31" s="2" t="s">
        <v>47</v>
      </c>
    </row>
    <row r="32" customFormat="false" ht="15" hidden="false" customHeight="false" outlineLevel="0" collapsed="false">
      <c r="A32" s="5" t="s">
        <v>48</v>
      </c>
      <c r="B32" s="8" t="n">
        <v>13500</v>
      </c>
      <c r="C32" s="2" t="s">
        <v>49</v>
      </c>
    </row>
    <row r="34" customFormat="false" ht="15" hidden="false" customHeight="false" outlineLevel="0" collapsed="false">
      <c r="A34" s="2" t="s">
        <v>50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6"/>
    <col collapsed="false" customWidth="true" hidden="false" outlineLevel="0" max="2" min="2" style="0" width="16"/>
    <col collapsed="false" customWidth="true" hidden="false" outlineLevel="0" max="3" min="3" style="0" width="58"/>
  </cols>
  <sheetData>
    <row r="1" customFormat="false" ht="17.35" hidden="false" customHeight="false" outlineLevel="0" collapsed="false">
      <c r="A1" s="1" t="s">
        <v>51</v>
      </c>
    </row>
    <row r="3" customFormat="false" ht="15" hidden="false" customHeight="false" outlineLevel="0" collapsed="false">
      <c r="A3" s="5" t="s">
        <v>52</v>
      </c>
      <c r="B3" s="11" t="n">
        <f aca="false">Inputs!$B$15*Inputs!$B$17*Inputs!$B$16</f>
        <v>4800</v>
      </c>
      <c r="C3" s="2" t="s">
        <v>53</v>
      </c>
    </row>
    <row r="4" customFormat="false" ht="15" hidden="false" customHeight="false" outlineLevel="0" collapsed="false">
      <c r="A4" s="5" t="s">
        <v>54</v>
      </c>
      <c r="B4" s="12" t="n">
        <f aca="false">B3*Inputs!$B$18</f>
        <v>264000</v>
      </c>
      <c r="C4" s="2" t="s">
        <v>55</v>
      </c>
    </row>
    <row r="5" customFormat="false" ht="15" hidden="false" customHeight="false" outlineLevel="0" collapsed="false">
      <c r="A5" s="5" t="s">
        <v>56</v>
      </c>
      <c r="B5" s="12" t="n">
        <f aca="false">Inputs!$B$19</f>
        <v>32500</v>
      </c>
      <c r="C5" s="2" t="s">
        <v>57</v>
      </c>
    </row>
    <row r="6" customFormat="false" ht="15" hidden="false" customHeight="false" outlineLevel="0" collapsed="false">
      <c r="A6" s="13" t="s">
        <v>58</v>
      </c>
      <c r="B6" s="14" t="n">
        <f aca="false">B4+B5</f>
        <v>296500</v>
      </c>
      <c r="C6" s="2"/>
    </row>
    <row r="8" customFormat="false" ht="15" hidden="false" customHeight="false" outlineLevel="0" collapsed="false">
      <c r="A8" s="15" t="s">
        <v>59</v>
      </c>
    </row>
    <row r="9" customFormat="false" ht="15" hidden="false" customHeight="false" outlineLevel="0" collapsed="false">
      <c r="A9" s="5" t="s">
        <v>60</v>
      </c>
      <c r="B9" s="2" t="s">
        <v>61</v>
      </c>
    </row>
    <row r="10" customFormat="false" ht="15" hidden="false" customHeight="false" outlineLevel="0" collapsed="false">
      <c r="A10" s="5" t="s">
        <v>62</v>
      </c>
      <c r="B10" s="2" t="s">
        <v>63</v>
      </c>
    </row>
    <row r="11" customFormat="false" ht="15" hidden="false" customHeight="false" outlineLevel="0" collapsed="false">
      <c r="A11" s="5" t="s">
        <v>64</v>
      </c>
      <c r="B11" s="2" t="s">
        <v>65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15"/>
    <col collapsed="false" customWidth="true" hidden="false" outlineLevel="0" max="3" min="3" style="0" width="11"/>
    <col collapsed="false" customWidth="true" hidden="false" outlineLevel="0" max="4" min="4" style="0" width="62"/>
  </cols>
  <sheetData>
    <row r="1" customFormat="false" ht="17.35" hidden="false" customHeight="false" outlineLevel="0" collapsed="false">
      <c r="A1" s="1" t="s">
        <v>66</v>
      </c>
    </row>
    <row r="3" customFormat="false" ht="15" hidden="false" customHeight="false" outlineLevel="0" collapsed="false">
      <c r="A3" s="3" t="s">
        <v>67</v>
      </c>
      <c r="B3" s="3" t="s">
        <v>68</v>
      </c>
      <c r="C3" s="3" t="s">
        <v>69</v>
      </c>
      <c r="D3" s="3" t="s">
        <v>70</v>
      </c>
    </row>
    <row r="4" customFormat="false" ht="15" hidden="false" customHeight="false" outlineLevel="0" collapsed="false">
      <c r="A4" s="5" t="s">
        <v>71</v>
      </c>
      <c r="B4" s="16" t="n">
        <f aca="false">Inputs!$B$5*Inputs!$B$6*Inputs!$B$7*Inputs!$B$21</f>
        <v>800</v>
      </c>
      <c r="C4" s="17" t="n">
        <f aca="false">B4/$B$16</f>
        <v>0.0170002975052063</v>
      </c>
      <c r="D4" s="2" t="s">
        <v>72</v>
      </c>
    </row>
    <row r="5" customFormat="false" ht="15" hidden="false" customHeight="false" outlineLevel="0" collapsed="false">
      <c r="A5" s="5" t="s">
        <v>73</v>
      </c>
      <c r="B5" s="16" t="n">
        <f aca="false">Inputs!$B$5*Inputs!$B$6*Inputs!$B$8*Inputs!$B$22</f>
        <v>1000</v>
      </c>
      <c r="C5" s="17" t="n">
        <f aca="false">B5/$B$16</f>
        <v>0.0212503718815079</v>
      </c>
      <c r="D5" s="2" t="s">
        <v>74</v>
      </c>
    </row>
    <row r="6" customFormat="false" ht="15" hidden="false" customHeight="false" outlineLevel="0" collapsed="false">
      <c r="A6" s="5" t="s">
        <v>75</v>
      </c>
      <c r="B6" s="16" t="n">
        <f aca="false">Inputs!$B$5*Inputs!$B$6*Inputs!$B$8*Inputs!$B$23/1000*Inputs!$B$13*Inputs!$B$24</f>
        <v>310.5</v>
      </c>
      <c r="C6" s="17" t="n">
        <f aca="false">B6/$B$16</f>
        <v>0.00659824046920821</v>
      </c>
      <c r="D6" s="2" t="s">
        <v>76</v>
      </c>
    </row>
    <row r="7" customFormat="false" ht="15" hidden="false" customHeight="false" outlineLevel="0" collapsed="false">
      <c r="A7" s="5" t="s">
        <v>77</v>
      </c>
      <c r="B7" s="16" t="n">
        <f aca="false">Inputs!$B$30</f>
        <v>2500</v>
      </c>
      <c r="C7" s="17" t="n">
        <f aca="false">B7/$B$16</f>
        <v>0.0531259297037698</v>
      </c>
      <c r="D7" s="2" t="s">
        <v>78</v>
      </c>
    </row>
    <row r="8" customFormat="false" ht="15" hidden="false" customHeight="false" outlineLevel="0" collapsed="false">
      <c r="A8" s="5" t="s">
        <v>79</v>
      </c>
      <c r="B8" s="16" t="n">
        <f aca="false">Inputs!$B$9*Inputs!$B$25</f>
        <v>2250</v>
      </c>
      <c r="C8" s="17" t="n">
        <f aca="false">B8/$B$16</f>
        <v>0.0478133367333928</v>
      </c>
      <c r="D8" s="2" t="s">
        <v>80</v>
      </c>
    </row>
    <row r="9" customFormat="false" ht="15" hidden="false" customHeight="false" outlineLevel="0" collapsed="false">
      <c r="A9" s="5" t="s">
        <v>81</v>
      </c>
      <c r="B9" s="16" t="n">
        <f aca="false">Inputs!$B$28/12</f>
        <v>3750</v>
      </c>
      <c r="C9" s="17" t="n">
        <f aca="false">B9/$B$16</f>
        <v>0.0796888945556547</v>
      </c>
      <c r="D9" s="2" t="s">
        <v>82</v>
      </c>
    </row>
    <row r="10" customFormat="false" ht="15" hidden="false" customHeight="false" outlineLevel="0" collapsed="false">
      <c r="A10" s="5" t="s">
        <v>83</v>
      </c>
      <c r="B10" s="16" t="n">
        <f aca="false">Inputs!$B$11*Inputs!$B$27</f>
        <v>4500</v>
      </c>
      <c r="C10" s="17" t="n">
        <f aca="false">B10/$B$16</f>
        <v>0.0956266734667857</v>
      </c>
      <c r="D10" s="2" t="s">
        <v>84</v>
      </c>
    </row>
    <row r="11" customFormat="false" ht="15" hidden="false" customHeight="false" outlineLevel="0" collapsed="false">
      <c r="A11" s="5" t="s">
        <v>85</v>
      </c>
      <c r="B11" s="16" t="n">
        <f aca="false">Inputs!$B$12*Inputs!$B$26</f>
        <v>9000</v>
      </c>
      <c r="C11" s="17" t="n">
        <f aca="false">B11/$B$16</f>
        <v>0.191253346933571</v>
      </c>
      <c r="D11" s="2" t="s">
        <v>86</v>
      </c>
    </row>
    <row r="12" customFormat="false" ht="15" hidden="false" customHeight="false" outlineLevel="0" collapsed="false">
      <c r="A12" s="5" t="s">
        <v>87</v>
      </c>
      <c r="B12" s="16" t="n">
        <f aca="false">Inputs!$B$29/12</f>
        <v>5000</v>
      </c>
      <c r="C12" s="17" t="n">
        <f aca="false">B12/$B$16</f>
        <v>0.10625185940754</v>
      </c>
      <c r="D12" s="2" t="s">
        <v>88</v>
      </c>
    </row>
    <row r="13" customFormat="false" ht="15" hidden="false" customHeight="false" outlineLevel="0" collapsed="false">
      <c r="A13" s="5" t="s">
        <v>89</v>
      </c>
      <c r="B13" s="16" t="n">
        <f aca="false">'Build estimate'!B6*Inputs!$B$31/12</f>
        <v>4447.5</v>
      </c>
      <c r="C13" s="17" t="n">
        <f aca="false">B13/$B$16</f>
        <v>0.0945110289430065</v>
      </c>
      <c r="D13" s="2" t="s">
        <v>90</v>
      </c>
    </row>
    <row r="14" customFormat="false" ht="15" hidden="false" customHeight="false" outlineLevel="0" collapsed="false">
      <c r="A14" s="5" t="s">
        <v>91</v>
      </c>
      <c r="B14" s="16" t="n">
        <f aca="false">Inputs!$B$32</f>
        <v>13500</v>
      </c>
      <c r="C14" s="17" t="n">
        <f aca="false">B14/$B$16</f>
        <v>0.286880020400357</v>
      </c>
      <c r="D14" s="2" t="s">
        <v>92</v>
      </c>
    </row>
    <row r="16" customFormat="false" ht="15" hidden="false" customHeight="false" outlineLevel="0" collapsed="false">
      <c r="A16" s="13" t="s">
        <v>93</v>
      </c>
      <c r="B16" s="14" t="n">
        <f aca="false">SUM(B4:B14)</f>
        <v>47058</v>
      </c>
    </row>
    <row r="18" customFormat="false" ht="15" hidden="false" customHeight="false" outlineLevel="0" collapsed="false">
      <c r="A18" s="13" t="s">
        <v>94</v>
      </c>
      <c r="B18" s="18" t="n">
        <f aca="false">B16/Inputs!$B$5</f>
        <v>9.4116</v>
      </c>
      <c r="D18" s="2" t="s">
        <v>95</v>
      </c>
    </row>
    <row r="19" customFormat="false" ht="15" hidden="false" customHeight="false" outlineLevel="0" collapsed="false">
      <c r="A19" s="13" t="s">
        <v>96</v>
      </c>
      <c r="B19" s="12" t="n">
        <f aca="false">B4+B5+B6</f>
        <v>2110.5</v>
      </c>
      <c r="D19" s="2" t="s">
        <v>97</v>
      </c>
    </row>
    <row r="20" customFormat="false" ht="15" hidden="false" customHeight="false" outlineLevel="0" collapsed="false">
      <c r="A20" s="13" t="s">
        <v>98</v>
      </c>
      <c r="B20" s="12" t="n">
        <f aca="false">B16*12</f>
        <v>564696</v>
      </c>
      <c r="D20" s="2"/>
    </row>
    <row r="21" customFormat="false" ht="15" hidden="false" customHeight="false" outlineLevel="0" collapsed="false">
      <c r="A21" s="13" t="s">
        <v>99</v>
      </c>
      <c r="B21" s="16" t="n">
        <f aca="false">'Build estimate'!B6+B16*36</f>
        <v>1990588</v>
      </c>
      <c r="D21" s="2" t="s">
        <v>100</v>
      </c>
    </row>
    <row r="23" customFormat="false" ht="15" hidden="false" customHeight="false" outlineLevel="0" collapsed="false">
      <c r="A23" s="2" t="s">
        <v>101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2026-06-11T01:27:27Z</dcterms:created>
  <dc:creator>openpyxl</dc:creator>
  <dc:description/>
  <dc:language>en-US</dc:language>
  <cp:lastModifiedBy/>
  <dcterms:modified xsi:type="dcterms:W3CDTF">2026-06-11T01:27:27Z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