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nkey Table" sheetId="1" state="visible" r:id="rId3"/>
    <sheet name="Conversion Factors" sheetId="2" state="visible" r:id="rId4"/>
    <sheet name="Geo workbook" sheetId="3" state="visible" r:id="rId5"/>
    <sheet name="Solar Industry workbook" sheetId="4" state="visible" r:id="rId6"/>
    <sheet name="Natural biosphere workbook" sheetId="5" state="visible" r:id="rId7"/>
    <sheet name="Lake volumes" sheetId="6" state="visible" r:id="rId8"/>
    <sheet name="Agriculture Workbook" sheetId="7" state="visible" r:id="rId9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<sst xmlns="http://schemas.openxmlformats.org/spreadsheetml/2006/main" count="464" uniqueCount="193">
  <si>
    <t xml:space="preserve">Light Source</t>
  </si>
  <si>
    <t xml:space="preserve">Light Sink</t>
  </si>
  <si>
    <t xml:space="preserve">Value</t>
  </si>
  <si>
    <t xml:space="preserve">Units</t>
  </si>
  <si>
    <t xml:space="preserve">Display</t>
  </si>
  <si>
    <t xml:space="preserve">Color</t>
  </si>
  <si>
    <t xml:space="preserve">Citation</t>
  </si>
  <si>
    <t xml:space="preserve">Notes</t>
  </si>
  <si>
    <t xml:space="preserve">Total sunlight</t>
  </si>
  <si>
    <t xml:space="preserve">W/m2</t>
  </si>
  <si>
    <t xml:space="preserve">yellow</t>
  </si>
  <si>
    <t xml:space="preserve">https://en.wikipedia.org/wiki/Earth's_energy_budget#cite_note-BOOK-Sharma-2008-18</t>
  </si>
  <si>
    <t xml:space="preserve">Lots of possible sources for this one</t>
  </si>
  <si>
    <t xml:space="preserve">Reflected to space</t>
  </si>
  <si>
    <t xml:space="preserve">Percent of ISR</t>
  </si>
  <si>
    <t xml:space="preserve">https://earthobservatory.nasa.gov/features/EnergyBalance</t>
  </si>
  <si>
    <t xml:space="preserve">Absorbed by atmosphere</t>
  </si>
  <si>
    <t xml:space="preserve">Absorbed at surface</t>
  </si>
  <si>
    <t xml:space="preserve">Total insolation</t>
  </si>
  <si>
    <r>
      <rPr>
        <sz val="10"/>
        <color rgb="FF0000FF"/>
        <rFont val="Arial"/>
        <family val="2"/>
      </rPr>
      <t xml:space="preserve">https://dx.doi.org/10.1017/9781009157896</t>
    </r>
    <r>
      <rPr>
        <sz val="10"/>
        <rFont val="Arial"/>
        <family val="2"/>
      </rPr>
      <t xml:space="preserve"> (chapter 7, Fig 7.2) </t>
    </r>
  </si>
  <si>
    <t xml:space="preserve">Reflected by atmosphere</t>
  </si>
  <si>
    <t xml:space="preserve">Down to surface</t>
  </si>
  <si>
    <t xml:space="preserve">GW</t>
  </si>
  <si>
    <t xml:space="preserve">gold</t>
  </si>
  <si>
    <r>
      <rPr>
        <sz val="10"/>
        <rFont val="Arial"/>
        <family val="2"/>
      </rPr>
      <t xml:space="preserve">Derived from </t>
    </r>
    <r>
      <rPr>
        <sz val="10"/>
        <color rgb="FF0000FF"/>
        <rFont val="Arial"/>
        <family val="2"/>
      </rPr>
      <t xml:space="preserve">https://dx.doi.org/10.1017/9781009157896</t>
    </r>
    <r>
      <rPr>
        <sz val="10"/>
        <rFont val="Arial"/>
        <family val="2"/>
      </rPr>
      <t xml:space="preserve"> (chapter 7, Fig 7.2) </t>
    </r>
  </si>
  <si>
    <t xml:space="preserve">peru</t>
  </si>
  <si>
    <t xml:space="preserve">Waste heat</t>
  </si>
  <si>
    <t xml:space="preserve">lightcoral</t>
  </si>
  <si>
    <t xml:space="preserve">Derived from above + below</t>
  </si>
  <si>
    <t xml:space="preserve">Terrestrial plants</t>
  </si>
  <si>
    <t xml:space="preserve">darkseagreen</t>
  </si>
  <si>
    <t xml:space="preserve">Marine plankton</t>
  </si>
  <si>
    <t xml:space="preserve">Respiration</t>
  </si>
  <si>
    <t xml:space="preserve">Biomass</t>
  </si>
  <si>
    <t xml:space="preserve">lightskyblue</t>
  </si>
  <si>
    <t xml:space="preserve">seagreen</t>
  </si>
  <si>
    <t xml:space="preserve">Solar panels</t>
  </si>
  <si>
    <t xml:space="preserve">mediumorchid</t>
  </si>
  <si>
    <t xml:space="preserve">Electricity</t>
  </si>
  <si>
    <t xml:space="preserve">Non-Solar electricity sources</t>
  </si>
  <si>
    <t xml:space="preserve">Human-grown plants</t>
  </si>
  <si>
    <t xml:space="preserve">Wild plants</t>
  </si>
  <si>
    <t xml:space="preserve">Crops</t>
  </si>
  <si>
    <t xml:space="preserve">Grazed grass</t>
  </si>
  <si>
    <t xml:space="preserve">Lumberwood</t>
  </si>
  <si>
    <t xml:space="preserve">Conversion factors</t>
  </si>
  <si>
    <t xml:space="preserve">Key values</t>
  </si>
  <si>
    <t xml:space="preserve">Sanity checks/sources</t>
  </si>
  <si>
    <t xml:space="preserve">From unit</t>
  </si>
  <si>
    <t xml:space="preserve">To unit</t>
  </si>
  <si>
    <t xml:space="preserve">Source</t>
  </si>
  <si>
    <t xml:space="preserve">Earth surface area</t>
  </si>
  <si>
    <t xml:space="preserve">m2</t>
  </si>
  <si>
    <t xml:space="preserve">Seconds per hour</t>
  </si>
  <si>
    <t xml:space="preserve">s/hr</t>
  </si>
  <si>
    <t xml:space="preserve">hours per year</t>
  </si>
  <si>
    <t xml:space="preserve">hr/yr</t>
  </si>
  <si>
    <t xml:space="preserve">TWh</t>
  </si>
  <si>
    <t xml:space="preserve">grams per metric ton</t>
  </si>
  <si>
    <t xml:space="preserve">g/metric ton</t>
  </si>
  <si>
    <t xml:space="preserve">metric tons/yr</t>
  </si>
  <si>
    <t xml:space="preserve">g/s</t>
  </si>
  <si>
    <t xml:space="preserve">seconds per year</t>
  </si>
  <si>
    <t xml:space="preserve">s/yr</t>
  </si>
  <si>
    <t xml:space="preserve">g C/yr</t>
  </si>
  <si>
    <t xml:space="preserve">GW (added)</t>
  </si>
  <si>
    <t xml:space="preserve">photons per molecule glucose synthesized</t>
  </si>
  <si>
    <t xml:space="preserve">photons/glucose</t>
  </si>
  <si>
    <t xml:space="preserve">Energy on biomass (NPP)</t>
  </si>
  <si>
    <t xml:space="preserve">Total energy (GPP)</t>
  </si>
  <si>
    <t xml:space="preserve">10.1111/j.1365-2486.2007.01365.x (rule-of-thumb, varies a lot)</t>
  </si>
  <si>
    <t xml:space="preserve">energy per photon used in photosynthesis</t>
  </si>
  <si>
    <t xml:space="preserve">J/photon</t>
  </si>
  <si>
    <t xml:space="preserve">Energy absorbed</t>
  </si>
  <si>
    <t xml:space="preserve">Avogadro’s number</t>
  </si>
  <si>
    <t xml:space="preserve">/mol</t>
  </si>
  <si>
    <t xml:space="preserve">Mass of agriculture produced (2007)</t>
  </si>
  <si>
    <t xml:space="preserve">Mass of agriculture produced (2023)</t>
  </si>
  <si>
    <r>
      <rPr>
        <sz val="10"/>
        <rFont val="Arial"/>
        <family val="2"/>
      </rPr>
      <t xml:space="preserve">Estimated by adding together a variety of high-production plants here: </t>
    </r>
    <r>
      <rPr>
        <sz val="10"/>
        <color rgb="FF0000FF"/>
        <rFont val="Arial"/>
        <family val="2"/>
      </rPr>
      <t xml:space="preserve">https://ourworldindata.org/agricultural-production#explore-data-on-agricultural-production</t>
    </r>
  </si>
  <si>
    <t xml:space="preserve">g C / molecules C</t>
  </si>
  <si>
    <t xml:space="preserve">g/molecules</t>
  </si>
  <si>
    <t xml:space="preserve">energy consumed per g C synthesized</t>
  </si>
  <si>
    <t xml:space="preserve">J/g C</t>
  </si>
  <si>
    <t xml:space="preserve">Stored energy per mol glucose</t>
  </si>
  <si>
    <t xml:space="preserve">kCal/mol</t>
  </si>
  <si>
    <t xml:space="preserve">J/kCal</t>
  </si>
  <si>
    <t xml:space="preserve">Stored energy per g C</t>
  </si>
  <si>
    <t xml:space="preserve">← ~30% of energy consumed!</t>
  </si>
  <si>
    <t xml:space="preserve">g C / g dry mass</t>
  </si>
  <si>
    <t xml:space="preserve">g/g</t>
  </si>
  <si>
    <t xml:space="preserve">https://phyllis.nl/Browse/Standard/ECN-Phyllis</t>
  </si>
  <si>
    <t xml:space="preserve">Fraction of absorbed light resulting in biomass (C3)</t>
  </si>
  <si>
    <t xml:space="preserve">https://doi.org/10.1016/j.copbio.2008.02.004</t>
  </si>
  <si>
    <t xml:space="preserve">Derived as: C3 biomass energy / energy after reflection+transmission</t>
  </si>
  <si>
    <t xml:space="preserve">Fraction of primary productivity from C4 plants</t>
  </si>
  <si>
    <t xml:space="preserve">https://doi.org/10.1016%2Fj.cub.2013.04.066</t>
  </si>
  <si>
    <t xml:space="preserve">Stat</t>
  </si>
  <si>
    <t xml:space="preserve">Unit</t>
  </si>
  <si>
    <t xml:space="preserve">Radius of the Earth</t>
  </si>
  <si>
    <t xml:space="preserve">km</t>
  </si>
  <si>
    <t xml:space="preserve">Distance from Earth to sun</t>
  </si>
  <si>
    <t xml:space="preserve">Cross-sectional area of Earth</t>
  </si>
  <si>
    <t xml:space="preserve">km2</t>
  </si>
  <si>
    <t xml:space="preserve">Surface area of 1AU sphere</t>
  </si>
  <si>
    <t xml:space="preserve">Earth cross-section equivalent</t>
  </si>
  <si>
    <t xml:space="preserve">Insolation at Earth’s orbit</t>
  </si>
  <si>
    <t xml:space="preserve">Total sunlight at Earth’s orbit</t>
  </si>
  <si>
    <t xml:space="preserve">Share of world electricity from solar (2024)</t>
  </si>
  <si>
    <t xml:space="preserve">%</t>
  </si>
  <si>
    <r>
      <rPr>
        <sz val="10"/>
        <rFont val="Times New Roman"/>
        <family val="1"/>
      </rPr>
      <t xml:space="preserve">Energy Institute - Statistical Review of World Energy (2024) (via </t>
    </r>
    <r>
      <rPr>
        <sz val="10"/>
        <color rgb="FF0000FF"/>
        <rFont val="Times New Roman"/>
        <family val="1"/>
      </rPr>
      <t xml:space="preserve">https://ourworldindata.org/grapher/share-elec-by-source</t>
    </r>
    <r>
      <rPr>
        <sz val="10"/>
        <rFont val="Times New Roman"/>
        <family val="1"/>
      </rPr>
      <t xml:space="preserve">)</t>
    </r>
  </si>
  <si>
    <t xml:space="preserve">Solar generation (2024)</t>
  </si>
  <si>
    <t xml:space="preserve">Solar generation</t>
  </si>
  <si>
    <t xml:space="preserve">Derived from above</t>
  </si>
  <si>
    <t xml:space="preserve">Solar panel efficiency</t>
  </si>
  <si>
    <t xml:space="preserve">fraction</t>
  </si>
  <si>
    <t xml:space="preserve">https://www.renogy.com/blog/solar-panel-efficiency-and-cost-over-time/</t>
  </si>
  <si>
    <t xml:space="preserve">Global chemical industry energy use</t>
  </si>
  <si>
    <r>
      <rPr>
        <sz val="10"/>
        <rFont val="Arial"/>
        <family val="2"/>
      </rPr>
      <t xml:space="preserve">Derived from </t>
    </r>
    <r>
      <rPr>
        <sz val="10"/>
        <color rgb="FF0000FF"/>
        <rFont val="Arial"/>
        <family val="2"/>
      </rPr>
      <t xml:space="preserve">https://www.iea.org/energy-system/industry/chemicals</t>
    </r>
    <r>
      <rPr>
        <sz val="10"/>
        <rFont val="Arial"/>
        <family val="2"/>
      </rPr>
      <t xml:space="preserve"> to 1OoM; includes fossil fuels</t>
    </r>
  </si>
  <si>
    <t xml:space="preserve">Total electricty generation (2024)</t>
  </si>
  <si>
    <t xml:space="preserve">Twh</t>
  </si>
  <si>
    <t xml:space="preserve">Approximate solar energy diverted into living systems</t>
  </si>
  <si>
    <t xml:space="preserve">https://www.jstor.org/stable/24925894</t>
  </si>
  <si>
    <t xml:space="preserve">Net production of open ocean</t>
  </si>
  <si>
    <t xml:space="preserve">g fixed C/m2/yr</t>
  </si>
  <si>
    <t xml:space="preserve">Total land area</t>
  </si>
  <si>
    <r>
      <rPr>
        <sz val="10"/>
        <color rgb="FF0000FF"/>
        <rFont val="Times New Roman"/>
        <family val="1"/>
      </rPr>
      <t xml:space="preserve">https://doi.org/10.1007/978-3-642-80913-2_15</t>
    </r>
    <r>
      <rPr>
        <sz val="10"/>
        <rFont val="Times New Roman"/>
        <family val="1"/>
      </rPr>
      <t xml:space="preserve"> (Table 15-1)</t>
    </r>
  </si>
  <si>
    <t xml:space="preserve">Mean net primary production (land)</t>
  </si>
  <si>
    <t xml:space="preserve">g dry matter/m2/yr</t>
  </si>
  <si>
    <t xml:space="preserve">Mean mass of chlorophyll (land)</t>
  </si>
  <si>
    <t xml:space="preserve">g/m2</t>
  </si>
  <si>
    <t xml:space="preserve">Leaf-surface area (land)</t>
  </si>
  <si>
    <t xml:space="preserve">Total ocean area</t>
  </si>
  <si>
    <t xml:space="preserve">Mean net primary production (ocean)</t>
  </si>
  <si>
    <t xml:space="preserve">Total net primary production (land)</t>
  </si>
  <si>
    <t xml:space="preserve">g dry matter/yr</t>
  </si>
  <si>
    <t xml:space="preserve">Total net primary production (ocean)</t>
  </si>
  <si>
    <t xml:space="preserve">Total photosynthesis</t>
  </si>
  <si>
    <r>
      <rPr>
        <sz val="10"/>
        <rFont val="Times New Roman"/>
        <family val="1"/>
      </rPr>
      <t xml:space="preserve">H. Lieth, R. Whittaker (Eds.), Primary Productivity of the Biosphere, Springer-Verlag, Berlin (1975) (via </t>
    </r>
    <r>
      <rPr>
        <sz val="10"/>
        <color rgb="FF0000FF"/>
        <rFont val="Times New Roman"/>
        <family val="1"/>
      </rPr>
      <t xml:space="preserve">https://doi.org/10.1016/j.ecocom.2008.05.005</t>
    </r>
    <r>
      <rPr>
        <sz val="10"/>
        <rFont val="Times New Roman"/>
        <family val="1"/>
      </rPr>
      <t xml:space="preserve">)</t>
    </r>
  </si>
  <si>
    <t xml:space="preserve">Photosynthesis displaced by human activity</t>
  </si>
  <si>
    <t xml:space="preserve">Terrestrial net productivity</t>
  </si>
  <si>
    <t xml:space="preserve">metric tons C/yr</t>
  </si>
  <si>
    <t xml:space="preserve">CITED BY: Ruimy, A., B. Saugier, and G. Dedieu. "Methodology for the estimation of terrestrial net primary production from remotely sensed data." Journal of Geophysical Research: Atmospheres 99.D3 (1994): 5263-5283.</t>
  </si>
  <si>
    <t xml:space="preserve">g C/s</t>
  </si>
  <si>
    <t xml:space="preserve">Terrestrial energy put into carbon</t>
  </si>
  <si>
    <t xml:space="preserve">← Doesn’t include respiration!!!</t>
  </si>
  <si>
    <t xml:space="preserve">Terrestrial energy absorbed</t>
  </si>
  <si>
    <t xml:space="preserve">Terrestrial net productivity (human + nature)</t>
  </si>
  <si>
    <t xml:space="preserve">https://doi.org/10.1073/pnas.0704243104</t>
  </si>
  <si>
    <t xml:space="preserve">Terrestrial net productivity (all human)</t>
  </si>
  <si>
    <t xml:space="preserve">Terrestrial net productivity (Crops)</t>
  </si>
  <si>
    <t xml:space="preserve">Terrestrial net productivity (Grazed)</t>
  </si>
  <si>
    <t xml:space="preserve">Terrestrial net productivity (Wood harvest+losses)</t>
  </si>
  <si>
    <t xml:space="preserve">Terrestrial net productivity (all human, calculated)</t>
  </si>
  <si>
    <t xml:space="preserve">Terrestrial net productivity (nature, calculated)</t>
  </si>
  <si>
    <t xml:space="preserve">Energy put into carbon (human + nature)</t>
  </si>
  <si>
    <t xml:space="preserve">Energy put into carbon (all human)</t>
  </si>
  <si>
    <t xml:space="preserve">Energy put into carbon (Crops)</t>
  </si>
  <si>
    <t xml:space="preserve">Energy put into carbon (Grazed)</t>
  </si>
  <si>
    <t xml:space="preserve">Energy put into carbon (Wood harvest+losses)</t>
  </si>
  <si>
    <t xml:space="preserve">Energy put into carbon (all human, calculated)</t>
  </si>
  <si>
    <t xml:space="preserve">Energy put into carbon (nature, calculated)</t>
  </si>
  <si>
    <t xml:space="preserve">Aquatic net productivity </t>
  </si>
  <si>
    <t xml:space="preserve">Pg 574 of Thornton, Daniel Conrad Ogilvie. "Primary production in the ocean." Advances in Photosynthesis–Fundamental Aspects. Intech, Rijeca, Croatia (2012): 563-588.</t>
  </si>
  <si>
    <t xml:space="preserve">Aquatic energy put into carbon</t>
  </si>
  <si>
    <t xml:space="preserve">Total aquatic energy usefully harvested</t>
  </si>
  <si>
    <t xml:space="preserve">Total aquatic energy absorbed </t>
  </si>
  <si>
    <t xml:space="preserve">Aquatic phytoplankton photosynthesis</t>
  </si>
  <si>
    <t xml:space="preserve">gigatons C/yr</t>
  </si>
  <si>
    <t xml:space="preserve">https://bionumbers.hms.harvard.edu/bionumber.aspx?&amp;id=102936</t>
  </si>
  <si>
    <t xml:space="preserve">Mostly quickly released from predation by viruses; probably rounded from above?</t>
  </si>
  <si>
    <t xml:space="preserve">Total volume of all lakes</t>
  </si>
  <si>
    <t xml:space="preserve">km^3</t>
  </si>
  <si>
    <t xml:space="preserve">Total number of lakes ≥0.01km3</t>
  </si>
  <si>
    <t xml:space="preserve">Volume per lake (km3)</t>
  </si>
  <si>
    <t xml:space="preserve">Km^3</t>
  </si>
  <si>
    <t xml:space="preserve">Volume per lake (L)</t>
  </si>
  <si>
    <t xml:space="preserve">L</t>
  </si>
  <si>
    <t xml:space="preserve">Volume of straw (small)</t>
  </si>
  <si>
    <t xml:space="preserve">Volume of a straw (boba)</t>
  </si>
  <si>
    <t xml:space="preserve">Fraction of volume of lake (small straw)</t>
  </si>
  <si>
    <t xml:space="preserve">Fraction of volume of lake (boba straw)</t>
  </si>
  <si>
    <t xml:space="preserve">Plant</t>
  </si>
  <si>
    <t xml:space="preserve">2007 production (tons)</t>
  </si>
  <si>
    <t xml:space="preserve">2023 production (tons)</t>
  </si>
  <si>
    <t xml:space="preserve">x multiplier</t>
  </si>
  <si>
    <t xml:space="preserve">Cereals</t>
  </si>
  <si>
    <t xml:space="preserve">Corn</t>
  </si>
  <si>
    <t xml:space="preserve">Soybeans</t>
  </si>
  <si>
    <t xml:space="preserve">Sugar crops</t>
  </si>
  <si>
    <t xml:space="preserve">Potatoes</t>
  </si>
  <si>
    <t xml:space="preserve">Tomatoes</t>
  </si>
  <si>
    <t xml:space="preserve">Dry beans</t>
  </si>
  <si>
    <t xml:space="preserve">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</si>
</sst>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TRUE&quot;;&quot;TRUE&quot;;&quot;FALSE&quot;"/>
    <numFmt numFmtId="166" formatCode="0.00E+00"/>
    <numFmt numFmtId="167" formatCode="General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color rgb="FF0000FF"/>
      <name val="Arial"/>
      <family val="2"/>
    </font>
    <font>
      <sz val="10"/>
      <color rgb="FF0000FF"/>
      <name val="Times New Roman"/>
      <family val="1"/>
    </font>
    <font>
      <sz val="10"/>
      <name val="Times New Roman"/>
      <family val="1"/>
    </font>
    <font>
      <sz val="10"/>
      <color rgb="FF666666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x.doi.org/10.1017/9781009157896" TargetMode="External"/><Relationship Id="rId2" Type="http://schemas.openxmlformats.org/officeDocument/2006/relationships/hyperlink" Target="https://dx.doi.org/10.1017/9781009157896" TargetMode="External"/><Relationship Id="rId3" Type="http://schemas.openxmlformats.org/officeDocument/2006/relationships/hyperlink" Target="https://dx.doi.org/10.1017/9781009157896" TargetMode="External"/><Relationship Id="rId4" Type="http://schemas.openxmlformats.org/officeDocument/2006/relationships/hyperlink" Target="https://dx.doi.org/10.1017/9781009157896" TargetMode="External"/><Relationship Id="rId5" Type="http://schemas.openxmlformats.org/officeDocument/2006/relationships/hyperlink" Target="https://dx.doi.org/10.1017/9781009157896" TargetMode="External"/><Relationship Id="rId6" Type="http://schemas.openxmlformats.org/officeDocument/2006/relationships/hyperlink" Target="https://dx.doi.org/10.1017/9781009157896" TargetMode="External"/><Relationship Id="rId7" Type="http://schemas.openxmlformats.org/officeDocument/2006/relationships/hyperlink" Target="https://dx.doi.org/10.1017/9781009157896" TargetMode="External"/><Relationship Id="rId8" Type="http://schemas.openxmlformats.org/officeDocument/2006/relationships/hyperlink" Target="https://dx.doi.org/10.1017/9781009157896" TargetMode="External"/><Relationship Id="rId9" Type="http://schemas.openxmlformats.org/officeDocument/2006/relationships/hyperlink" Target="https://dx.doi.org/10.1017/9781009157896" TargetMode="External"/><Relationship Id="rId10" Type="http://schemas.openxmlformats.org/officeDocument/2006/relationships/hyperlink" Target="https://dx.doi.org/10.1017/9781009157896" TargetMode="External"/><Relationship Id="rId11" Type="http://schemas.openxmlformats.org/officeDocument/2006/relationships/hyperlink" Target="https://dx.doi.org/10.1017/9781009157896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ourworldindata.org/agricultural-production" TargetMode="External"/><Relationship Id="rId2" Type="http://schemas.openxmlformats.org/officeDocument/2006/relationships/hyperlink" Target="https://phyllis.nl/Browse/Standard/ECN-Phyllis" TargetMode="External"/><Relationship Id="rId3" Type="http://schemas.openxmlformats.org/officeDocument/2006/relationships/hyperlink" Target="https://doi.org/10.1016/j.copbio.2008.02.004" TargetMode="Externa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https://ourworldindata.org/grapher/share-elec-by-source" TargetMode="External"/><Relationship Id="rId2" Type="http://schemas.openxmlformats.org/officeDocument/2006/relationships/hyperlink" Target="https://ourworldindata.org/grapher/share-elec-by-source" TargetMode="External"/><Relationship Id="rId3" Type="http://schemas.openxmlformats.org/officeDocument/2006/relationships/hyperlink" Target="https://www.iea.org/energy-system/industry/chemicals" TargetMode="External"/><Relationship Id="rId4" Type="http://schemas.openxmlformats.org/officeDocument/2006/relationships/hyperlink" Target="https://ourworldindata.org/grapher/share-elec-by-source" TargetMode="Externa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hyperlink" Target="https://doi.org/10.1007/978-3-642-80913-2_15" TargetMode="External"/><Relationship Id="rId2" Type="http://schemas.openxmlformats.org/officeDocument/2006/relationships/hyperlink" Target="https://doi.org/10.1007/978-3-642-80913-2_15" TargetMode="External"/><Relationship Id="rId3" Type="http://schemas.openxmlformats.org/officeDocument/2006/relationships/hyperlink" Target="https://doi.org/10.1007/978-3-642-80913-2_15" TargetMode="External"/><Relationship Id="rId4" Type="http://schemas.openxmlformats.org/officeDocument/2006/relationships/hyperlink" Target="https://doi.org/10.1007/978-3-642-80913-2_15" TargetMode="External"/><Relationship Id="rId5" Type="http://schemas.openxmlformats.org/officeDocument/2006/relationships/hyperlink" Target="https://doi.org/10.1007/978-3-642-80913-2_15" TargetMode="External"/><Relationship Id="rId6" Type="http://schemas.openxmlformats.org/officeDocument/2006/relationships/hyperlink" Target="https://doi.org/10.1007/978-3-642-80913-2_15" TargetMode="External"/><Relationship Id="rId7" Type="http://schemas.openxmlformats.org/officeDocument/2006/relationships/hyperlink" Target="https://doi.org/10.1016/j.ecocom.2008.05.005" TargetMode="External"/><Relationship Id="rId8" Type="http://schemas.openxmlformats.org/officeDocument/2006/relationships/hyperlink" Target="https://doi.org/10.1016/j.ecocom.2008.05.005" TargetMode="External"/><Relationship Id="rId9" Type="http://schemas.openxmlformats.org/officeDocument/2006/relationships/hyperlink" Target="https://doi.org/10.1073/pnas.0704243104" TargetMode="External"/><Relationship Id="rId10" Type="http://schemas.openxmlformats.org/officeDocument/2006/relationships/hyperlink" Target="https://doi.org/10.1073/pnas.0704243104" TargetMode="External"/><Relationship Id="rId11" Type="http://schemas.openxmlformats.org/officeDocument/2006/relationships/hyperlink" Target="https://doi.org/10.1073/pnas.0704243104" TargetMode="External"/><Relationship Id="rId12" Type="http://schemas.openxmlformats.org/officeDocument/2006/relationships/hyperlink" Target="https://doi.org/10.1073/pnas.0704243104" TargetMode="External"/><Relationship Id="rId13" Type="http://schemas.openxmlformats.org/officeDocument/2006/relationships/hyperlink" Target="https://doi.org/10.1073/pnas.0704243104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C27" activeCellId="0" sqref="C2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2.28"/>
    <col collapsed="false" customWidth="true" hidden="false" outlineLevel="0" max="2" min="2" style="0" width="28.35"/>
    <col collapsed="false" customWidth="true" hidden="false" outlineLevel="0" max="3" min="3" style="0" width="11.77"/>
    <col collapsed="false" customWidth="true" hidden="false" outlineLevel="0" max="4" min="4" style="0" width="13.14"/>
    <col collapsed="false" customWidth="true" hidden="false" outlineLevel="0" max="5" min="5" style="0" width="10.81"/>
    <col collapsed="false" customWidth="true" hidden="false" outlineLevel="0" max="6" min="6" style="0" width="8.01"/>
    <col collapsed="false" customWidth="true" hidden="false" outlineLevel="0" max="7" min="7" style="0" width="70.62"/>
  </cols>
  <sheetData>
    <row r="1" s="1" customFormat="tru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customFormat="false" ht="12.8" hidden="false" customHeight="false" outlineLevel="0" collapsed="false">
      <c r="B2" s="0" t="s">
        <v>8</v>
      </c>
      <c r="C2" s="0" t="n">
        <v>340</v>
      </c>
      <c r="D2" s="0" t="s">
        <v>9</v>
      </c>
      <c r="E2" s="2" t="b">
        <v>0</v>
      </c>
      <c r="F2" s="2" t="s">
        <v>10</v>
      </c>
      <c r="G2" s="0" t="s">
        <v>11</v>
      </c>
      <c r="H2" s="0" t="s">
        <v>12</v>
      </c>
    </row>
    <row r="3" customFormat="false" ht="12.8" hidden="false" customHeight="false" outlineLevel="0" collapsed="false">
      <c r="A3" s="0" t="s">
        <v>8</v>
      </c>
      <c r="B3" s="0" t="s">
        <v>13</v>
      </c>
      <c r="C3" s="0" t="n">
        <v>29</v>
      </c>
      <c r="D3" s="0" t="s">
        <v>14</v>
      </c>
      <c r="E3" s="2" t="b">
        <v>0</v>
      </c>
      <c r="F3" s="2" t="s">
        <v>10</v>
      </c>
      <c r="G3" s="0" t="s">
        <v>15</v>
      </c>
    </row>
    <row r="4" customFormat="false" ht="12.8" hidden="false" customHeight="false" outlineLevel="0" collapsed="false">
      <c r="A4" s="0" t="s">
        <v>8</v>
      </c>
      <c r="B4" s="0" t="s">
        <v>16</v>
      </c>
      <c r="C4" s="0" t="n">
        <v>23</v>
      </c>
      <c r="D4" s="0" t="s">
        <v>14</v>
      </c>
      <c r="E4" s="2" t="b">
        <v>0</v>
      </c>
      <c r="F4" s="2" t="s">
        <v>10</v>
      </c>
      <c r="G4" s="0" t="s">
        <v>15</v>
      </c>
    </row>
    <row r="5" customFormat="false" ht="12.8" hidden="false" customHeight="false" outlineLevel="0" collapsed="false">
      <c r="A5" s="0" t="s">
        <v>8</v>
      </c>
      <c r="B5" s="0" t="s">
        <v>17</v>
      </c>
      <c r="C5" s="0" t="n">
        <v>48</v>
      </c>
      <c r="D5" s="0" t="s">
        <v>14</v>
      </c>
      <c r="E5" s="2" t="b">
        <v>0</v>
      </c>
      <c r="F5" s="2" t="s">
        <v>10</v>
      </c>
      <c r="G5" s="0" t="s">
        <v>15</v>
      </c>
    </row>
    <row r="6" customFormat="false" ht="12.8" hidden="false" customHeight="false" outlineLevel="0" collapsed="false">
      <c r="B6" s="0" t="s">
        <v>18</v>
      </c>
      <c r="C6" s="0" t="n">
        <v>340</v>
      </c>
      <c r="D6" s="0" t="s">
        <v>9</v>
      </c>
      <c r="E6" s="2" t="b">
        <v>0</v>
      </c>
      <c r="F6" s="2" t="s">
        <v>10</v>
      </c>
      <c r="G6" s="3" t="s">
        <v>19</v>
      </c>
    </row>
    <row r="7" customFormat="false" ht="12.8" hidden="false" customHeight="false" outlineLevel="0" collapsed="false">
      <c r="A7" s="0" t="s">
        <v>8</v>
      </c>
      <c r="B7" s="0" t="s">
        <v>16</v>
      </c>
      <c r="C7" s="0" t="n">
        <v>80</v>
      </c>
      <c r="D7" s="0" t="s">
        <v>9</v>
      </c>
      <c r="E7" s="2" t="b">
        <v>0</v>
      </c>
      <c r="F7" s="2" t="s">
        <v>10</v>
      </c>
      <c r="G7" s="3" t="s">
        <v>19</v>
      </c>
    </row>
    <row r="8" customFormat="false" ht="12.8" hidden="false" customHeight="false" outlineLevel="0" collapsed="false">
      <c r="A8" s="0" t="s">
        <v>8</v>
      </c>
      <c r="B8" s="0" t="s">
        <v>20</v>
      </c>
      <c r="C8" s="0" t="n">
        <v>75</v>
      </c>
      <c r="D8" s="0" t="s">
        <v>9</v>
      </c>
      <c r="E8" s="2" t="b">
        <v>0</v>
      </c>
      <c r="F8" s="2" t="s">
        <v>10</v>
      </c>
      <c r="G8" s="3" t="s">
        <v>19</v>
      </c>
    </row>
    <row r="9" customFormat="false" ht="12.8" hidden="false" customHeight="false" outlineLevel="0" collapsed="false">
      <c r="A9" s="0" t="s">
        <v>8</v>
      </c>
      <c r="B9" s="0" t="s">
        <v>21</v>
      </c>
      <c r="C9" s="0" t="n">
        <v>185</v>
      </c>
      <c r="D9" s="0" t="s">
        <v>9</v>
      </c>
      <c r="E9" s="2" t="b">
        <v>0</v>
      </c>
      <c r="F9" s="2" t="s">
        <v>10</v>
      </c>
      <c r="G9" s="3" t="s">
        <v>19</v>
      </c>
    </row>
    <row r="10" customFormat="false" ht="12.8" hidden="false" customHeight="false" outlineLevel="0" collapsed="false">
      <c r="A10" s="0" t="s">
        <v>21</v>
      </c>
      <c r="B10" s="0" t="s">
        <v>17</v>
      </c>
      <c r="C10" s="0" t="n">
        <v>160</v>
      </c>
      <c r="D10" s="0" t="s">
        <v>9</v>
      </c>
      <c r="E10" s="2" t="b">
        <v>0</v>
      </c>
      <c r="F10" s="2" t="s">
        <v>10</v>
      </c>
      <c r="G10" s="3" t="s">
        <v>19</v>
      </c>
    </row>
    <row r="11" customFormat="false" ht="12.8" hidden="false" customHeight="false" outlineLevel="0" collapsed="false">
      <c r="A11" s="0" t="s">
        <v>21</v>
      </c>
      <c r="B11" s="0" t="s">
        <v>13</v>
      </c>
      <c r="C11" s="0" t="n">
        <v>25</v>
      </c>
      <c r="D11" s="0" t="s">
        <v>9</v>
      </c>
      <c r="E11" s="2" t="b">
        <v>0</v>
      </c>
      <c r="F11" s="2" t="s">
        <v>10</v>
      </c>
      <c r="G11" s="3" t="s">
        <v>19</v>
      </c>
    </row>
    <row r="12" customFormat="false" ht="12.8" hidden="false" customHeight="false" outlineLevel="0" collapsed="false">
      <c r="F12" s="2"/>
    </row>
    <row r="13" customFormat="false" ht="12.8" hidden="false" customHeight="false" outlineLevel="0" collapsed="false">
      <c r="A13" s="0" t="s">
        <v>8</v>
      </c>
      <c r="B13" s="0" t="s">
        <v>16</v>
      </c>
      <c r="C13" s="4" t="n">
        <f aca="false">C7 * 'Conversion Factors'!$C$3</f>
        <v>28800000</v>
      </c>
      <c r="D13" s="0" t="s">
        <v>22</v>
      </c>
      <c r="E13" s="2" t="b">
        <v>1</v>
      </c>
      <c r="F13" s="2" t="s">
        <v>23</v>
      </c>
      <c r="G13" s="0" t="s">
        <v>24</v>
      </c>
    </row>
    <row r="14" customFormat="false" ht="12.8" hidden="false" customHeight="false" outlineLevel="0" collapsed="false">
      <c r="A14" s="0" t="s">
        <v>8</v>
      </c>
      <c r="B14" s="0" t="s">
        <v>20</v>
      </c>
      <c r="C14" s="4" t="n">
        <f aca="false">C8 * 'Conversion Factors'!$C$3</f>
        <v>27000000</v>
      </c>
      <c r="D14" s="0" t="s">
        <v>22</v>
      </c>
      <c r="E14" s="2" t="b">
        <v>1</v>
      </c>
      <c r="F14" s="2" t="s">
        <v>23</v>
      </c>
      <c r="G14" s="0" t="s">
        <v>24</v>
      </c>
    </row>
    <row r="15" customFormat="false" ht="12.8" hidden="false" customHeight="false" outlineLevel="0" collapsed="false">
      <c r="A15" s="0" t="s">
        <v>8</v>
      </c>
      <c r="B15" s="0" t="s">
        <v>21</v>
      </c>
      <c r="C15" s="4" t="n">
        <f aca="false">C9 * 'Conversion Factors'!$C$3</f>
        <v>66600000</v>
      </c>
      <c r="D15" s="0" t="s">
        <v>22</v>
      </c>
      <c r="E15" s="2" t="b">
        <v>1</v>
      </c>
      <c r="F15" s="2" t="s">
        <v>23</v>
      </c>
      <c r="G15" s="0" t="s">
        <v>24</v>
      </c>
    </row>
    <row r="16" customFormat="false" ht="12.8" hidden="false" customHeight="false" outlineLevel="0" collapsed="false">
      <c r="A16" s="0" t="s">
        <v>21</v>
      </c>
      <c r="B16" s="0" t="s">
        <v>17</v>
      </c>
      <c r="C16" s="4" t="n">
        <f aca="false">C10 * 'Conversion Factors'!$C$3</f>
        <v>57600000</v>
      </c>
      <c r="D16" s="0" t="s">
        <v>22</v>
      </c>
      <c r="E16" s="2" t="b">
        <v>1</v>
      </c>
      <c r="F16" s="2" t="s">
        <v>25</v>
      </c>
      <c r="G16" s="0" t="s">
        <v>24</v>
      </c>
    </row>
    <row r="17" customFormat="false" ht="12.8" hidden="false" customHeight="false" outlineLevel="0" collapsed="false">
      <c r="A17" s="0" t="s">
        <v>21</v>
      </c>
      <c r="B17" s="0" t="s">
        <v>13</v>
      </c>
      <c r="C17" s="4" t="n">
        <f aca="false">C11 * 'Conversion Factors'!$C$3</f>
        <v>9000000</v>
      </c>
      <c r="D17" s="0" t="s">
        <v>22</v>
      </c>
      <c r="E17" s="2" t="b">
        <v>1</v>
      </c>
      <c r="F17" s="2" t="s">
        <v>23</v>
      </c>
      <c r="G17" s="0" t="s">
        <v>24</v>
      </c>
    </row>
    <row r="18" customFormat="false" ht="12.8" hidden="false" customHeight="false" outlineLevel="0" collapsed="false">
      <c r="A18" s="0" t="s">
        <v>17</v>
      </c>
      <c r="B18" s="0" t="s">
        <v>26</v>
      </c>
      <c r="C18" s="4" t="n">
        <f aca="false">C16 - (C20 + C21 + C29)</f>
        <v>57378762.1048684</v>
      </c>
      <c r="D18" s="0" t="s">
        <v>22</v>
      </c>
      <c r="E18" s="2" t="b">
        <v>1</v>
      </c>
      <c r="F18" s="2" t="s">
        <v>27</v>
      </c>
      <c r="G18" s="0" t="s">
        <v>28</v>
      </c>
    </row>
    <row r="19" customFormat="false" ht="12.8" hidden="false" customHeight="false" outlineLevel="0" collapsed="false">
      <c r="C19" s="4"/>
      <c r="F19" s="2"/>
    </row>
    <row r="20" customFormat="false" ht="12.8" hidden="false" customHeight="false" outlineLevel="0" collapsed="false">
      <c r="A20" s="0" t="s">
        <v>17</v>
      </c>
      <c r="B20" s="0" t="s">
        <v>29</v>
      </c>
      <c r="C20" s="4" t="n">
        <f aca="false">(C24) * 'Conversion Factors'!$C$9</f>
        <v>120012.077294686</v>
      </c>
      <c r="D20" s="0" t="s">
        <v>22</v>
      </c>
      <c r="E20" s="2" t="b">
        <v>1</v>
      </c>
      <c r="F20" s="2" t="s">
        <v>30</v>
      </c>
    </row>
    <row r="21" customFormat="false" ht="12.8" hidden="false" customHeight="false" outlineLevel="0" collapsed="false">
      <c r="A21" s="0" t="s">
        <v>17</v>
      </c>
      <c r="B21" s="0" t="s">
        <v>31</v>
      </c>
      <c r="C21" s="4" t="n">
        <f aca="false">(C27) * 'Conversion Factors'!$C$9</f>
        <v>100010.064412238</v>
      </c>
      <c r="D21" s="0" t="s">
        <v>22</v>
      </c>
      <c r="E21" s="2" t="b">
        <v>1</v>
      </c>
      <c r="F21" s="2" t="s">
        <v>30</v>
      </c>
    </row>
    <row r="22" customFormat="false" ht="12.8" hidden="false" customHeight="false" outlineLevel="0" collapsed="false">
      <c r="A22" s="0" t="s">
        <v>29</v>
      </c>
      <c r="B22" s="0" t="s">
        <v>26</v>
      </c>
      <c r="C22" s="4" t="n">
        <f aca="false">C20 - (C23+C24)</f>
        <v>94804.0610592725</v>
      </c>
      <c r="D22" s="0" t="s">
        <v>22</v>
      </c>
      <c r="E22" s="2" t="b">
        <v>0</v>
      </c>
      <c r="F22" s="2" t="s">
        <v>30</v>
      </c>
    </row>
    <row r="23" customFormat="false" ht="12.8" hidden="false" customHeight="false" outlineLevel="0" collapsed="false">
      <c r="A23" s="0" t="s">
        <v>29</v>
      </c>
      <c r="B23" s="0" t="s">
        <v>32</v>
      </c>
      <c r="C23" s="4" t="n">
        <f aca="false">'Natural biosphere workbook'!B30</f>
        <v>12604.0081177067</v>
      </c>
      <c r="D23" s="0" t="s">
        <v>22</v>
      </c>
      <c r="E23" s="2" t="b">
        <v>0</v>
      </c>
      <c r="F23" s="2" t="s">
        <v>30</v>
      </c>
    </row>
    <row r="24" customFormat="false" ht="12.8" hidden="false" customHeight="false" outlineLevel="0" collapsed="false">
      <c r="A24" s="0" t="s">
        <v>29</v>
      </c>
      <c r="B24" s="0" t="s">
        <v>33</v>
      </c>
      <c r="C24" s="4" t="n">
        <f aca="false">'Natural biosphere workbook'!B30</f>
        <v>12604.0081177067</v>
      </c>
      <c r="D24" s="0" t="s">
        <v>22</v>
      </c>
      <c r="E24" s="2" t="b">
        <v>0</v>
      </c>
      <c r="F24" s="2" t="s">
        <v>30</v>
      </c>
    </row>
    <row r="25" customFormat="false" ht="12.8" hidden="false" customHeight="false" outlineLevel="0" collapsed="false">
      <c r="A25" s="0" t="s">
        <v>31</v>
      </c>
      <c r="B25" s="0" t="s">
        <v>26</v>
      </c>
      <c r="C25" s="4" t="n">
        <f aca="false">C21-(C26+C27)</f>
        <v>79003.3842160604</v>
      </c>
      <c r="D25" s="0" t="s">
        <v>22</v>
      </c>
      <c r="E25" s="2" t="b">
        <v>1</v>
      </c>
      <c r="F25" s="2" t="s">
        <v>27</v>
      </c>
    </row>
    <row r="26" customFormat="false" ht="12.8" hidden="false" customHeight="false" outlineLevel="0" collapsed="false">
      <c r="A26" s="0" t="s">
        <v>31</v>
      </c>
      <c r="B26" s="0" t="s">
        <v>32</v>
      </c>
      <c r="C26" s="4" t="n">
        <f aca="false">'Natural biosphere workbook'!B39</f>
        <v>10503.340098089</v>
      </c>
      <c r="D26" s="0" t="s">
        <v>22</v>
      </c>
      <c r="E26" s="2" t="b">
        <v>1</v>
      </c>
      <c r="F26" s="2" t="s">
        <v>34</v>
      </c>
    </row>
    <row r="27" customFormat="false" ht="12.8" hidden="false" customHeight="false" outlineLevel="0" collapsed="false">
      <c r="A27" s="0" t="s">
        <v>31</v>
      </c>
      <c r="B27" s="0" t="s">
        <v>33</v>
      </c>
      <c r="C27" s="4" t="n">
        <f aca="false">'Natural biosphere workbook'!B39</f>
        <v>10503.340098089</v>
      </c>
      <c r="D27" s="0" t="s">
        <v>22</v>
      </c>
      <c r="E27" s="2" t="b">
        <v>1</v>
      </c>
      <c r="F27" s="2" t="s">
        <v>35</v>
      </c>
    </row>
    <row r="28" customFormat="false" ht="12.8" hidden="false" customHeight="false" outlineLevel="0" collapsed="false">
      <c r="C28" s="4"/>
      <c r="F28" s="5"/>
    </row>
    <row r="29" customFormat="false" ht="12.8" hidden="false" customHeight="false" outlineLevel="0" collapsed="false">
      <c r="A29" s="0" t="s">
        <v>17</v>
      </c>
      <c r="B29" s="0" t="s">
        <v>36</v>
      </c>
      <c r="C29" s="4" t="n">
        <f aca="false">C31/'Solar Industry workbook'!B7</f>
        <v>1215.75342465753</v>
      </c>
      <c r="D29" s="0" t="s">
        <v>22</v>
      </c>
      <c r="E29" s="2" t="b">
        <v>1</v>
      </c>
      <c r="F29" s="2" t="s">
        <v>37</v>
      </c>
    </row>
    <row r="30" customFormat="false" ht="12.8" hidden="false" customHeight="false" outlineLevel="0" collapsed="false">
      <c r="A30" s="0" t="s">
        <v>36</v>
      </c>
      <c r="B30" s="0" t="s">
        <v>26</v>
      </c>
      <c r="C30" s="4" t="n">
        <f aca="false">C29 - C31</f>
        <v>972.602739726027</v>
      </c>
      <c r="D30" s="0" t="s">
        <v>22</v>
      </c>
      <c r="E30" s="2" t="b">
        <v>1</v>
      </c>
      <c r="F30" s="2" t="s">
        <v>27</v>
      </c>
    </row>
    <row r="31" customFormat="false" ht="12.8" hidden="false" customHeight="false" outlineLevel="0" collapsed="false">
      <c r="A31" s="0" t="s">
        <v>36</v>
      </c>
      <c r="B31" s="0" t="s">
        <v>38</v>
      </c>
      <c r="C31" s="4" t="n">
        <f aca="false">'Solar Industry workbook'!B4</f>
        <v>243.150684931507</v>
      </c>
      <c r="D31" s="0" t="s">
        <v>22</v>
      </c>
      <c r="E31" s="2" t="b">
        <v>1</v>
      </c>
      <c r="F31" s="2" t="s">
        <v>37</v>
      </c>
    </row>
    <row r="32" customFormat="false" ht="12.8" hidden="false" customHeight="false" outlineLevel="0" collapsed="false">
      <c r="A32" s="0" t="s">
        <v>39</v>
      </c>
      <c r="B32" s="0" t="s">
        <v>38</v>
      </c>
      <c r="C32" s="4" t="n">
        <f aca="false">'Solar Industry workbook'!B11</f>
        <v>3522.07077625571</v>
      </c>
      <c r="D32" s="0" t="s">
        <v>22</v>
      </c>
      <c r="E32" s="2" t="b">
        <v>1</v>
      </c>
      <c r="F32" s="2" t="s">
        <v>37</v>
      </c>
    </row>
    <row r="33" customFormat="false" ht="12.8" hidden="false" customHeight="false" outlineLevel="0" collapsed="false">
      <c r="C33" s="4"/>
      <c r="F33" s="2"/>
    </row>
    <row r="34" customFormat="false" ht="12.8" hidden="false" customHeight="false" outlineLevel="0" collapsed="false">
      <c r="A34" s="0" t="s">
        <v>29</v>
      </c>
      <c r="B34" s="0" t="s">
        <v>40</v>
      </c>
      <c r="C34" s="4" t="n">
        <f aca="false">SUM(C36:C38)</f>
        <v>21814.7456988386</v>
      </c>
      <c r="D34" s="0" t="s">
        <v>22</v>
      </c>
      <c r="E34" s="2" t="b">
        <v>1</v>
      </c>
      <c r="F34" s="2" t="s">
        <v>30</v>
      </c>
    </row>
    <row r="35" customFormat="false" ht="12.8" hidden="false" customHeight="false" outlineLevel="0" collapsed="false">
      <c r="A35" s="0" t="s">
        <v>29</v>
      </c>
      <c r="B35" s="0" t="s">
        <v>41</v>
      </c>
      <c r="C35" s="4" t="n">
        <f aca="false">C41* 'Conversion Factors'!$C$9</f>
        <v>102810.346215781</v>
      </c>
      <c r="D35" s="0" t="s">
        <v>22</v>
      </c>
      <c r="E35" s="2" t="b">
        <v>1</v>
      </c>
      <c r="F35" s="2" t="s">
        <v>30</v>
      </c>
    </row>
    <row r="36" customFormat="false" ht="12.8" hidden="false" customHeight="false" outlineLevel="0" collapsed="false">
      <c r="A36" s="0" t="s">
        <v>40</v>
      </c>
      <c r="B36" s="0" t="s">
        <v>42</v>
      </c>
      <c r="C36" s="4" t="n">
        <f aca="false">C44* 'Conversion Factors'!$C$9*'Conversion Factors'!C10</f>
        <v>16814.2424782267</v>
      </c>
      <c r="D36" s="0" t="s">
        <v>22</v>
      </c>
      <c r="E36" s="2" t="b">
        <v>0</v>
      </c>
      <c r="F36" s="2" t="s">
        <v>30</v>
      </c>
    </row>
    <row r="37" customFormat="false" ht="12.8" hidden="false" customHeight="false" outlineLevel="0" collapsed="false">
      <c r="A37" s="0" t="s">
        <v>40</v>
      </c>
      <c r="B37" s="0" t="s">
        <v>43</v>
      </c>
      <c r="C37" s="4" t="n">
        <f aca="false">C47* 'Conversion Factors'!$C$9</f>
        <v>2400.24154589372</v>
      </c>
      <c r="D37" s="0" t="s">
        <v>22</v>
      </c>
      <c r="E37" s="2" t="b">
        <v>0</v>
      </c>
      <c r="F37" s="2" t="s">
        <v>30</v>
      </c>
    </row>
    <row r="38" customFormat="false" ht="12.8" hidden="false" customHeight="false" outlineLevel="0" collapsed="false">
      <c r="A38" s="0" t="s">
        <v>40</v>
      </c>
      <c r="B38" s="0" t="s">
        <v>44</v>
      </c>
      <c r="C38" s="4" t="n">
        <f aca="false">C50* 'Conversion Factors'!$C$9</f>
        <v>2600.2616747182</v>
      </c>
      <c r="D38" s="0" t="s">
        <v>22</v>
      </c>
      <c r="E38" s="2" t="b">
        <v>0</v>
      </c>
      <c r="F38" s="2" t="s">
        <v>30</v>
      </c>
    </row>
    <row r="39" customFormat="false" ht="12.8" hidden="false" customHeight="false" outlineLevel="0" collapsed="false">
      <c r="A39" s="0" t="s">
        <v>41</v>
      </c>
      <c r="B39" s="0" t="s">
        <v>26</v>
      </c>
      <c r="C39" s="4" t="n">
        <f aca="false">C35 - (C40+C41)</f>
        <v>81215.4789741101</v>
      </c>
      <c r="D39" s="0" t="s">
        <v>22</v>
      </c>
      <c r="E39" s="2" t="b">
        <v>1</v>
      </c>
      <c r="F39" s="2" t="s">
        <v>27</v>
      </c>
    </row>
    <row r="40" customFormat="false" ht="12.8" hidden="false" customHeight="false" outlineLevel="0" collapsed="false">
      <c r="A40" s="0" t="s">
        <v>41</v>
      </c>
      <c r="B40" s="0" t="s">
        <v>32</v>
      </c>
      <c r="C40" s="4" t="n">
        <f aca="false">C41</f>
        <v>10797.4336208354</v>
      </c>
      <c r="D40" s="0" t="s">
        <v>22</v>
      </c>
      <c r="E40" s="2" t="b">
        <v>1</v>
      </c>
      <c r="F40" s="2" t="s">
        <v>34</v>
      </c>
    </row>
    <row r="41" customFormat="false" ht="12.8" hidden="false" customHeight="false" outlineLevel="0" collapsed="false">
      <c r="A41" s="0" t="s">
        <v>41</v>
      </c>
      <c r="B41" s="0" t="s">
        <v>33</v>
      </c>
      <c r="C41" s="4" t="n">
        <f aca="false">'Natural biosphere workbook'!B36</f>
        <v>10797.4336208354</v>
      </c>
      <c r="D41" s="0" t="s">
        <v>22</v>
      </c>
      <c r="E41" s="2" t="b">
        <v>1</v>
      </c>
      <c r="F41" s="2" t="s">
        <v>35</v>
      </c>
    </row>
    <row r="42" customFormat="false" ht="12.8" hidden="false" customHeight="false" outlineLevel="0" collapsed="false">
      <c r="A42" s="0" t="s">
        <v>42</v>
      </c>
      <c r="B42" s="0" t="s">
        <v>26</v>
      </c>
      <c r="C42" s="4" t="n">
        <f aca="false">C36 - (C43+C44)</f>
        <v>14251.427494293</v>
      </c>
      <c r="D42" s="0" t="s">
        <v>22</v>
      </c>
      <c r="E42" s="2" t="b">
        <v>0</v>
      </c>
      <c r="F42" s="2" t="s">
        <v>27</v>
      </c>
    </row>
    <row r="43" customFormat="false" ht="12.8" hidden="false" customHeight="false" outlineLevel="0" collapsed="false">
      <c r="A43" s="0" t="s">
        <v>42</v>
      </c>
      <c r="B43" s="0" t="s">
        <v>32</v>
      </c>
      <c r="C43" s="4" t="n">
        <f aca="false">C44</f>
        <v>1281.40749196685</v>
      </c>
      <c r="D43" s="0" t="s">
        <v>22</v>
      </c>
      <c r="E43" s="2" t="b">
        <v>0</v>
      </c>
      <c r="F43" s="2" t="s">
        <v>34</v>
      </c>
    </row>
    <row r="44" customFormat="false" ht="12.8" hidden="false" customHeight="false" outlineLevel="0" collapsed="false">
      <c r="A44" s="0" t="s">
        <v>42</v>
      </c>
      <c r="B44" s="0" t="s">
        <v>33</v>
      </c>
      <c r="C44" s="4" t="n">
        <f aca="false">'Natural biosphere workbook'!B32</f>
        <v>1281.40749196685</v>
      </c>
      <c r="D44" s="0" t="s">
        <v>22</v>
      </c>
      <c r="E44" s="2" t="b">
        <v>0</v>
      </c>
      <c r="F44" s="2" t="s">
        <v>35</v>
      </c>
    </row>
    <row r="45" customFormat="false" ht="12.8" hidden="false" customHeight="false" outlineLevel="0" collapsed="false">
      <c r="A45" s="0" t="s">
        <v>43</v>
      </c>
      <c r="B45" s="0" t="s">
        <v>26</v>
      </c>
      <c r="C45" s="4" t="n">
        <f aca="false">C37 - (C46+C47)</f>
        <v>1896.08122118545</v>
      </c>
      <c r="D45" s="0" t="s">
        <v>22</v>
      </c>
      <c r="E45" s="2" t="b">
        <v>0</v>
      </c>
      <c r="F45" s="2" t="s">
        <v>27</v>
      </c>
    </row>
    <row r="46" customFormat="false" ht="12.8" hidden="false" customHeight="false" outlineLevel="0" collapsed="false">
      <c r="A46" s="0" t="s">
        <v>43</v>
      </c>
      <c r="B46" s="0" t="s">
        <v>32</v>
      </c>
      <c r="C46" s="4" t="n">
        <f aca="false">C47</f>
        <v>252.080162354135</v>
      </c>
      <c r="D46" s="0" t="s">
        <v>22</v>
      </c>
      <c r="E46" s="2" t="b">
        <v>0</v>
      </c>
      <c r="F46" s="2" t="s">
        <v>34</v>
      </c>
    </row>
    <row r="47" customFormat="false" ht="12.8" hidden="false" customHeight="false" outlineLevel="0" collapsed="false">
      <c r="A47" s="0" t="s">
        <v>43</v>
      </c>
      <c r="B47" s="0" t="s">
        <v>33</v>
      </c>
      <c r="C47" s="4" t="n">
        <f aca="false">'Natural biosphere workbook'!B33</f>
        <v>252.080162354135</v>
      </c>
      <c r="D47" s="0" t="s">
        <v>22</v>
      </c>
      <c r="E47" s="2" t="b">
        <v>0</v>
      </c>
      <c r="F47" s="2" t="s">
        <v>35</v>
      </c>
    </row>
    <row r="48" customFormat="false" ht="12.8" hidden="false" customHeight="false" outlineLevel="0" collapsed="false">
      <c r="A48" s="0" t="s">
        <v>44</v>
      </c>
      <c r="B48" s="0" t="s">
        <v>26</v>
      </c>
      <c r="C48" s="4" t="n">
        <f aca="false">C38 - (C49+C50)</f>
        <v>2054.08798961757</v>
      </c>
      <c r="D48" s="0" t="s">
        <v>22</v>
      </c>
      <c r="E48" s="2" t="b">
        <v>0</v>
      </c>
      <c r="F48" s="2" t="s">
        <v>27</v>
      </c>
    </row>
    <row r="49" customFormat="false" ht="12.8" hidden="false" customHeight="false" outlineLevel="0" collapsed="false">
      <c r="A49" s="0" t="s">
        <v>44</v>
      </c>
      <c r="B49" s="0" t="s">
        <v>32</v>
      </c>
      <c r="C49" s="4" t="n">
        <f aca="false">C50</f>
        <v>273.086842550313</v>
      </c>
      <c r="D49" s="0" t="s">
        <v>22</v>
      </c>
      <c r="E49" s="2" t="b">
        <v>0</v>
      </c>
      <c r="F49" s="2" t="s">
        <v>34</v>
      </c>
    </row>
    <row r="50" customFormat="false" ht="12.8" hidden="false" customHeight="false" outlineLevel="0" collapsed="false">
      <c r="A50" s="0" t="s">
        <v>44</v>
      </c>
      <c r="B50" s="0" t="s">
        <v>33</v>
      </c>
      <c r="C50" s="4" t="n">
        <f aca="false">'Natural biosphere workbook'!B34</f>
        <v>273.086842550313</v>
      </c>
      <c r="D50" s="0" t="s">
        <v>22</v>
      </c>
      <c r="E50" s="2" t="b">
        <v>0</v>
      </c>
      <c r="F50" s="2" t="s">
        <v>35</v>
      </c>
    </row>
    <row r="51" customFormat="false" ht="12.8" hidden="false" customHeight="false" outlineLevel="0" collapsed="false">
      <c r="A51" s="0" t="s">
        <v>40</v>
      </c>
      <c r="B51" s="0" t="s">
        <v>26</v>
      </c>
      <c r="C51" s="4" t="n">
        <f aca="false">C42 + C45 + C48</f>
        <v>18201.596705096</v>
      </c>
      <c r="D51" s="0" t="s">
        <v>22</v>
      </c>
      <c r="E51" s="2" t="b">
        <v>1</v>
      </c>
      <c r="F51" s="2" t="s">
        <v>27</v>
      </c>
    </row>
    <row r="52" customFormat="false" ht="12.8" hidden="false" customHeight="false" outlineLevel="0" collapsed="false">
      <c r="A52" s="0" t="s">
        <v>40</v>
      </c>
      <c r="B52" s="0" t="s">
        <v>32</v>
      </c>
      <c r="C52" s="4" t="n">
        <f aca="false">C43 + C46 + C49</f>
        <v>1806.5744968713</v>
      </c>
      <c r="D52" s="0" t="s">
        <v>22</v>
      </c>
      <c r="E52" s="2" t="b">
        <v>1</v>
      </c>
      <c r="F52" s="2" t="s">
        <v>34</v>
      </c>
    </row>
    <row r="53" customFormat="false" ht="12.8" hidden="false" customHeight="false" outlineLevel="0" collapsed="false">
      <c r="A53" s="0" t="s">
        <v>40</v>
      </c>
      <c r="B53" s="0" t="s">
        <v>33</v>
      </c>
      <c r="C53" s="4" t="n">
        <f aca="false">C44 + C47 + C50</f>
        <v>1806.5744968713</v>
      </c>
      <c r="D53" s="0" t="s">
        <v>22</v>
      </c>
      <c r="E53" s="2" t="b">
        <v>1</v>
      </c>
      <c r="F53" s="2" t="s">
        <v>35</v>
      </c>
    </row>
    <row r="54" customFormat="false" ht="12.8" hidden="false" customHeight="false" outlineLevel="0" collapsed="false">
      <c r="C54" s="4"/>
      <c r="E54" s="2"/>
      <c r="F54" s="2"/>
    </row>
    <row r="55" customFormat="false" ht="12.8" hidden="false" customHeight="false" outlineLevel="0" collapsed="false">
      <c r="E55" s="2"/>
      <c r="F55" s="2"/>
    </row>
    <row r="56" customFormat="false" ht="12.8" hidden="false" customHeight="false" outlineLevel="0" collapsed="false">
      <c r="E56" s="2"/>
      <c r="F56" s="2"/>
    </row>
  </sheetData>
  <hyperlinks>
    <hyperlink ref="G6" r:id="rId1" display="https://dx.doi.org/10.1017/9781009157896"/>
    <hyperlink ref="G7" r:id="rId2" display="https://dx.doi.org/10.1017/9781009157896"/>
    <hyperlink ref="G8" r:id="rId3" display="https://dx.doi.org/10.1017/9781009157896"/>
    <hyperlink ref="G9" r:id="rId4" display="https://dx.doi.org/10.1017/9781009157896"/>
    <hyperlink ref="G10" r:id="rId5" display="https://dx.doi.org/10.1017/9781009157896"/>
    <hyperlink ref="G11" r:id="rId6" display="https://dx.doi.org/10.1017/9781009157896"/>
    <hyperlink ref="G13" r:id="rId7" display="https://dx.doi.org/10.1017/9781009157896"/>
    <hyperlink ref="G14" r:id="rId8" display="https://dx.doi.org/10.1017/9781009157896"/>
    <hyperlink ref="G15" r:id="rId9" display="https://dx.doi.org/10.1017/9781009157896"/>
    <hyperlink ref="G16" r:id="rId10" display="https://dx.doi.org/10.1017/9781009157896"/>
    <hyperlink ref="G17" r:id="rId11" display="https://dx.doi.org/10.1017/9781009157896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C7" activeCellId="0" sqref="C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2.24"/>
    <col collapsed="false" customWidth="true" hidden="false" outlineLevel="0" max="2" min="2" style="0" width="16.94"/>
    <col collapsed="false" customWidth="true" hidden="false" outlineLevel="0" max="4" min="4" style="0" width="38.68"/>
    <col collapsed="false" customWidth="true" hidden="false" outlineLevel="0" max="6" min="6" style="0" width="42.17"/>
  </cols>
  <sheetData>
    <row r="1" customFormat="false" ht="12.8" hidden="false" customHeight="false" outlineLevel="0" collapsed="false">
      <c r="A1" s="0" t="s">
        <v>45</v>
      </c>
      <c r="F1" s="1" t="s">
        <v>46</v>
      </c>
      <c r="G1" s="1" t="s">
        <v>2</v>
      </c>
      <c r="H1" s="1" t="s">
        <v>3</v>
      </c>
      <c r="I1" s="0" t="s">
        <v>47</v>
      </c>
    </row>
    <row r="2" customFormat="false" ht="12.8" hidden="false" customHeight="false" outlineLevel="0" collapsed="false">
      <c r="A2" s="1" t="s">
        <v>48</v>
      </c>
      <c r="B2" s="1" t="s">
        <v>49</v>
      </c>
      <c r="C2" s="1" t="s">
        <v>2</v>
      </c>
      <c r="D2" s="1" t="s">
        <v>50</v>
      </c>
      <c r="F2" s="0" t="s">
        <v>51</v>
      </c>
      <c r="G2" s="4" t="n">
        <v>360000000000000</v>
      </c>
      <c r="H2" s="0" t="s">
        <v>52</v>
      </c>
    </row>
    <row r="3" customFormat="false" ht="12.8" hidden="false" customHeight="false" outlineLevel="0" collapsed="false">
      <c r="A3" s="0" t="s">
        <v>9</v>
      </c>
      <c r="B3" s="0" t="s">
        <v>22</v>
      </c>
      <c r="C3" s="0" t="n">
        <f aca="false">G2/1000000000</f>
        <v>360000</v>
      </c>
      <c r="F3" s="0" t="s">
        <v>53</v>
      </c>
      <c r="G3" s="0" t="n">
        <f aca="false">60*60</f>
        <v>3600</v>
      </c>
      <c r="H3" s="0" t="s">
        <v>54</v>
      </c>
    </row>
    <row r="4" customFormat="false" ht="12.8" hidden="false" customHeight="false" outlineLevel="0" collapsed="false">
      <c r="A4" s="0" t="s">
        <v>22</v>
      </c>
      <c r="B4" s="0" t="s">
        <v>9</v>
      </c>
      <c r="C4" s="0" t="n">
        <f aca="false">1/C3</f>
        <v>2.77777777777778E-006</v>
      </c>
      <c r="F4" s="0" t="s">
        <v>55</v>
      </c>
      <c r="G4" s="0" t="n">
        <f aca="false">365*24</f>
        <v>8760</v>
      </c>
      <c r="H4" s="0" t="s">
        <v>56</v>
      </c>
    </row>
    <row r="5" customFormat="false" ht="12.8" hidden="false" customHeight="false" outlineLevel="0" collapsed="false">
      <c r="A5" s="0" t="s">
        <v>57</v>
      </c>
      <c r="B5" s="0" t="s">
        <v>22</v>
      </c>
      <c r="C5" s="0" t="n">
        <f aca="false">(1/G4)*1000</f>
        <v>0.114155251141553</v>
      </c>
      <c r="F5" s="0" t="s">
        <v>58</v>
      </c>
      <c r="G5" s="4" t="n">
        <v>2000000</v>
      </c>
      <c r="H5" s="0" t="s">
        <v>59</v>
      </c>
    </row>
    <row r="6" customFormat="false" ht="12.8" hidden="false" customHeight="false" outlineLevel="0" collapsed="false">
      <c r="A6" s="0" t="s">
        <v>60</v>
      </c>
      <c r="B6" s="0" t="s">
        <v>61</v>
      </c>
      <c r="C6" s="0" t="n">
        <f aca="false">G5/G6</f>
        <v>0.0634195839675292</v>
      </c>
      <c r="F6" s="0" t="s">
        <v>62</v>
      </c>
      <c r="G6" s="0" t="n">
        <f aca="false">365*24*60*60</f>
        <v>31536000</v>
      </c>
      <c r="H6" s="0" t="s">
        <v>63</v>
      </c>
      <c r="I6" s="6" t="b">
        <f aca="false">G3*G4=G6</f>
        <v>1</v>
      </c>
    </row>
    <row r="7" customFormat="false" ht="12.8" hidden="false" customHeight="false" outlineLevel="0" collapsed="false">
      <c r="A7" s="0" t="s">
        <v>64</v>
      </c>
      <c r="B7" s="0" t="s">
        <v>65</v>
      </c>
      <c r="C7" s="0" t="n">
        <f aca="false">G14/G6/1000000000</f>
        <v>2.10066801961779E-013</v>
      </c>
      <c r="F7" s="0" t="s">
        <v>66</v>
      </c>
      <c r="G7" s="0" t="n">
        <v>10</v>
      </c>
      <c r="H7" s="0" t="s">
        <v>67</v>
      </c>
    </row>
    <row r="8" customFormat="false" ht="12.8" hidden="false" customHeight="false" outlineLevel="0" collapsed="false">
      <c r="A8" s="0" t="s">
        <v>68</v>
      </c>
      <c r="B8" s="0" t="s">
        <v>69</v>
      </c>
      <c r="C8" s="0" t="n">
        <v>2</v>
      </c>
      <c r="D8" s="0" t="s">
        <v>70</v>
      </c>
      <c r="F8" s="0" t="s">
        <v>71</v>
      </c>
      <c r="G8" s="0" t="n">
        <f aca="false">4.1E-021*70</f>
        <v>2.87E-019</v>
      </c>
      <c r="H8" s="0" t="s">
        <v>72</v>
      </c>
    </row>
    <row r="9" customFormat="false" ht="12.8" hidden="false" customHeight="false" outlineLevel="0" collapsed="false">
      <c r="A9" s="0" t="s">
        <v>68</v>
      </c>
      <c r="B9" s="0" t="s">
        <v>73</v>
      </c>
      <c r="C9" s="0" t="n">
        <f aca="false">1/G16</f>
        <v>9.52173913043478</v>
      </c>
      <c r="F9" s="0" t="s">
        <v>74</v>
      </c>
      <c r="G9" s="4" t="n">
        <v>6E+023</v>
      </c>
      <c r="H9" s="0" t="s">
        <v>75</v>
      </c>
    </row>
    <row r="10" customFormat="false" ht="12.8" hidden="false" customHeight="false" outlineLevel="0" collapsed="false">
      <c r="A10" s="0" t="s">
        <v>76</v>
      </c>
      <c r="B10" s="0" t="s">
        <v>77</v>
      </c>
      <c r="C10" s="0" t="n">
        <f aca="false">'Agriculture Workbook'!D9</f>
        <v>1.37807790113502</v>
      </c>
      <c r="D10" s="0" t="s">
        <v>78</v>
      </c>
      <c r="F10" s="0" t="s">
        <v>79</v>
      </c>
      <c r="G10" s="4" t="n">
        <f aca="false">12/G9</f>
        <v>2E-023</v>
      </c>
      <c r="H10" s="0" t="s">
        <v>80</v>
      </c>
    </row>
    <row r="11" customFormat="false" ht="12.8" hidden="false" customHeight="false" outlineLevel="0" collapsed="false">
      <c r="F11" s="0" t="s">
        <v>81</v>
      </c>
      <c r="G11" s="0" t="n">
        <f aca="false">(1/6)*G7*G8/G10</f>
        <v>23916.6666666667</v>
      </c>
      <c r="H11" s="0" t="s">
        <v>82</v>
      </c>
    </row>
    <row r="12" customFormat="false" ht="12.8" hidden="false" customHeight="false" outlineLevel="0" collapsed="false">
      <c r="F12" s="0" t="s">
        <v>83</v>
      </c>
      <c r="G12" s="0" t="n">
        <v>114</v>
      </c>
      <c r="H12" s="0" t="s">
        <v>84</v>
      </c>
    </row>
    <row r="13" customFormat="false" ht="12.8" hidden="false" customHeight="false" outlineLevel="0" collapsed="false">
      <c r="F13" s="0" t="s">
        <v>85</v>
      </c>
      <c r="G13" s="0" t="n">
        <v>4184</v>
      </c>
      <c r="H13" s="0" t="s">
        <v>85</v>
      </c>
    </row>
    <row r="14" customFormat="false" ht="12.8" hidden="false" customHeight="false" outlineLevel="0" collapsed="false">
      <c r="F14" s="0" t="s">
        <v>86</v>
      </c>
      <c r="G14" s="0" t="n">
        <f aca="false">(1/6)*G12*G13/12</f>
        <v>6624.66666666667</v>
      </c>
      <c r="H14" s="0" t="s">
        <v>82</v>
      </c>
      <c r="I14" s="0" t="n">
        <f aca="false">G14/G11</f>
        <v>0.276989547038328</v>
      </c>
      <c r="J14" s="0" t="s">
        <v>87</v>
      </c>
    </row>
    <row r="15" customFormat="false" ht="12.8" hidden="false" customHeight="false" outlineLevel="0" collapsed="false">
      <c r="F15" s="0" t="s">
        <v>88</v>
      </c>
      <c r="G15" s="0" t="n">
        <v>0.5</v>
      </c>
      <c r="H15" s="0" t="s">
        <v>89</v>
      </c>
      <c r="I15" s="7" t="s">
        <v>90</v>
      </c>
    </row>
    <row r="16" customFormat="false" ht="12.8" hidden="false" customHeight="false" outlineLevel="0" collapsed="false">
      <c r="F16" s="0" t="s">
        <v>91</v>
      </c>
      <c r="G16" s="0" t="n">
        <f aca="false">46/438</f>
        <v>0.105022831050228</v>
      </c>
      <c r="I16" s="8" t="s">
        <v>92</v>
      </c>
      <c r="J16" s="0" t="s">
        <v>93</v>
      </c>
    </row>
    <row r="17" customFormat="false" ht="12.8" hidden="false" customHeight="false" outlineLevel="0" collapsed="false">
      <c r="F17" s="0" t="s">
        <v>94</v>
      </c>
      <c r="G17" s="0" t="n">
        <v>0.23</v>
      </c>
      <c r="I17" s="0" t="s">
        <v>95</v>
      </c>
    </row>
  </sheetData>
  <hyperlinks>
    <hyperlink ref="D10" r:id="rId1" location="explore-data-on-agricultural-production" display="https://ourworldindata.org/agricultural-production#explore-data-on-agricultural-production"/>
    <hyperlink ref="I15" r:id="rId2" display="https://phyllis.nl/Browse/Standard/ECN-Phyllis"/>
    <hyperlink ref="I16" r:id="rId3" display="https://doi.org/10.1016/j.copbio.2008.02.004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8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6" activeCellId="0" sqref="B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0.85"/>
    <col collapsed="false" customWidth="true" hidden="false" outlineLevel="0" max="2" min="2" style="0" width="10.01"/>
  </cols>
  <sheetData>
    <row r="1" customFormat="false" ht="12.8" hidden="false" customHeight="false" outlineLevel="0" collapsed="false">
      <c r="A1" s="0" t="s">
        <v>96</v>
      </c>
      <c r="B1" s="0" t="s">
        <v>2</v>
      </c>
      <c r="C1" s="0" t="s">
        <v>97</v>
      </c>
      <c r="D1" s="0" t="s">
        <v>50</v>
      </c>
    </row>
    <row r="2" customFormat="false" ht="12.8" hidden="false" customHeight="false" outlineLevel="0" collapsed="false">
      <c r="A2" s="0" t="s">
        <v>98</v>
      </c>
      <c r="B2" s="0" t="n">
        <v>1600</v>
      </c>
      <c r="C2" s="0" t="s">
        <v>99</v>
      </c>
    </row>
    <row r="3" customFormat="false" ht="12.8" hidden="false" customHeight="false" outlineLevel="0" collapsed="false">
      <c r="A3" s="0" t="s">
        <v>100</v>
      </c>
      <c r="B3" s="0" t="n">
        <v>150000000</v>
      </c>
      <c r="C3" s="0" t="s">
        <v>99</v>
      </c>
    </row>
    <row r="4" customFormat="false" ht="12.8" hidden="false" customHeight="false" outlineLevel="0" collapsed="false">
      <c r="A4" s="0" t="s">
        <v>101</v>
      </c>
      <c r="B4" s="0" t="n">
        <f aca="false">3.14 * (B2^2)</f>
        <v>8038400</v>
      </c>
      <c r="C4" s="0" t="s">
        <v>102</v>
      </c>
    </row>
    <row r="5" customFormat="false" ht="12.8" hidden="false" customHeight="false" outlineLevel="0" collapsed="false">
      <c r="A5" s="0" t="s">
        <v>103</v>
      </c>
      <c r="B5" s="0" t="n">
        <f aca="false">3.14*(4/3)*(B3^2)</f>
        <v>94200000000000000</v>
      </c>
      <c r="C5" s="0" t="s">
        <v>102</v>
      </c>
    </row>
    <row r="6" customFormat="false" ht="12.8" hidden="false" customHeight="false" outlineLevel="0" collapsed="false">
      <c r="A6" s="0" t="s">
        <v>103</v>
      </c>
      <c r="B6" s="0" t="n">
        <f aca="false">B5/B4</f>
        <v>11718750000</v>
      </c>
      <c r="C6" s="0" t="s">
        <v>104</v>
      </c>
    </row>
    <row r="7" customFormat="false" ht="12.8" hidden="false" customHeight="false" outlineLevel="0" collapsed="false">
      <c r="A7" s="0" t="s">
        <v>105</v>
      </c>
      <c r="B7" s="0" t="n">
        <v>340</v>
      </c>
      <c r="C7" s="0" t="s">
        <v>9</v>
      </c>
      <c r="D7" s="0" t="s">
        <v>11</v>
      </c>
    </row>
    <row r="8" customFormat="false" ht="12.8" hidden="false" customHeight="false" outlineLevel="0" collapsed="false">
      <c r="A8" s="0" t="s">
        <v>106</v>
      </c>
      <c r="B8" s="0" t="n">
        <f aca="false">B7 * B5 * 1000000</f>
        <v>3.2028E+025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1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D3" activeCellId="0" sqref="D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5.26"/>
    <col collapsed="false" customWidth="true" hidden="false" outlineLevel="0" max="4" min="4" style="0" width="25.33"/>
  </cols>
  <sheetData>
    <row r="1" customFormat="false" ht="12.8" hidden="false" customHeight="false" outlineLevel="0" collapsed="false">
      <c r="A1" s="0" t="s">
        <v>96</v>
      </c>
      <c r="B1" s="0" t="s">
        <v>2</v>
      </c>
      <c r="C1" s="0" t="s">
        <v>97</v>
      </c>
      <c r="D1" s="0" t="s">
        <v>50</v>
      </c>
    </row>
    <row r="2" customFormat="false" ht="39.75" hidden="false" customHeight="true" outlineLevel="0" collapsed="false">
      <c r="A2" s="0" t="s">
        <v>107</v>
      </c>
      <c r="B2" s="0" t="n">
        <v>5.53</v>
      </c>
      <c r="C2" s="0" t="s">
        <v>108</v>
      </c>
      <c r="D2" s="9" t="s">
        <v>109</v>
      </c>
    </row>
    <row r="3" customFormat="false" ht="46.55" hidden="false" customHeight="false" outlineLevel="0" collapsed="false">
      <c r="A3" s="0" t="s">
        <v>110</v>
      </c>
      <c r="B3" s="0" t="n">
        <v>2130</v>
      </c>
      <c r="C3" s="0" t="s">
        <v>57</v>
      </c>
      <c r="D3" s="9" t="s">
        <v>109</v>
      </c>
    </row>
    <row r="4" customFormat="false" ht="12.8" hidden="false" customHeight="false" outlineLevel="0" collapsed="false">
      <c r="A4" s="0" t="s">
        <v>111</v>
      </c>
      <c r="B4" s="0" t="n">
        <f aca="false">B3*'Conversion Factors'!C5</f>
        <v>243.150684931507</v>
      </c>
      <c r="C4" s="0" t="s">
        <v>22</v>
      </c>
      <c r="D4" s="0" t="s">
        <v>112</v>
      </c>
    </row>
    <row r="5" customFormat="false" ht="12.8" hidden="false" customHeight="false" outlineLevel="0" collapsed="false">
      <c r="A5" s="0" t="s">
        <v>111</v>
      </c>
      <c r="B5" s="0" t="n">
        <f aca="false">B4*'Conversion Factors'!C4</f>
        <v>0.000675418569254186</v>
      </c>
      <c r="C5" s="0" t="s">
        <v>9</v>
      </c>
      <c r="D5" s="0" t="s">
        <v>112</v>
      </c>
    </row>
    <row r="7" customFormat="false" ht="12.8" hidden="false" customHeight="false" outlineLevel="0" collapsed="false">
      <c r="A7" s="0" t="s">
        <v>113</v>
      </c>
      <c r="B7" s="0" t="n">
        <v>0.2</v>
      </c>
      <c r="C7" s="0" t="s">
        <v>114</v>
      </c>
      <c r="D7" s="0" t="s">
        <v>115</v>
      </c>
    </row>
    <row r="9" customFormat="false" ht="12.8" hidden="false" customHeight="false" outlineLevel="0" collapsed="false">
      <c r="A9" s="0" t="s">
        <v>116</v>
      </c>
      <c r="B9" s="0" t="n">
        <v>300</v>
      </c>
      <c r="C9" s="0" t="s">
        <v>22</v>
      </c>
      <c r="D9" s="0" t="s">
        <v>117</v>
      </c>
    </row>
    <row r="10" customFormat="false" ht="47.3" hidden="false" customHeight="false" outlineLevel="0" collapsed="false">
      <c r="A10" s="0" t="s">
        <v>118</v>
      </c>
      <c r="B10" s="0" t="n">
        <v>30853.34</v>
      </c>
      <c r="C10" s="0" t="s">
        <v>119</v>
      </c>
      <c r="D10" s="9" t="s">
        <v>109</v>
      </c>
    </row>
    <row r="11" customFormat="false" ht="12.8" hidden="false" customHeight="false" outlineLevel="0" collapsed="false">
      <c r="A11" s="0" t="s">
        <v>118</v>
      </c>
      <c r="B11" s="0" t="n">
        <f aca="false">B10*'Conversion Factors'!C5</f>
        <v>3522.07077625571</v>
      </c>
      <c r="C11" s="0" t="s">
        <v>22</v>
      </c>
      <c r="D11" s="0" t="s">
        <v>112</v>
      </c>
    </row>
  </sheetData>
  <hyperlinks>
    <hyperlink ref="D2" r:id="rId1" display="https://ourworldindata.org/grapher/share-elec-by-source"/>
    <hyperlink ref="D3" r:id="rId2" display="https://ourworldindata.org/grapher/share-elec-by-source"/>
    <hyperlink ref="D9" r:id="rId3" display="https://www.iea.org/energy-system/industry/chemicals"/>
    <hyperlink ref="D10" r:id="rId4" display="https://ourworldindata.org/grapher/share-elec-by-source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44"/>
  <sheetViews>
    <sheetView showFormulas="false" showGridLines="true" showRowColHeaders="true" showZeros="true" rightToLeft="false" tabSelected="false" showOutlineSymbols="true" defaultGridColor="true" view="normal" topLeftCell="A25" colorId="64" zoomScale="80" zoomScaleNormal="80" zoomScalePageLayoutView="100" workbookViewId="0">
      <selection pane="topLeft" activeCell="B24" activeCellId="0" sqref="B2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3.98"/>
    <col collapsed="false" customWidth="true" hidden="false" outlineLevel="0" max="3" min="3" style="0" width="16.04"/>
    <col collapsed="false" customWidth="true" hidden="false" outlineLevel="0" max="4" min="4" style="0" width="33.44"/>
    <col collapsed="false" customWidth="true" hidden="false" outlineLevel="0" max="5" min="5" style="0" width="40.77"/>
  </cols>
  <sheetData>
    <row r="1" customFormat="false" ht="12.8" hidden="false" customHeight="false" outlineLevel="0" collapsed="false">
      <c r="A1" s="0" t="s">
        <v>96</v>
      </c>
      <c r="B1" s="0" t="s">
        <v>2</v>
      </c>
      <c r="C1" s="0" t="s">
        <v>97</v>
      </c>
      <c r="D1" s="0" t="s">
        <v>50</v>
      </c>
    </row>
    <row r="2" customFormat="false" ht="46.55" hidden="false" customHeight="false" outlineLevel="0" collapsed="false">
      <c r="A2" s="0" t="s">
        <v>120</v>
      </c>
      <c r="B2" s="0" t="n">
        <v>0.1</v>
      </c>
      <c r="C2" s="0" t="s">
        <v>108</v>
      </c>
      <c r="D2" s="9" t="s">
        <v>121</v>
      </c>
    </row>
    <row r="3" customFormat="false" ht="12.8" hidden="false" customHeight="false" outlineLevel="0" collapsed="false">
      <c r="A3" s="0" t="s">
        <v>122</v>
      </c>
      <c r="B3" s="0" t="n">
        <v>50</v>
      </c>
      <c r="C3" s="0" t="s">
        <v>123</v>
      </c>
      <c r="D3" s="0" t="s">
        <v>121</v>
      </c>
    </row>
    <row r="5" customFormat="false" ht="23.85" hidden="false" customHeight="false" outlineLevel="0" collapsed="false">
      <c r="A5" s="0" t="s">
        <v>124</v>
      </c>
      <c r="B5" s="0" t="n">
        <f aca="false">149*1000000*1000000</f>
        <v>149000000000000</v>
      </c>
      <c r="C5" s="0" t="s">
        <v>52</v>
      </c>
      <c r="D5" s="8" t="s">
        <v>125</v>
      </c>
    </row>
    <row r="6" customFormat="false" ht="23.85" hidden="false" customHeight="false" outlineLevel="0" collapsed="false">
      <c r="A6" s="0" t="s">
        <v>126</v>
      </c>
      <c r="B6" s="0" t="n">
        <v>782</v>
      </c>
      <c r="C6" s="0" t="s">
        <v>127</v>
      </c>
      <c r="D6" s="8" t="s">
        <v>125</v>
      </c>
    </row>
    <row r="7" customFormat="false" ht="23.85" hidden="false" customHeight="false" outlineLevel="0" collapsed="false">
      <c r="A7" s="0" t="s">
        <v>128</v>
      </c>
      <c r="B7" s="0" t="n">
        <v>1.5</v>
      </c>
      <c r="C7" s="0" t="s">
        <v>129</v>
      </c>
      <c r="D7" s="8" t="s">
        <v>125</v>
      </c>
    </row>
    <row r="8" customFormat="false" ht="23.85" hidden="false" customHeight="false" outlineLevel="0" collapsed="false">
      <c r="A8" s="0" t="s">
        <v>130</v>
      </c>
      <c r="B8" s="0" t="n">
        <f aca="false">644*1000000000000</f>
        <v>644000000000000</v>
      </c>
      <c r="C8" s="0" t="s">
        <v>52</v>
      </c>
      <c r="D8" s="8" t="s">
        <v>125</v>
      </c>
    </row>
    <row r="9" customFormat="false" ht="23.85" hidden="false" customHeight="false" outlineLevel="0" collapsed="false">
      <c r="A9" s="0" t="s">
        <v>131</v>
      </c>
      <c r="B9" s="0" t="n">
        <f aca="false">361*1000000000000</f>
        <v>361000000000000</v>
      </c>
      <c r="C9" s="0" t="s">
        <v>52</v>
      </c>
      <c r="D9" s="8" t="s">
        <v>125</v>
      </c>
    </row>
    <row r="10" customFormat="false" ht="23.85" hidden="false" customHeight="false" outlineLevel="0" collapsed="false">
      <c r="A10" s="0" t="s">
        <v>132</v>
      </c>
      <c r="B10" s="0" t="n">
        <v>155</v>
      </c>
      <c r="C10" s="0" t="s">
        <v>127</v>
      </c>
      <c r="D10" s="8" t="s">
        <v>125</v>
      </c>
    </row>
    <row r="11" customFormat="false" ht="23.85" hidden="false" customHeight="false" outlineLevel="0" collapsed="false">
      <c r="A11" s="0" t="s">
        <v>133</v>
      </c>
      <c r="B11" s="0" t="n">
        <f aca="false">B6*B5</f>
        <v>1.16518E+017</v>
      </c>
      <c r="C11" s="0" t="s">
        <v>134</v>
      </c>
      <c r="D11" s="9" t="s">
        <v>112</v>
      </c>
    </row>
    <row r="12" customFormat="false" ht="23.85" hidden="false" customHeight="false" outlineLevel="0" collapsed="false">
      <c r="A12" s="0" t="s">
        <v>135</v>
      </c>
      <c r="B12" s="0" t="n">
        <f aca="false">B9*B10</f>
        <v>55955000000000000</v>
      </c>
      <c r="C12" s="0" t="s">
        <v>134</v>
      </c>
      <c r="D12" s="9" t="s">
        <v>112</v>
      </c>
    </row>
    <row r="14" customFormat="false" ht="46.55" hidden="false" customHeight="false" outlineLevel="0" collapsed="false">
      <c r="A14" s="0" t="s">
        <v>136</v>
      </c>
      <c r="B14" s="4" t="n">
        <v>60000</v>
      </c>
      <c r="C14" s="0" t="s">
        <v>22</v>
      </c>
      <c r="D14" s="9" t="s">
        <v>137</v>
      </c>
    </row>
    <row r="15" customFormat="false" ht="46.55" hidden="false" customHeight="false" outlineLevel="0" collapsed="false">
      <c r="A15" s="0" t="s">
        <v>138</v>
      </c>
      <c r="B15" s="4" t="n">
        <v>40000</v>
      </c>
      <c r="C15" s="0" t="s">
        <v>22</v>
      </c>
      <c r="D15" s="9" t="s">
        <v>137</v>
      </c>
    </row>
    <row r="16" customFormat="false" ht="69.3" hidden="false" customHeight="false" outlineLevel="0" collapsed="false">
      <c r="A16" s="0" t="s">
        <v>139</v>
      </c>
      <c r="B16" s="4" t="n">
        <v>60000000000</v>
      </c>
      <c r="C16" s="0" t="s">
        <v>140</v>
      </c>
      <c r="D16" s="9" t="s">
        <v>141</v>
      </c>
    </row>
    <row r="17" customFormat="false" ht="12.8" hidden="false" customHeight="false" outlineLevel="0" collapsed="false">
      <c r="A17" s="0" t="s">
        <v>139</v>
      </c>
      <c r="B17" s="4" t="n">
        <f aca="false">B16*'Conversion Factors'!G5</f>
        <v>1.2E+017</v>
      </c>
      <c r="C17" s="0" t="s">
        <v>64</v>
      </c>
      <c r="D17" s="9" t="s">
        <v>112</v>
      </c>
    </row>
    <row r="18" customFormat="false" ht="12.8" hidden="false" customHeight="false" outlineLevel="0" collapsed="false">
      <c r="A18" s="0" t="s">
        <v>139</v>
      </c>
      <c r="B18" s="4" t="n">
        <f aca="false">B16*'Conversion Factors'!C6</f>
        <v>3805175038.05175</v>
      </c>
      <c r="C18" s="0" t="s">
        <v>142</v>
      </c>
      <c r="D18" s="0" t="s">
        <v>112</v>
      </c>
    </row>
    <row r="19" customFormat="false" ht="12.8" hidden="false" customHeight="false" outlineLevel="0" collapsed="false">
      <c r="A19" s="0" t="s">
        <v>143</v>
      </c>
      <c r="B19" s="4" t="n">
        <f aca="false">B18*'Conversion Factors'!G11*0.000000001</f>
        <v>91007.1029934044</v>
      </c>
      <c r="C19" s="0" t="s">
        <v>22</v>
      </c>
      <c r="D19" s="0" t="s">
        <v>112</v>
      </c>
      <c r="E19" s="0" t="s">
        <v>144</v>
      </c>
    </row>
    <row r="20" customFormat="false" ht="12.8" hidden="false" customHeight="false" outlineLevel="0" collapsed="false">
      <c r="A20" s="0" t="s">
        <v>145</v>
      </c>
      <c r="B20" s="4"/>
    </row>
    <row r="22" customFormat="false" ht="12.8" hidden="false" customHeight="false" outlineLevel="0" collapsed="false">
      <c r="A22" s="0" t="s">
        <v>146</v>
      </c>
      <c r="B22" s="4" t="n">
        <v>60000000000000000</v>
      </c>
      <c r="C22" s="0" t="s">
        <v>64</v>
      </c>
      <c r="D22" s="8" t="s">
        <v>147</v>
      </c>
    </row>
    <row r="23" customFormat="false" ht="12.8" hidden="false" customHeight="false" outlineLevel="0" collapsed="false">
      <c r="A23" s="0" t="s">
        <v>148</v>
      </c>
      <c r="B23" s="4" t="n">
        <v>8100000000000000</v>
      </c>
      <c r="C23" s="0" t="s">
        <v>64</v>
      </c>
      <c r="D23" s="8" t="s">
        <v>147</v>
      </c>
    </row>
    <row r="24" customFormat="false" ht="12.8" hidden="false" customHeight="false" outlineLevel="0" collapsed="false">
      <c r="A24" s="0" t="s">
        <v>149</v>
      </c>
      <c r="B24" s="4" t="n">
        <v>6100000000000000</v>
      </c>
      <c r="C24" s="0" t="s">
        <v>64</v>
      </c>
      <c r="D24" s="8" t="s">
        <v>147</v>
      </c>
    </row>
    <row r="25" customFormat="false" ht="12.8" hidden="false" customHeight="false" outlineLevel="0" collapsed="false">
      <c r="A25" s="0" t="s">
        <v>150</v>
      </c>
      <c r="B25" s="4" t="n">
        <v>1200000000000000</v>
      </c>
      <c r="C25" s="0" t="s">
        <v>64</v>
      </c>
      <c r="D25" s="8" t="s">
        <v>147</v>
      </c>
    </row>
    <row r="26" customFormat="false" ht="12.8" hidden="false" customHeight="false" outlineLevel="0" collapsed="false">
      <c r="A26" s="0" t="s">
        <v>151</v>
      </c>
      <c r="B26" s="4" t="n">
        <v>1300000000000000</v>
      </c>
      <c r="C26" s="0" t="s">
        <v>64</v>
      </c>
      <c r="D26" s="8" t="s">
        <v>147</v>
      </c>
    </row>
    <row r="27" customFormat="false" ht="12.8" hidden="false" customHeight="false" outlineLevel="0" collapsed="false">
      <c r="A27" s="0" t="s">
        <v>152</v>
      </c>
      <c r="B27" s="4" t="n">
        <f aca="false">SUM(B24:B26)</f>
        <v>8600000000000000</v>
      </c>
      <c r="C27" s="0" t="s">
        <v>64</v>
      </c>
      <c r="D27" s="9" t="s">
        <v>112</v>
      </c>
    </row>
    <row r="28" customFormat="false" ht="12.8" hidden="false" customHeight="false" outlineLevel="0" collapsed="false">
      <c r="A28" s="0" t="s">
        <v>153</v>
      </c>
      <c r="B28" s="4" t="n">
        <f aca="false">B22-B27</f>
        <v>51400000000000000</v>
      </c>
      <c r="C28" s="0" t="s">
        <v>64</v>
      </c>
      <c r="D28" s="9" t="s">
        <v>112</v>
      </c>
    </row>
    <row r="29" customFormat="false" ht="12.8" hidden="false" customHeight="false" outlineLevel="0" collapsed="false">
      <c r="B29" s="4"/>
      <c r="D29" s="8"/>
    </row>
    <row r="30" customFormat="false" ht="12.8" hidden="false" customHeight="false" outlineLevel="0" collapsed="false">
      <c r="A30" s="0" t="s">
        <v>154</v>
      </c>
      <c r="B30" s="4" t="n">
        <f aca="false">B22*'Conversion Factors'!$C$7</f>
        <v>12604.0081177067</v>
      </c>
      <c r="C30" s="0" t="s">
        <v>22</v>
      </c>
      <c r="D30" s="9" t="s">
        <v>112</v>
      </c>
    </row>
    <row r="31" customFormat="false" ht="12.8" hidden="false" customHeight="false" outlineLevel="0" collapsed="false">
      <c r="A31" s="0" t="s">
        <v>155</v>
      </c>
      <c r="B31" s="4" t="n">
        <f aca="false">B23*'Conversion Factors'!$C$7</f>
        <v>1701.54109589041</v>
      </c>
      <c r="C31" s="0" t="s">
        <v>22</v>
      </c>
      <c r="D31" s="9" t="s">
        <v>112</v>
      </c>
    </row>
    <row r="32" customFormat="false" ht="12.8" hidden="false" customHeight="false" outlineLevel="0" collapsed="false">
      <c r="A32" s="0" t="s">
        <v>156</v>
      </c>
      <c r="B32" s="4" t="n">
        <f aca="false">B24*'Conversion Factors'!$C$7</f>
        <v>1281.40749196685</v>
      </c>
      <c r="C32" s="0" t="s">
        <v>22</v>
      </c>
      <c r="D32" s="9" t="s">
        <v>112</v>
      </c>
    </row>
    <row r="33" customFormat="false" ht="12.8" hidden="false" customHeight="false" outlineLevel="0" collapsed="false">
      <c r="A33" s="0" t="s">
        <v>157</v>
      </c>
      <c r="B33" s="4" t="n">
        <f aca="false">B25*'Conversion Factors'!$C$7</f>
        <v>252.080162354135</v>
      </c>
      <c r="C33" s="0" t="s">
        <v>22</v>
      </c>
      <c r="D33" s="9" t="s">
        <v>112</v>
      </c>
    </row>
    <row r="34" customFormat="false" ht="12.8" hidden="false" customHeight="false" outlineLevel="0" collapsed="false">
      <c r="A34" s="0" t="s">
        <v>158</v>
      </c>
      <c r="B34" s="4" t="n">
        <f aca="false">B26*'Conversion Factors'!$C$7</f>
        <v>273.086842550313</v>
      </c>
      <c r="C34" s="0" t="s">
        <v>22</v>
      </c>
      <c r="D34" s="9" t="s">
        <v>112</v>
      </c>
    </row>
    <row r="35" customFormat="false" ht="12.8" hidden="false" customHeight="false" outlineLevel="0" collapsed="false">
      <c r="A35" s="0" t="s">
        <v>159</v>
      </c>
      <c r="B35" s="4" t="n">
        <f aca="false">B27*'Conversion Factors'!$C$7</f>
        <v>1806.5744968713</v>
      </c>
      <c r="C35" s="0" t="s">
        <v>22</v>
      </c>
      <c r="D35" s="9" t="s">
        <v>112</v>
      </c>
    </row>
    <row r="36" customFormat="false" ht="12.8" hidden="false" customHeight="false" outlineLevel="0" collapsed="false">
      <c r="A36" s="0" t="s">
        <v>160</v>
      </c>
      <c r="B36" s="4" t="n">
        <f aca="false">B28*'Conversion Factors'!$C$7</f>
        <v>10797.4336208354</v>
      </c>
      <c r="C36" s="0" t="s">
        <v>22</v>
      </c>
      <c r="D36" s="9" t="s">
        <v>112</v>
      </c>
    </row>
    <row r="37" customFormat="false" ht="12.8" hidden="false" customHeight="false" outlineLevel="0" collapsed="false">
      <c r="B37" s="4"/>
      <c r="D37" s="8"/>
    </row>
    <row r="38" customFormat="false" ht="46.55" hidden="false" customHeight="false" outlineLevel="0" collapsed="false">
      <c r="A38" s="0" t="s">
        <v>161</v>
      </c>
      <c r="B38" s="4" t="n">
        <v>50000000000000000</v>
      </c>
      <c r="C38" s="0" t="s">
        <v>64</v>
      </c>
      <c r="D38" s="9" t="s">
        <v>162</v>
      </c>
    </row>
    <row r="39" customFormat="false" ht="12.8" hidden="false" customHeight="false" outlineLevel="0" collapsed="false">
      <c r="A39" s="0" t="s">
        <v>163</v>
      </c>
      <c r="B39" s="4" t="n">
        <f aca="false">B38*'Conversion Factors'!C7</f>
        <v>10503.340098089</v>
      </c>
      <c r="C39" s="0" t="s">
        <v>22</v>
      </c>
      <c r="D39" s="9" t="s">
        <v>112</v>
      </c>
    </row>
    <row r="40" customFormat="false" ht="12.8" hidden="false" customHeight="false" outlineLevel="0" collapsed="false">
      <c r="A40" s="0" t="s">
        <v>164</v>
      </c>
      <c r="B40" s="4" t="n">
        <f aca="false">B39*'Conversion Factors'!C8</f>
        <v>21006.6801961779</v>
      </c>
      <c r="C40" s="0" t="s">
        <v>22</v>
      </c>
      <c r="D40" s="9" t="s">
        <v>112</v>
      </c>
    </row>
    <row r="41" customFormat="false" ht="12.8" hidden="false" customHeight="false" outlineLevel="0" collapsed="false">
      <c r="A41" s="0" t="s">
        <v>165</v>
      </c>
      <c r="B41" s="4" t="n">
        <f aca="false">B39*'Conversion Factors'!C9</f>
        <v>100010.064412238</v>
      </c>
      <c r="C41" s="0" t="s">
        <v>22</v>
      </c>
      <c r="D41" s="9" t="s">
        <v>112</v>
      </c>
    </row>
    <row r="43" customFormat="false" ht="12.8" hidden="false" customHeight="false" outlineLevel="0" collapsed="false">
      <c r="A43" s="10" t="s">
        <v>166</v>
      </c>
      <c r="B43" s="10" t="n">
        <v>50</v>
      </c>
      <c r="C43" s="10" t="s">
        <v>167</v>
      </c>
      <c r="D43" s="10" t="s">
        <v>168</v>
      </c>
      <c r="E43" s="10" t="s">
        <v>169</v>
      </c>
    </row>
    <row r="44" customFormat="false" ht="12.8" hidden="false" customHeight="false" outlineLevel="0" collapsed="false">
      <c r="A44" s="10" t="s">
        <v>166</v>
      </c>
      <c r="B44" s="10" t="n">
        <f aca="false">B43*1000000000*'Conversion Factors'!G5</f>
        <v>1E+017</v>
      </c>
      <c r="C44" s="10" t="s">
        <v>64</v>
      </c>
      <c r="D44" s="10" t="s">
        <v>112</v>
      </c>
      <c r="E44" s="10" t="s">
        <v>144</v>
      </c>
    </row>
  </sheetData>
  <hyperlinks>
    <hyperlink ref="D5" r:id="rId1" display="https://doi.org/10.1007/978-3-642-80913-2_15"/>
    <hyperlink ref="D6" r:id="rId2" display="https://doi.org/10.1007/978-3-642-80913-2_15"/>
    <hyperlink ref="D7" r:id="rId3" display="https://doi.org/10.1007/978-3-642-80913-2_15"/>
    <hyperlink ref="D8" r:id="rId4" display="https://doi.org/10.1007/978-3-642-80913-2_15"/>
    <hyperlink ref="D9" r:id="rId5" display="https://doi.org/10.1007/978-3-642-80913-2_15"/>
    <hyperlink ref="D10" r:id="rId6" display="https://doi.org/10.1007/978-3-642-80913-2_15"/>
    <hyperlink ref="D14" r:id="rId7" display="https://doi.org/10.1016/j.ecocom.2008.05.005"/>
    <hyperlink ref="D15" r:id="rId8" display="https://doi.org/10.1016/j.ecocom.2008.05.005"/>
    <hyperlink ref="D22" r:id="rId9" display="https://doi.org/10.1073/pnas.0704243104"/>
    <hyperlink ref="D23" r:id="rId10" display="https://doi.org/10.1073/pnas.0704243104"/>
    <hyperlink ref="D24" r:id="rId11" display="https://doi.org/10.1073/pnas.0704243104"/>
    <hyperlink ref="D25" r:id="rId12" display="https://doi.org/10.1073/pnas.0704243104"/>
    <hyperlink ref="D26" r:id="rId13" display="https://doi.org/10.1073/pnas.0704243104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8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8" activeCellId="0" sqref="B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2.73"/>
  </cols>
  <sheetData>
    <row r="1" customFormat="false" ht="12.8" hidden="false" customHeight="false" outlineLevel="0" collapsed="false">
      <c r="A1" s="0" t="s">
        <v>170</v>
      </c>
      <c r="B1" s="0" t="n">
        <f aca="false">200000</f>
        <v>200000</v>
      </c>
      <c r="C1" s="0" t="s">
        <v>171</v>
      </c>
    </row>
    <row r="2" customFormat="false" ht="12.8" hidden="false" customHeight="false" outlineLevel="0" collapsed="false">
      <c r="A2" s="0" t="s">
        <v>172</v>
      </c>
      <c r="B2" s="4" t="n">
        <v>28000000</v>
      </c>
    </row>
    <row r="3" customFormat="false" ht="12.8" hidden="false" customHeight="false" outlineLevel="0" collapsed="false">
      <c r="A3" s="0" t="s">
        <v>173</v>
      </c>
      <c r="B3" s="0" t="n">
        <f aca="false">B1/B2</f>
        <v>0.00714285714285714</v>
      </c>
      <c r="C3" s="0" t="s">
        <v>174</v>
      </c>
    </row>
    <row r="4" customFormat="false" ht="12.8" hidden="false" customHeight="false" outlineLevel="0" collapsed="false">
      <c r="A4" s="0" t="s">
        <v>175</v>
      </c>
      <c r="B4" s="0" t="n">
        <f aca="false">B3 * 1000000000000</f>
        <v>7142857142.85714</v>
      </c>
      <c r="C4" s="0" t="s">
        <v>176</v>
      </c>
    </row>
    <row r="5" customFormat="false" ht="12.8" hidden="false" customHeight="false" outlineLevel="0" collapsed="false">
      <c r="A5" s="0" t="s">
        <v>177</v>
      </c>
      <c r="B5" s="0" t="n">
        <v>0.005</v>
      </c>
      <c r="C5" s="0" t="s">
        <v>176</v>
      </c>
    </row>
    <row r="6" customFormat="false" ht="12.8" hidden="false" customHeight="false" outlineLevel="0" collapsed="false">
      <c r="A6" s="0" t="s">
        <v>178</v>
      </c>
      <c r="B6" s="0" t="n">
        <v>0.02</v>
      </c>
      <c r="C6" s="0" t="s">
        <v>176</v>
      </c>
    </row>
    <row r="7" customFormat="false" ht="12.8" hidden="false" customHeight="false" outlineLevel="0" collapsed="false">
      <c r="A7" s="0" t="s">
        <v>179</v>
      </c>
      <c r="B7" s="0" t="n">
        <f aca="false">B5/B4</f>
        <v>7E-013</v>
      </c>
    </row>
    <row r="8" customFormat="false" ht="12.8" hidden="false" customHeight="false" outlineLevel="0" collapsed="false">
      <c r="A8" s="0" t="s">
        <v>180</v>
      </c>
      <c r="B8" s="0" t="n">
        <f aca="false">B6/B4</f>
        <v>2.8E-012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9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D9" activeCellId="0" sqref="D9"/>
    </sheetView>
  </sheetViews>
  <sheetFormatPr defaultColWidth="11.53515625" defaultRowHeight="12.8" zeroHeight="false" outlineLevelRow="0" outlineLevelCol="0"/>
  <sheetData>
    <row r="1" s="1" customFormat="true" ht="12.8" hidden="false" customHeight="false" outlineLevel="0" collapsed="false">
      <c r="A1" s="1" t="s">
        <v>181</v>
      </c>
      <c r="B1" s="1" t="s">
        <v>182</v>
      </c>
      <c r="C1" s="1" t="s">
        <v>183</v>
      </c>
      <c r="D1" s="1" t="s">
        <v>184</v>
      </c>
    </row>
    <row r="2" customFormat="false" ht="12.8" hidden="false" customHeight="false" outlineLevel="0" collapsed="false">
      <c r="A2" s="0" t="s">
        <v>185</v>
      </c>
      <c r="B2" s="4" t="n">
        <v>2350000000</v>
      </c>
      <c r="C2" s="4" t="n">
        <v>3130000000</v>
      </c>
      <c r="D2" s="0" t="n">
        <f aca="false">C2/B2</f>
        <v>1.33191489361702</v>
      </c>
    </row>
    <row r="3" customFormat="false" ht="12.8" hidden="false" customHeight="false" outlineLevel="0" collapsed="false">
      <c r="A3" s="0" t="s">
        <v>186</v>
      </c>
      <c r="B3" s="4" t="n">
        <v>793000000</v>
      </c>
      <c r="C3" s="4" t="n">
        <v>1240000000</v>
      </c>
      <c r="D3" s="0" t="n">
        <f aca="false">C3/B3</f>
        <v>1.56368221941992</v>
      </c>
    </row>
    <row r="4" customFormat="false" ht="12.8" hidden="false" customHeight="false" outlineLevel="0" collapsed="false">
      <c r="A4" s="0" t="s">
        <v>187</v>
      </c>
      <c r="B4" s="4" t="n">
        <v>220000000</v>
      </c>
      <c r="C4" s="4" t="n">
        <v>371000000</v>
      </c>
      <c r="D4" s="0" t="n">
        <f aca="false">C4/B4</f>
        <v>1.68636363636364</v>
      </c>
    </row>
    <row r="5" customFormat="false" ht="12.8" hidden="false" customHeight="false" outlineLevel="0" collapsed="false">
      <c r="A5" s="0" t="s">
        <v>188</v>
      </c>
      <c r="B5" s="4" t="n">
        <v>1850000000</v>
      </c>
      <c r="C5" s="4" t="n">
        <v>2310000000</v>
      </c>
      <c r="D5" s="0" t="n">
        <f aca="false">C5/B5</f>
        <v>1.24864864864865</v>
      </c>
    </row>
    <row r="6" customFormat="false" ht="12.8" hidden="false" customHeight="false" outlineLevel="0" collapsed="false">
      <c r="A6" s="0" t="s">
        <v>189</v>
      </c>
      <c r="B6" s="4" t="n">
        <v>313000000</v>
      </c>
      <c r="C6" s="4" t="n">
        <v>383000000</v>
      </c>
      <c r="D6" s="0" t="n">
        <f aca="false">C6/B6</f>
        <v>1.22364217252396</v>
      </c>
    </row>
    <row r="7" customFormat="false" ht="12.8" hidden="false" customHeight="false" outlineLevel="0" collapsed="false">
      <c r="A7" s="0" t="s">
        <v>190</v>
      </c>
      <c r="B7" s="4" t="n">
        <v>13800000000</v>
      </c>
      <c r="C7" s="4" t="n">
        <v>19200000000</v>
      </c>
      <c r="D7" s="0" t="n">
        <f aca="false">C7/B7</f>
        <v>1.39130434782609</v>
      </c>
    </row>
    <row r="8" customFormat="false" ht="12.8" hidden="false" customHeight="false" outlineLevel="0" collapsed="false">
      <c r="A8" s="0" t="s">
        <v>191</v>
      </c>
      <c r="B8" s="4" t="n">
        <v>21600000</v>
      </c>
      <c r="C8" s="4" t="n">
        <v>28500000</v>
      </c>
      <c r="D8" s="0" t="n">
        <f aca="false">C8/B8</f>
        <v>1.31944444444444</v>
      </c>
    </row>
    <row r="9" customFormat="false" ht="12.8" hidden="false" customHeight="false" outlineLevel="0" collapsed="false">
      <c r="A9" s="0" t="s">
        <v>192</v>
      </c>
      <c r="B9" s="4" t="n">
        <f aca="false">SUM(B2:B8)</f>
        <v>19347600000</v>
      </c>
      <c r="C9" s="4" t="n">
        <f aca="false">SUM(C2:C8)</f>
        <v>26662500000</v>
      </c>
      <c r="D9" s="0" t="n">
        <f aca="false">C9/B9</f>
        <v>1.37807790113502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36333</TotalTime>
  <Application>LibreOffice/24.8.3.2$MacOSX_AARCH64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2025-05-11T12:06:06Z</dcterms:created>
  <dc:creator/>
  <dc:description/>
  <dc:language>en-US</dc:language>
  <cp:lastModifiedBy/>
  <dcterms:modified xsi:type="dcterms:W3CDTF">2025-06-26T20:36:24Z</dcterms:modified>
  <cp:revision>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