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1057fc5a95f4167" /></Relationships>
</file>

<file path=xl/workbook.xml><?xml version="1.0" encoding="utf-8"?>
<x:workbook xmlns:x="http://schemas.openxmlformats.org/spreadsheetml/2006/main">
  <x:sheets>
    <x:sheet xmlns:r="http://schemas.openxmlformats.org/officeDocument/2006/relationships" name="Overzicht" sheetId="1" r:id="Rea81f8fa227042ca"/>
    <x:sheet xmlns:r="http://schemas.openxmlformats.org/officeDocument/2006/relationships" name="Aannames" sheetId="2" r:id="Reee9b4603fbb4a68"/>
    <x:sheet xmlns:r="http://schemas.openxmlformats.org/officeDocument/2006/relationships" name="Prognose" sheetId="3" r:id="R29eff452fdc943c3"/>
    <x:sheet xmlns:r="http://schemas.openxmlformats.org/officeDocument/2006/relationships" name="Balans" sheetId="4" r:id="Rce6c71c6962043f8"/>
    <x:sheet xmlns:r="http://schemas.openxmlformats.org/officeDocument/2006/relationships" name="Controle" sheetId="5" r:id="Ra73ee8a7b84c4d7d"/>
    <x:sheet xmlns:r="http://schemas.openxmlformats.org/officeDocument/2006/relationships" name="Instructies" sheetId="6" r:id="Rf0b93a4f4fd64c2b"/>
  </x:sheets>
</x:workbook>
</file>

<file path=xl/sharedStrings.xml><?xml version="1.0" encoding="utf-8"?>
<x:sst xmlns:x="http://schemas.openxmlformats.org/spreadsheetml/2006/main"/>
</file>

<file path=xl/styles.xml><?xml version="1.0" encoding="utf-8"?>
<styleSheet xmlns="http://schemas.openxmlformats.org/spreadsheetml/2006/main">
  <numFmts count="6">
    <numFmt numFmtId="200" formatCode="dd-mm-yyyy"/>
    <numFmt numFmtId="201" formatCode="#,##0;(#,##0);&quot;-&quot;"/>
    <numFmt numFmtId="202" formatCode="0.0%"/>
    <numFmt numFmtId="203" formatCode="0.00;(0.00);0.00"/>
    <numFmt numFmtId="204" formatCode="mmm-yy"/>
    <numFmt numFmtId="205" formatCode="&quot;€ &quot;#,##0;(&quot;€ &quot;#,##0);&quot;-&quot;"/>
  </numFmts>
  <fonts count="10">
    <font>
      <sz val="11"/>
      <name val="Carlito"/>
    </font>
    <font>
      <sz val="10"/>
      <color rgb="FF01061D"/>
      <name val="Arial"/>
    </font>
    <font>
      <sz val="16"/>
      <color rgb="FF01061D"/>
      <name val="Arial"/>
    </font>
    <font>
      <sz val="10"/>
      <color rgb="FF287148"/>
      <name val="Arial"/>
    </font>
    <font>
      <sz val="10"/>
      <color rgb="FF2457A6"/>
      <name val="Arial"/>
    </font>
    <font>
      <b/>
      <sz val="10"/>
      <color rgb="FFFFFFFF"/>
      <name val="Arial"/>
    </font>
    <font>
      <b/>
      <sz val="10"/>
      <color rgb="FF01061D"/>
      <name val="Arial"/>
    </font>
    <font>
      <i/>
      <sz val="9"/>
      <color rgb="FF62738B"/>
      <name val="Arial"/>
    </font>
    <font>
      <sz val="11"/>
      <color rgb="FF287148"/>
      <name val="Carlito"/>
    </font>
    <font>
      <sz val="11"/>
      <color rgb="FF01061D"/>
      <name val="Carlito"/>
    </font>
  </fonts>
  <fills count="6">
    <fill>
      <patternFill patternType="none"/>
    </fill>
    <fill>
      <patternFill patternType="gray125"/>
    </fill>
    <fill>
      <patternFill patternType="solid">
        <fgColor rgb="FF01061D"/>
      </patternFill>
    </fill>
    <fill>
      <patternFill patternType="solid">
        <fgColor rgb="FFF0F6FD"/>
      </patternFill>
    </fill>
    <fill>
      <patternFill patternType="solid">
        <fgColor rgb="FFEEF5FF"/>
      </patternFill>
    </fill>
    <fill>
      <patternFill patternType="solid">
        <fgColor rgb="FFFFFFFF"/>
      </patternFill>
    </fill>
  </fills>
  <borders count="4">
    <border>
      <left/>
      <right/>
      <top/>
      <bottom/>
      <diagonal/>
    </border>
    <border>
      <left/>
      <right/>
      <top/>
      <bottom style="thin">
        <color rgb="FFA3D9FF"/>
      </bottom>
      <diagonal/>
    </border>
    <border>
      <left style="dotted">
        <color rgb="FF8BA6C2"/>
      </left>
      <right/>
      <top style="dotted">
        <color rgb="FF8BA6C2"/>
      </top>
      <bottom style="dotted">
        <color rgb="FF8BA6C2"/>
      </bottom>
      <diagonal/>
    </border>
    <border>
      <left/>
      <right style="dotted">
        <color rgb="FF8BA6C2"/>
      </right>
      <top style="dotted">
        <color rgb="FF8BA6C2"/>
      </top>
      <bottom style="dotted">
        <color rgb="FF8BA6C2"/>
      </bottom>
      <diagonal/>
    </border>
  </borders>
  <cellStyleXfs count="1">
    <xf numFmtId="0" fontId="0" fillId="0" borderId="0"/>
  </cellStyleXfs>
  <cellXfs count="56">
    <xf numFmtId="0" fontId="0" fillId="0" borderId="0" xfId="0"/>
    <xf numFmtId="0" fontId="1" fillId="0" borderId="0" xfId="0" applyNumberFormat="1" applyFont="1" applyFill="1" applyBorder="1"/>
    <xf numFmtId="0" fontId="2" fillId="0" borderId="0" xfId="0" applyNumberFormat="1" applyFont="1" applyFill="1" applyBorder="1"/>
    <xf numFmtId="0" fontId="1" fillId="0" borderId="1" xfId="0" applyNumberFormat="1" applyFont="1" applyFill="1" applyBorder="1"/>
    <xf numFmtId="0" fontId="3" fillId="0" borderId="0" xfId="0" applyNumberFormat="1" applyFont="1" applyFill="1" applyBorder="1"/>
    <xf numFmtId="0" fontId="3" fillId="0" borderId="2" xfId="0" applyNumberFormat="1" applyFont="1" applyFill="1" applyBorder="1"/>
    <xf numFmtId="0" fontId="3" fillId="0" borderId="3" xfId="0" applyNumberFormat="1" applyFont="1" applyFill="1" applyBorder="1"/>
    <xf numFmtId="200" fontId="1" fillId="0" borderId="0" xfId="0" applyNumberFormat="1" applyFont="1" applyFill="1" applyBorder="1"/>
    <xf numFmtId="0" fontId="4" fillId="0" borderId="0" xfId="0" applyNumberFormat="1" applyFont="1" applyFill="1" applyBorder="1"/>
    <xf numFmtId="0" fontId="1" fillId="2" borderId="0" xfId="0" applyNumberFormat="1" applyFont="1" applyFill="1" applyBorder="1"/>
    <xf numFmtId="0" fontId="5" fillId="2" borderId="0" xfId="0" applyNumberFormat="1" applyFont="1" applyFill="1" applyBorder="1"/>
    <xf numFmtId="0" fontId="1" fillId="3" borderId="0" xfId="0" applyNumberFormat="1" applyFont="1" applyFill="1" applyBorder="1"/>
    <xf numFmtId="0" fontId="1" fillId="0" borderId="0" xfId="0" applyNumberFormat="1" applyFont="1" applyFill="1" applyBorder="1" applyAlignment="1">
      <alignment wrapText="1"/>
    </xf>
    <xf numFmtId="201" fontId="1" fillId="3" borderId="0" xfId="0" applyNumberFormat="1" applyFont="1" applyFill="1" applyBorder="1"/>
    <xf numFmtId="201" fontId="1" fillId="0" borderId="0" xfId="0" applyNumberFormat="1" applyFont="1" applyFill="1" applyBorder="1"/>
    <xf numFmtId="202" fontId="1" fillId="3" borderId="0" xfId="0" applyNumberFormat="1" applyFont="1" applyFill="1" applyBorder="1"/>
    <xf numFmtId="202" fontId="1" fillId="0" borderId="0" xfId="0" applyNumberFormat="1" applyFont="1" applyFill="1" applyBorder="1"/>
    <xf numFmtId="0" fontId="6" fillId="3" borderId="0" xfId="0" applyNumberFormat="1" applyFont="1" applyFill="1" applyBorder="1"/>
    <xf numFmtId="0" fontId="3" fillId="4" borderId="2" xfId="0" applyNumberFormat="1" applyFont="1" applyFill="1" applyBorder="1"/>
    <xf numFmtId="200" fontId="1" fillId="4" borderId="0" xfId="0" applyNumberFormat="1" applyFont="1" applyFill="1" applyBorder="1"/>
    <xf numFmtId="0" fontId="4" fillId="4" borderId="0" xfId="0" applyNumberFormat="1" applyFont="1" applyFill="1" applyBorder="1"/>
    <xf numFmtId="0" fontId="4" fillId="4" borderId="2" xfId="0" applyNumberFormat="1" applyFont="1" applyFill="1" applyBorder="1"/>
    <xf numFmtId="200" fontId="4" fillId="4" borderId="0" xfId="0" applyNumberFormat="1" applyFont="1" applyFill="1" applyBorder="1"/>
    <xf numFmtId="201" fontId="1" fillId="4" borderId="0" xfId="0" applyNumberFormat="1" applyFont="1" applyFill="1" applyBorder="1"/>
    <xf numFmtId="201" fontId="4" fillId="4" borderId="0" xfId="0" applyNumberFormat="1" applyFont="1" applyFill="1" applyBorder="1"/>
    <xf numFmtId="202" fontId="1" fillId="4" borderId="0" xfId="0" applyNumberFormat="1" applyFont="1" applyFill="1" applyBorder="1"/>
    <xf numFmtId="202" fontId="4" fillId="4" borderId="0" xfId="0" applyNumberFormat="1" applyFont="1" applyFill="1" applyBorder="1"/>
    <xf numFmtId="203" fontId="1" fillId="0" borderId="0" xfId="0" applyNumberFormat="1" applyFont="1" applyFill="1" applyBorder="1"/>
    <xf numFmtId="201" fontId="3" fillId="0" borderId="0" xfId="0" applyNumberFormat="1" applyFont="1" applyFill="1" applyBorder="1"/>
    <xf numFmtId="204" fontId="3" fillId="0" borderId="0" xfId="0" applyNumberFormat="1" applyFont="1" applyFill="1" applyBorder="1"/>
    <xf numFmtId="0" fontId="7" fillId="0" borderId="0" xfId="0" applyNumberFormat="1" applyFont="1" applyFill="1" applyBorder="1"/>
    <xf numFmtId="201" fontId="6" fillId="3" borderId="0" xfId="0" applyNumberFormat="1" applyFont="1" applyFill="1" applyBorder="1"/>
    <xf numFmtId="204" fontId="3" fillId="2" borderId="0" xfId="0" applyNumberFormat="1" applyFont="1" applyFill="1" applyBorder="1"/>
    <xf numFmtId="204" fontId="5" fillId="2" borderId="0" xfId="0" applyNumberFormat="1" applyFont="1" applyFill="1" applyBorder="1"/>
    <xf numFmtId="0" fontId="5" fillId="5" borderId="0" xfId="0" applyNumberFormat="1" applyFont="1" applyFill="1" applyBorder="1"/>
    <xf numFmtId="0" fontId="1" fillId="5" borderId="0" xfId="0" applyNumberFormat="1" applyFont="1" applyFill="1" applyBorder="1"/>
    <xf numFmtId="201" fontId="1" fillId="5" borderId="0" xfId="0" applyNumberFormat="1" applyFont="1" applyFill="1" applyBorder="1"/>
    <xf numFmtId="201" fontId="6" fillId="5" borderId="0" xfId="0" applyNumberFormat="1" applyFont="1" applyFill="1" applyBorder="1"/>
    <xf numFmtId="203" fontId="1" fillId="5" borderId="0" xfId="0" applyNumberFormat="1" applyFont="1" applyFill="1" applyBorder="1"/>
    <xf numFmtId="205" fontId="1" fillId="0" borderId="0" xfId="0" applyNumberFormat="1" applyFont="1" applyFill="1" applyBorder="1"/>
    <xf numFmtId="205" fontId="3" fillId="0" borderId="0" xfId="0" applyNumberFormat="1" applyFont="1" applyFill="1" applyBorder="1"/>
    <xf numFmtId="205" fontId="1" fillId="3" borderId="0" xfId="0" applyNumberFormat="1" applyFont="1" applyFill="1" applyBorder="1"/>
    <xf numFmtId="205" fontId="6" fillId="3" borderId="0" xfId="0" applyNumberFormat="1" applyFont="1" applyFill="1" applyBorder="1"/>
    <xf numFmtId="0" fontId="3" fillId="3" borderId="0" xfId="0" applyNumberFormat="1" applyFont="1" applyFill="1" applyBorder="1"/>
    <xf numFmtId="205" fontId="3" fillId="3" borderId="0" xfId="0" applyNumberFormat="1" applyFont="1" applyFill="1" applyBorder="1"/>
    <xf numFmtId="0" fontId="5" fillId="2" borderId="0" xfId="0" applyNumberFormat="1" applyFont="1" applyFill="1" applyBorder="1" applyAlignment="1">
      <alignment wrapText="1"/>
    </xf>
    <xf numFmtId="0" fontId="8" fillId="0" borderId="0" xfId="0" applyNumberFormat="1" applyFont="1" applyFill="1" applyBorder="1"/>
    <xf numFmtId="201" fontId="8" fillId="0" borderId="0" xfId="0" applyNumberFormat="1" applyFont="1" applyFill="1" applyBorder="1"/>
    <xf numFmtId="201" fontId="9" fillId="0" borderId="0" xfId="0" applyNumberFormat="1" applyFont="1" applyFill="1" applyBorder="1"/>
    <xf numFmtId="0" fontId="1" fillId="2" borderId="0" xfId="0" applyNumberFormat="1" applyFont="1" applyFill="1" applyBorder="1" applyAlignment="1">
      <alignment wrapText="1"/>
    </xf>
    <xf numFmtId="203" fontId="3" fillId="0" borderId="0" xfId="0" applyNumberFormat="1" applyFont="1" applyFill="1" applyBorder="1"/>
    <xf numFmtId="0" fontId="4" fillId="4" borderId="2" xfId="0" applyNumberFormat="1" applyFont="1" applyFill="1" applyBorder="1" applyProtection="1">
      <protection locked="0" hidden="0"/>
    </xf>
    <xf numFmtId="200" fontId="4" fillId="4" borderId="0" xfId="0" applyNumberFormat="1" applyFont="1" applyFill="1" applyBorder="1" applyProtection="1">
      <protection locked="0" hidden="0"/>
    </xf>
    <xf numFmtId="0" fontId="4" fillId="4" borderId="0" xfId="0" applyNumberFormat="1" applyFont="1" applyFill="1" applyBorder="1" applyProtection="1">
      <protection locked="0" hidden="0"/>
    </xf>
    <xf numFmtId="201" fontId="4" fillId="4" borderId="0" xfId="0" applyNumberFormat="1" applyFont="1" applyFill="1" applyBorder="1" applyProtection="1">
      <protection locked="0" hidden="0"/>
    </xf>
    <xf numFmtId="202" fontId="4" fillId="4" borderId="0" xfId="0" applyNumberFormat="1" applyFont="1" applyFill="1" applyBorder="1" applyProtection="1">
      <protection locked="0" hidden="0"/>
    </xf>
  </cellXfs>
  <cellStyles count="1">
    <cellStyle name="Normal" xfId="0"/>
  </cellStyles>
  <dxfs count="3">
    <dxf>
      <font>
        <b/>
        <color rgb="FFAD2B28"/>
      </font>
      <fill>
        <patternFill patternType="solid">
          <bgColor rgb="FFFCE9E7"/>
        </patternFill>
      </fill>
    </dxf>
    <dxf>
      <font>
        <color rgb="FF8A4900"/>
      </font>
      <fill>
        <patternFill patternType="solid">
          <bgColor rgb="FFFFF0DE"/>
        </patternFill>
      </fill>
    </dxf>
    <dxf>
      <font>
        <b/>
        <color rgb="FFAD2B28"/>
      </font>
      <fill>
        <patternFill patternType="solid">
          <bgColor rgb="FFFCE9E7"/>
        </patternFill>
      </fill>
    </dxf>
  </dxfs>
</styleSheet>
</file>

<file path=xl/_rels/workbook.xml.rels>&#65279;<?xml version="1.0" encoding="utf-8"?><Relationships xmlns="http://schemas.openxmlformats.org/package/2006/relationships"><Relationship Type="http://schemas.openxmlformats.org/officeDocument/2006/relationships/styles" Target="/xl/styles.xml" Id="R7a93dbb85c724686" /><Relationship Type="http://schemas.openxmlformats.org/officeDocument/2006/relationships/theme" Target="/xl/theme/theme1.xml" Id="R7c10d619e2a849ad" /><Relationship Type="http://schemas.openxmlformats.org/officeDocument/2006/relationships/sharedStrings" Target="/xl/sharedStrings.xml" Id="Red95c6d5ed0d40b4" /><Relationship Type="http://schemas.openxmlformats.org/officeDocument/2006/relationships/worksheet" Target="/xl/worksheets/sheet1.xml" Id="Rea81f8fa227042ca" /><Relationship Type="http://schemas.openxmlformats.org/officeDocument/2006/relationships/worksheet" Target="/xl/worksheets/sheet2.xml" Id="Reee9b4603fbb4a68" /><Relationship Type="http://schemas.openxmlformats.org/officeDocument/2006/relationships/worksheet" Target="/xl/worksheets/sheet3.xml" Id="R29eff452fdc943c3" /><Relationship Type="http://schemas.openxmlformats.org/officeDocument/2006/relationships/worksheet" Target="/xl/worksheets/sheet4.xml" Id="Rce6c71c6962043f8" /><Relationship Type="http://schemas.openxmlformats.org/officeDocument/2006/relationships/worksheet" Target="/xl/worksheets/sheet5.xml" Id="Ra73ee8a7b84c4d7d" /><Relationship Type="http://schemas.openxmlformats.org/officeDocument/2006/relationships/worksheet" Target="/xl/worksheets/sheet6.xml" Id="Rf0b93a4f4fd64c2b" /></Relationships>
</file>

<file path=xl/drawings/_rels/drawing1.xml.rels>&#65279;<?xml version="1.0" encoding="utf-8"?><Relationships xmlns="http://schemas.openxmlformats.org/package/2006/relationships"><Relationship Type="http://schemas.openxmlformats.org/officeDocument/2006/relationships/chart" Target="/xl/drawings/charts/chart1.xml" Id="R482f6b99b09d41f0"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050">
                <a:latin typeface="Arial"/>
                <a:ea typeface="Arial"/>
                <a:cs typeface="Arial"/>
              </a:rPr>
              <a:t>Beschikbare kas over 24 maanden</a:t>
            </a:r>
          </a:p>
        </c:rich>
      </c:tx>
      <c:overlay val="0"/>
      <c:txPr>
        <a:bodyPr xmlns:a="http://schemas.openxmlformats.org/drawingml/2006/main" anchorCtr="1"/>
        <a:lstStyle xmlns:a="http://schemas.openxmlformats.org/drawingml/2006/main"/>
        <a:p xmlns:a="http://schemas.openxmlformats.org/drawingml/2006/main">
          <a:pPr>
            <a:defRPr sz="1050">
              <a:latin typeface="Arial"/>
              <a:ea typeface="Arial"/>
              <a:cs typeface="Arial"/>
            </a:defRPr>
          </a:pPr>
        </a:p>
      </c:txPr>
    </c:title>
    <c:plotArea>
      <c:lineChart>
        <c:grouping val="standard"/>
        <c:varyColors val="0"/>
        <c:ser>
          <c:idx val="0"/>
          <c:order val="0"/>
          <c:tx>
            <c:v>Kas einde maand</c:v>
          </c:tx>
          <c:spPr>
            <a:solidFill xmlns:a="http://schemas.openxmlformats.org/drawingml/2006/main">
              <a:srgbClr val="074373"/>
            </a:solidFill>
          </c:spPr>
          <c:marker>
            <c:symbol val="none"/>
          </c:marker>
          <c:cat>
            <c:strRef>
              <c:f>'Overzicht'!$C$36:$C$59</c:f>
              <c:strCache>
                <c:ptCount val="0"/>
              </c:strCache>
            </c:strRef>
          </c:cat>
          <c:val>
            <c:numRef>
              <c:f>'Overzicht'!$D$36:$D$59</c:f>
              <c:numCache>
                <c:formatCode>#,##0;(#,##0);"-"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ickLblSkip val="3"/>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6</xdr:row>
      <xdr:rowOff>0</xdr:rowOff>
    </xdr:from>
    <xdr:to>
      <xdr:col>15</xdr:col>
      <xdr:colOff>0</xdr:colOff>
      <xdr:row>24</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482f6b99b09d41f0"/>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c6420e19707e4738" /></Relationships>
</file>

<file path=xl/worksheets/sheet1.xml><?xml version="1.0" encoding="utf-8"?>
<worksheet xmlns="http://schemas.openxmlformats.org/spreadsheetml/2006/main" xmlns:ns1="http://schemas.openxmlformats.org/officeDocument/2006/relationships">
  <sheetPr>
    <tabColor rgb="FF01061D"/>
  </sheetPr>
  <sheetViews>
    <sheetView showGridLines="0" workbookViewId="0"/>
  </sheetViews>
  <sheetFormatPr defaultRowHeight="15"/>
  <cols>
    <col min="1" max="1" width="2" hidden="0" customWidth="1"/>
    <col min="2" max="2" width="2" hidden="0" customWidth="1"/>
    <col min="3" max="3" width="35" hidden="0" customWidth="1"/>
    <col min="4" max="4" width="18" hidden="0" customWidth="1"/>
    <col min="5" max="5" width="16" hidden="0" customWidth="1"/>
    <col min="6" max="6" width="16" hidden="0" customWidth="1"/>
    <col min="7" max="7" width="3" hidden="0" customWidth="1"/>
    <col min="8" max="8" width="15" hidden="0" customWidth="1"/>
    <col min="9" max="9" width="15" hidden="0" customWidth="1"/>
    <col min="10" max="10" width="15" hidden="0" customWidth="1"/>
    <col min="11" max="11" width="15" hidden="0" customWidth="1"/>
    <col min="12" max="12" width="15" hidden="0" customWidth="1"/>
    <col min="13" max="13" width="15" hidden="0" customWidth="1"/>
    <col min="14" max="14" width="15" hidden="0" customWidth="1"/>
    <col min="15" max="15" width="15" hidden="0" customWidth="1"/>
    <col min="16" max="16" width="15" hidden="0" customWidth="1"/>
    <col min="17" max="17" width="15" hidden="0" customWidth="1"/>
    <col min="18" max="18" width="15" hidden="0" customWidth="1"/>
    <col min="19" max="19" width="15" hidden="0" customWidth="1"/>
    <col min="20" max="20" width="15" hidden="0" customWidth="1"/>
    <col min="21" max="21" width="15" hidden="0" customWidth="1"/>
    <col min="22" max="22" width="15" hidden="0" customWidth="1"/>
    <col min="23" max="23" width="15" hidden="0" customWidth="1"/>
    <col min="24" max="24" width="15" hidden="0" customWidth="1"/>
    <col min="25" max="25" width="15" hidden="0" customWidth="1"/>
    <col min="26" max="26" width="15" hidden="0" customWidth="1"/>
    <col min="27" max="27" width="15" hidden="0" customWidth="1"/>
    <col min="28" max="28" width="15" hidden="0" customWidth="1"/>
    <col min="29" max="29" width="15" hidden="0" customWidth="1"/>
    <col min="30" max="30" width="15" hidden="0" customWidth="1"/>
    <col min="31" max="31" width="15" hidden="0" customWidth="1"/>
  </cols>
  <sheetData>
    <row r="1" ht="22"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ht="28" customHeight="1">
      <c r="A2" s="1"/>
      <c r="B2" s="1"/>
      <c r="C2" s="2" t="str">
        <v>Financieel plan voor je BV</v>
      </c>
      <c r="D2" s="2"/>
      <c r="E2" s="2"/>
      <c r="F2" s="2"/>
      <c r="G2" s="2"/>
      <c r="H2" s="2"/>
      <c r="I2" s="2"/>
      <c r="J2" s="2"/>
      <c r="K2" s="2"/>
      <c r="L2" s="2"/>
      <c r="M2" s="2"/>
      <c r="N2" s="1"/>
      <c r="O2" s="1"/>
      <c r="P2" s="1"/>
      <c r="Q2" s="1"/>
      <c r="R2" s="1"/>
      <c r="S2" s="1"/>
      <c r="T2" s="1"/>
      <c r="U2" s="1"/>
      <c r="V2" s="1"/>
      <c r="W2" s="1"/>
      <c r="X2" s="1"/>
      <c r="Y2" s="1"/>
      <c r="Z2" s="1"/>
      <c r="AA2" s="1"/>
      <c r="AB2" s="1"/>
      <c r="AC2" s="1"/>
      <c r="AD2" s="1"/>
      <c r="AE2" s="1"/>
    </row>
    <row r="3" ht="22" customHeight="1">
      <c r="A3" s="1"/>
      <c r="B3" s="1"/>
      <c r="C3" s="3"/>
      <c r="D3" s="3"/>
      <c r="E3" s="3"/>
      <c r="F3" s="3"/>
      <c r="G3" s="3"/>
      <c r="H3" s="3"/>
      <c r="I3" s="3"/>
      <c r="J3" s="3"/>
      <c r="K3" s="3"/>
      <c r="L3" s="3"/>
      <c r="M3" s="3"/>
      <c r="N3" s="1"/>
      <c r="O3" s="1"/>
      <c r="P3" s="1"/>
      <c r="Q3" s="1"/>
      <c r="R3" s="1"/>
      <c r="S3" s="1"/>
      <c r="T3" s="1"/>
      <c r="U3" s="1"/>
      <c r="V3" s="1"/>
      <c r="W3" s="1"/>
      <c r="X3" s="1"/>
      <c r="Y3" s="1"/>
      <c r="Z3" s="1"/>
      <c r="AA3" s="1"/>
      <c r="AB3" s="1"/>
      <c r="AC3" s="1"/>
      <c r="AD3" s="1"/>
      <c r="AE3" s="1"/>
    </row>
    <row r="4" ht="22" customHeight="1">
      <c r="A4" s="1"/>
      <c r="B4" s="1"/>
      <c r="C4" s="1" t="str">
        <v>Actief scenario</v>
      </c>
      <c r="D4" s="1"/>
      <c r="E4" s="5" t="str">
        <f>'Aannames'!E4</f>
        <v>Basis</v>
      </c>
      <c r="F4" s="6"/>
      <c r="G4" s="1"/>
      <c r="H4" s="1"/>
      <c r="I4" s="1"/>
      <c r="J4" s="1"/>
      <c r="K4" s="1"/>
      <c r="L4" s="1"/>
      <c r="M4" s="1"/>
      <c r="N4" s="1"/>
      <c r="O4" s="1"/>
      <c r="P4" s="1"/>
      <c r="Q4" s="1"/>
      <c r="R4" s="1"/>
      <c r="S4" s="1"/>
      <c r="T4" s="1"/>
      <c r="U4" s="1"/>
      <c r="V4" s="1"/>
      <c r="W4" s="1"/>
      <c r="X4" s="1"/>
      <c r="Y4" s="1"/>
      <c r="Z4" s="1"/>
      <c r="AA4" s="1"/>
      <c r="AB4" s="1"/>
      <c r="AC4" s="1"/>
      <c r="AD4" s="1"/>
      <c r="AE4" s="1"/>
    </row>
    <row r="5" ht="22" customHeight="1">
      <c r="A5" s="1"/>
      <c r="B5" s="1"/>
      <c r="C5" s="1" t="str">
        <v>Fictief ingevuld voorbeeld. Pas de blauwe invoercellen aan in Aannames.</v>
      </c>
      <c r="D5" s="1"/>
      <c r="E5" s="1"/>
      <c r="F5" s="1"/>
      <c r="G5" s="1"/>
      <c r="H5" s="1"/>
      <c r="I5" s="1"/>
      <c r="J5" s="1"/>
      <c r="K5" s="1"/>
      <c r="L5" s="1"/>
      <c r="M5" s="1"/>
      <c r="N5" s="1"/>
      <c r="O5" s="1"/>
      <c r="P5" s="1"/>
      <c r="Q5" s="1"/>
      <c r="R5" s="1"/>
      <c r="S5" s="1"/>
      <c r="T5" s="1"/>
      <c r="U5" s="1"/>
      <c r="V5" s="1"/>
      <c r="W5" s="1"/>
      <c r="X5" s="1"/>
      <c r="Y5" s="1"/>
      <c r="Z5" s="1"/>
      <c r="AA5" s="1"/>
      <c r="AB5" s="1"/>
      <c r="AC5" s="1"/>
      <c r="AD5" s="1"/>
      <c r="AE5" s="1"/>
    </row>
    <row r="6" ht="22" customHeigh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row>
    <row r="7" ht="22" customHeight="1">
      <c r="A7" s="1"/>
      <c r="B7" s="1"/>
      <c r="C7" s="10" t="str">
        <v>Kerncijfers in euro</v>
      </c>
      <c r="D7" s="10" t="str"/>
      <c r="E7" s="10" t="str">
        <v>Jaar 1</v>
      </c>
      <c r="F7" s="10" t="str">
        <v>Jaar 2</v>
      </c>
      <c r="G7" s="1"/>
      <c r="H7" s="1"/>
      <c r="I7" s="1"/>
      <c r="J7" s="1"/>
      <c r="K7" s="1"/>
      <c r="L7" s="1"/>
      <c r="M7" s="1"/>
      <c r="N7" s="1"/>
      <c r="O7" s="1"/>
      <c r="P7" s="1"/>
      <c r="Q7" s="1"/>
      <c r="R7" s="1"/>
      <c r="S7" s="1"/>
      <c r="T7" s="1"/>
      <c r="U7" s="1"/>
      <c r="V7" s="1"/>
      <c r="W7" s="1"/>
      <c r="X7" s="1"/>
      <c r="Y7" s="1"/>
      <c r="Z7" s="1"/>
      <c r="AA7" s="1"/>
      <c r="AB7" s="1"/>
      <c r="AC7" s="1"/>
      <c r="AD7" s="1"/>
      <c r="AE7" s="1"/>
    </row>
    <row r="8" ht="22" customHeight="1">
      <c r="A8" s="1"/>
      <c r="B8" s="1"/>
      <c r="C8" s="1" t="str">
        <v>Omzet excl. btw</v>
      </c>
      <c r="D8" s="1"/>
      <c r="E8" s="39" t="n">
        <f>'Prognose'!E11</f>
        <v>101400</v>
      </c>
      <c r="F8" s="39" t="n">
        <f>'Prognose'!F11</f>
        <v>121500</v>
      </c>
      <c r="G8" s="1"/>
      <c r="H8" s="1"/>
      <c r="I8" s="1"/>
      <c r="J8" s="1"/>
      <c r="K8" s="1"/>
      <c r="L8" s="1"/>
      <c r="M8" s="1"/>
      <c r="N8" s="1"/>
      <c r="O8" s="1"/>
      <c r="P8" s="1"/>
      <c r="Q8" s="1"/>
      <c r="R8" s="1"/>
      <c r="S8" s="1"/>
      <c r="T8" s="1"/>
      <c r="U8" s="1"/>
      <c r="V8" s="1"/>
      <c r="W8" s="1"/>
      <c r="X8" s="1"/>
      <c r="Y8" s="1"/>
      <c r="Z8" s="1"/>
      <c r="AA8" s="1"/>
      <c r="AB8" s="1"/>
      <c r="AC8" s="1"/>
      <c r="AD8" s="1"/>
      <c r="AE8" s="1"/>
    </row>
    <row r="9" ht="22" customHeight="1">
      <c r="A9" s="1"/>
      <c r="B9" s="1"/>
      <c r="C9" s="1" t="str">
        <v>Bedrijfskosten incl. bestuurderskost</v>
      </c>
      <c r="D9" s="1"/>
      <c r="E9" s="39" t="n">
        <f>SUM('Prognose'!E13:E16)</f>
        <v>66412</v>
      </c>
      <c r="F9" s="39" t="n">
        <f>SUM('Prognose'!F13:F16)</f>
        <v>71340</v>
      </c>
      <c r="G9" s="1"/>
      <c r="H9" s="1"/>
      <c r="I9" s="1"/>
      <c r="J9" s="1"/>
      <c r="K9" s="1"/>
      <c r="L9" s="1"/>
      <c r="M9" s="1"/>
      <c r="N9" s="1"/>
      <c r="O9" s="1"/>
      <c r="P9" s="1"/>
      <c r="Q9" s="1"/>
      <c r="R9" s="1"/>
      <c r="S9" s="1"/>
      <c r="T9" s="1"/>
      <c r="U9" s="1"/>
      <c r="V9" s="1"/>
      <c r="W9" s="1"/>
      <c r="X9" s="1"/>
      <c r="Y9" s="1"/>
      <c r="Z9" s="1"/>
      <c r="AA9" s="1"/>
      <c r="AB9" s="1"/>
      <c r="AC9" s="1"/>
      <c r="AD9" s="1"/>
      <c r="AE9" s="1"/>
    </row>
    <row r="10" ht="22" customHeight="1">
      <c r="A10" s="1"/>
      <c r="B10" s="1"/>
      <c r="C10" s="1" t="str">
        <v>Afschrijvingen</v>
      </c>
      <c r="D10" s="1"/>
      <c r="E10" s="39" t="n">
        <f>'Prognose'!E18</f>
        <v>3000</v>
      </c>
      <c r="F10" s="39" t="n">
        <f>'Prognose'!F18</f>
        <v>3000</v>
      </c>
      <c r="G10" s="1"/>
      <c r="H10" s="1"/>
      <c r="I10" s="1"/>
      <c r="J10" s="1"/>
      <c r="K10" s="1"/>
      <c r="L10" s="1"/>
      <c r="M10" s="1"/>
      <c r="N10" s="1"/>
      <c r="O10" s="1"/>
      <c r="P10" s="1"/>
      <c r="Q10" s="1"/>
      <c r="R10" s="1"/>
      <c r="S10" s="1"/>
      <c r="T10" s="1"/>
      <c r="U10" s="1"/>
      <c r="V10" s="1"/>
      <c r="W10" s="1"/>
      <c r="X10" s="1"/>
      <c r="Y10" s="1"/>
      <c r="Z10" s="1"/>
      <c r="AA10" s="1"/>
      <c r="AB10" s="1"/>
      <c r="AC10" s="1"/>
      <c r="AD10" s="1"/>
      <c r="AE10" s="1"/>
    </row>
    <row r="11" ht="22" customHeight="1">
      <c r="A11" s="1"/>
      <c r="B11" s="1"/>
      <c r="C11" s="1" t="str">
        <v>Rente</v>
      </c>
      <c r="D11" s="1"/>
      <c r="E11" s="39" t="n">
        <f>'Prognose'!E22</f>
        <v>423.61111111111126</v>
      </c>
      <c r="F11" s="39" t="n">
        <f>'Prognose'!F22</f>
        <v>256.9444444444448</v>
      </c>
      <c r="G11" s="1"/>
      <c r="H11" s="1"/>
      <c r="I11" s="1"/>
      <c r="J11" s="1"/>
      <c r="K11" s="1"/>
      <c r="L11" s="1"/>
      <c r="M11" s="1"/>
      <c r="N11" s="1"/>
      <c r="O11" s="1"/>
      <c r="P11" s="1"/>
      <c r="Q11" s="1"/>
      <c r="R11" s="1"/>
      <c r="S11" s="1"/>
      <c r="T11" s="1"/>
      <c r="U11" s="1"/>
      <c r="V11" s="1"/>
      <c r="W11" s="1"/>
      <c r="X11" s="1"/>
      <c r="Y11" s="1"/>
      <c r="Z11" s="1"/>
      <c r="AA11" s="1"/>
      <c r="AB11" s="1"/>
      <c r="AC11" s="1"/>
      <c r="AD11" s="1"/>
      <c r="AE11" s="1"/>
    </row>
    <row r="12" ht="22" customHeight="1">
      <c r="A12" s="1"/>
      <c r="B12" s="1"/>
      <c r="C12" s="1" t="str">
        <v>Resultaat vóór belasting</v>
      </c>
      <c r="D12" s="1"/>
      <c r="E12" s="39" t="n">
        <f>'Prognose'!E24</f>
        <v>31564.38888888889</v>
      </c>
      <c r="F12" s="39" t="n">
        <f>'Prognose'!F24</f>
        <v>46903.055555555555</v>
      </c>
      <c r="G12" s="1"/>
      <c r="H12" s="1"/>
      <c r="I12" s="1"/>
      <c r="J12" s="1"/>
      <c r="K12" s="1"/>
      <c r="L12" s="1"/>
      <c r="M12" s="1"/>
      <c r="N12" s="1"/>
      <c r="O12" s="1"/>
      <c r="P12" s="1"/>
      <c r="Q12" s="1"/>
      <c r="R12" s="1"/>
      <c r="S12" s="1"/>
      <c r="T12" s="1"/>
      <c r="U12" s="1"/>
      <c r="V12" s="1"/>
      <c r="W12" s="1"/>
      <c r="X12" s="1"/>
      <c r="Y12" s="1"/>
      <c r="Z12" s="1"/>
      <c r="AA12" s="1"/>
      <c r="AB12" s="1"/>
      <c r="AC12" s="1"/>
      <c r="AD12" s="1"/>
      <c r="AE12" s="1"/>
    </row>
    <row r="13" ht="22" customHeight="1">
      <c r="A13" s="1"/>
      <c r="B13" s="1"/>
      <c r="C13" s="1" t="str">
        <v>Rekenreserve belasting</v>
      </c>
      <c r="D13" s="1"/>
      <c r="E13" s="39" t="n">
        <f>'Prognose'!E25</f>
        <v>7891.097222222223</v>
      </c>
      <c r="F13" s="39" t="n">
        <f>'Prognose'!F25</f>
        <v>11725.763888888889</v>
      </c>
      <c r="G13" s="1"/>
      <c r="H13" s="1"/>
      <c r="I13" s="1"/>
      <c r="J13" s="1"/>
      <c r="K13" s="1"/>
      <c r="L13" s="1"/>
      <c r="M13" s="1"/>
      <c r="N13" s="1"/>
      <c r="O13" s="1"/>
      <c r="P13" s="1"/>
      <c r="Q13" s="1"/>
      <c r="R13" s="1"/>
      <c r="S13" s="1"/>
      <c r="T13" s="1"/>
      <c r="U13" s="1"/>
      <c r="V13" s="1"/>
      <c r="W13" s="1"/>
      <c r="X13" s="1"/>
      <c r="Y13" s="1"/>
      <c r="Z13" s="1"/>
      <c r="AA13" s="1"/>
      <c r="AB13" s="1"/>
      <c r="AC13" s="1"/>
      <c r="AD13" s="1"/>
      <c r="AE13" s="1"/>
    </row>
    <row r="14" ht="22" customHeight="1">
      <c r="A14" s="1"/>
      <c r="B14" s="1"/>
      <c r="C14" s="11" t="str">
        <v>Resultaat na rekenreserve</v>
      </c>
      <c r="D14" s="11"/>
      <c r="E14" s="41" t="n">
        <f>'Prognose'!E26</f>
        <v>23673.291666666664</v>
      </c>
      <c r="F14" s="41" t="n">
        <f>'Prognose'!F26</f>
        <v>35177.291666666664</v>
      </c>
      <c r="G14" s="1"/>
      <c r="H14" s="1"/>
      <c r="I14" s="1"/>
      <c r="J14" s="1"/>
      <c r="K14" s="1"/>
      <c r="L14" s="1"/>
      <c r="M14" s="1"/>
      <c r="N14" s="1"/>
      <c r="O14" s="1"/>
      <c r="P14" s="1"/>
      <c r="Q14" s="1"/>
      <c r="R14" s="1"/>
      <c r="S14" s="1"/>
      <c r="T14" s="1"/>
      <c r="U14" s="1"/>
      <c r="V14" s="1"/>
      <c r="W14" s="1"/>
      <c r="X14" s="1"/>
      <c r="Y14" s="1"/>
      <c r="Z14" s="1"/>
      <c r="AA14" s="1"/>
      <c r="AB14" s="1"/>
      <c r="AC14" s="1"/>
      <c r="AD14" s="1"/>
      <c r="AE14" s="1"/>
    </row>
    <row r="15" ht="22" customHeight="1">
      <c r="A15" s="1"/>
      <c r="B15" s="1"/>
      <c r="C15" s="1"/>
      <c r="D15" s="1"/>
      <c r="E15" s="39"/>
      <c r="F15" s="39"/>
      <c r="G15" s="1"/>
      <c r="H15" s="1"/>
      <c r="I15" s="1"/>
      <c r="J15" s="1"/>
      <c r="K15" s="1"/>
      <c r="L15" s="1"/>
      <c r="M15" s="1"/>
      <c r="N15" s="1"/>
      <c r="O15" s="1"/>
      <c r="P15" s="1"/>
      <c r="Q15" s="1"/>
      <c r="R15" s="1"/>
      <c r="S15" s="1"/>
      <c r="T15" s="1"/>
      <c r="U15" s="1"/>
      <c r="V15" s="1"/>
      <c r="W15" s="1"/>
      <c r="X15" s="1"/>
      <c r="Y15" s="1"/>
      <c r="Z15" s="1"/>
      <c r="AA15" s="1"/>
      <c r="AB15" s="1"/>
      <c r="AC15" s="1"/>
      <c r="AD15" s="1"/>
      <c r="AE15" s="1"/>
    </row>
    <row r="16" ht="22" customHeight="1">
      <c r="A16" s="1"/>
      <c r="B16" s="1"/>
      <c r="C16" s="11" t="str">
        <v>Kas op jaareinde</v>
      </c>
      <c r="D16" s="11"/>
      <c r="E16" s="41" t="n">
        <f>'Prognose'!E57</f>
        <v>33181.47833333333</v>
      </c>
      <c r="F16" s="41" t="n">
        <f>'Prognose'!F57</f>
        <v>66876.27666666667</v>
      </c>
      <c r="G16" s="1"/>
      <c r="H16" s="1"/>
      <c r="I16" s="1"/>
      <c r="J16" s="1"/>
      <c r="K16" s="1"/>
      <c r="L16" s="1"/>
      <c r="M16" s="1"/>
      <c r="N16" s="1"/>
      <c r="O16" s="1"/>
      <c r="P16" s="1"/>
      <c r="Q16" s="1"/>
      <c r="R16" s="1"/>
      <c r="S16" s="1"/>
      <c r="T16" s="1"/>
      <c r="U16" s="1"/>
      <c r="V16" s="1"/>
      <c r="W16" s="1"/>
      <c r="X16" s="1"/>
      <c r="Y16" s="1"/>
      <c r="Z16" s="1"/>
      <c r="AA16" s="1"/>
      <c r="AB16" s="1"/>
      <c r="AC16" s="1"/>
      <c r="AD16" s="1"/>
      <c r="AE16" s="1"/>
    </row>
    <row r="17" ht="22" customHeight="1">
      <c r="A17" s="1"/>
      <c r="B17" s="1"/>
      <c r="C17" s="1" t="str">
        <v>Openstaande klanten incl. btw</v>
      </c>
      <c r="D17" s="1"/>
      <c r="E17" s="39" t="n">
        <f>'Prognose'!E34</f>
        <v>10224.5</v>
      </c>
      <c r="F17" s="39" t="n">
        <f>'Prognose'!F34</f>
        <v>12251.25</v>
      </c>
      <c r="G17" s="1"/>
      <c r="H17" s="1"/>
      <c r="I17" s="1"/>
      <c r="J17" s="1"/>
      <c r="K17" s="1"/>
      <c r="L17" s="1"/>
      <c r="M17" s="1"/>
      <c r="N17" s="1"/>
      <c r="O17" s="1"/>
      <c r="P17" s="1"/>
      <c r="Q17" s="1"/>
      <c r="R17" s="1"/>
      <c r="S17" s="1"/>
      <c r="T17" s="1"/>
      <c r="U17" s="1"/>
      <c r="V17" s="1"/>
      <c r="W17" s="1"/>
      <c r="X17" s="1"/>
      <c r="Y17" s="1"/>
      <c r="Z17" s="1"/>
      <c r="AA17" s="1"/>
      <c r="AB17" s="1"/>
      <c r="AC17" s="1"/>
      <c r="AD17" s="1"/>
      <c r="AE17" s="1"/>
    </row>
    <row r="18" ht="22" customHeight="1">
      <c r="A18" s="1"/>
      <c r="B18" s="1"/>
      <c r="C18" s="1" t="str">
        <v>Lening op jaareinde</v>
      </c>
      <c r="D18" s="1"/>
      <c r="E18" s="39" t="n">
        <f>'Prognose'!E23</f>
        <v>6666.6666666666715</v>
      </c>
      <c r="F18" s="39" t="n">
        <f>'Prognose'!F23</f>
        <v>3333.3333333333417</v>
      </c>
      <c r="G18" s="1"/>
      <c r="H18" s="1"/>
      <c r="I18" s="1"/>
      <c r="J18" s="1"/>
      <c r="K18" s="1"/>
      <c r="L18" s="1"/>
      <c r="M18" s="1"/>
      <c r="N18" s="1"/>
      <c r="O18" s="1"/>
      <c r="P18" s="1"/>
      <c r="Q18" s="1"/>
      <c r="R18" s="1"/>
      <c r="S18" s="1"/>
      <c r="T18" s="1"/>
      <c r="U18" s="1"/>
      <c r="V18" s="1"/>
      <c r="W18" s="1"/>
      <c r="X18" s="1"/>
      <c r="Y18" s="1"/>
      <c r="Z18" s="1"/>
      <c r="AA18" s="1"/>
      <c r="AB18" s="1"/>
      <c r="AC18" s="1"/>
      <c r="AD18" s="1"/>
      <c r="AE18" s="1"/>
    </row>
    <row r="19" ht="22" customHeight="1">
      <c r="A19" s="1"/>
      <c r="B19" s="1"/>
      <c r="C19" s="1"/>
      <c r="D19" s="1"/>
      <c r="E19" s="39"/>
      <c r="F19" s="39"/>
      <c r="G19" s="1"/>
      <c r="H19" s="1"/>
      <c r="I19" s="1"/>
      <c r="J19" s="1"/>
      <c r="K19" s="1"/>
      <c r="L19" s="1"/>
      <c r="M19" s="1"/>
      <c r="N19" s="1"/>
      <c r="O19" s="1"/>
      <c r="P19" s="1"/>
      <c r="Q19" s="1"/>
      <c r="R19" s="1"/>
      <c r="S19" s="1"/>
      <c r="T19" s="1"/>
      <c r="U19" s="1"/>
      <c r="V19" s="1"/>
      <c r="W19" s="1"/>
      <c r="X19" s="1"/>
      <c r="Y19" s="1"/>
      <c r="Z19" s="1"/>
      <c r="AA19" s="1"/>
      <c r="AB19" s="1"/>
      <c r="AC19" s="1"/>
      <c r="AD19" s="1"/>
      <c r="AE19" s="1"/>
    </row>
    <row r="20" ht="22" customHeight="1">
      <c r="A20" s="1"/>
      <c r="B20" s="1"/>
      <c r="C20" s="11" t="str">
        <v>Laagste kasstand in 24 maanden</v>
      </c>
      <c r="D20" s="11"/>
      <c r="E20" s="41" t="n">
        <f>MIN('Prognose'!H57:AE57)</f>
        <v>5545.395555555555</v>
      </c>
      <c r="F20" s="41"/>
      <c r="G20" s="1"/>
      <c r="H20" s="1"/>
      <c r="I20" s="1"/>
      <c r="J20" s="1"/>
      <c r="K20" s="1"/>
      <c r="L20" s="1"/>
      <c r="M20" s="1"/>
      <c r="N20" s="1"/>
      <c r="O20" s="1"/>
      <c r="P20" s="1"/>
      <c r="Q20" s="1"/>
      <c r="R20" s="1"/>
      <c r="S20" s="1"/>
      <c r="T20" s="1"/>
      <c r="U20" s="1"/>
      <c r="V20" s="1"/>
      <c r="W20" s="1"/>
      <c r="X20" s="1"/>
      <c r="Y20" s="1"/>
      <c r="Z20" s="1"/>
      <c r="AA20" s="1"/>
      <c r="AB20" s="1"/>
      <c r="AC20" s="1"/>
      <c r="AD20" s="1"/>
      <c r="AE20" s="1"/>
    </row>
    <row r="21" ht="22" customHeight="1">
      <c r="A21" s="1"/>
      <c r="B21" s="1"/>
      <c r="C21" s="11" t="str">
        <v>Extra financiering om tekort te sluiten</v>
      </c>
      <c r="D21" s="11"/>
      <c r="E21" s="41" t="n">
        <f>MAX(0,-MIN('Prognose'!H57:AE57))</f>
        <v>0</v>
      </c>
      <c r="F21" s="41"/>
      <c r="G21" s="1"/>
      <c r="H21" s="1"/>
      <c r="I21" s="1"/>
      <c r="J21" s="1"/>
      <c r="K21" s="1"/>
      <c r="L21" s="1"/>
      <c r="M21" s="1"/>
      <c r="N21" s="1"/>
      <c r="O21" s="1"/>
      <c r="P21" s="1"/>
      <c r="Q21" s="1"/>
      <c r="R21" s="1"/>
      <c r="S21" s="1"/>
      <c r="T21" s="1"/>
      <c r="U21" s="1"/>
      <c r="V21" s="1"/>
      <c r="W21" s="1"/>
      <c r="X21" s="1"/>
      <c r="Y21" s="1"/>
      <c r="Z21" s="1"/>
      <c r="AA21" s="1"/>
      <c r="AB21" s="1"/>
      <c r="AC21" s="1"/>
      <c r="AD21" s="1"/>
      <c r="AE21" s="1"/>
    </row>
    <row r="22" ht="22" customHeight="1">
      <c r="A22" s="1"/>
      <c r="B22" s="1"/>
      <c r="C22" s="11" t="str">
        <v>Extra voor gewenste kasbuffer</v>
      </c>
      <c r="D22" s="11"/>
      <c r="E22" s="41" t="n">
        <f>MAX(0,IF(AND(ISNUMBER('Aannames'!E52),'Aannames'!E52&gt;=0),'Aannames'!E52,NA())-MIN('Prognose'!H57:AE57))</f>
        <v>0</v>
      </c>
      <c r="F22" s="41"/>
      <c r="G22" s="1"/>
      <c r="H22" s="1"/>
      <c r="I22" s="1"/>
      <c r="J22" s="1"/>
      <c r="K22" s="1"/>
      <c r="L22" s="1"/>
      <c r="M22" s="1"/>
      <c r="N22" s="1"/>
      <c r="O22" s="1"/>
      <c r="P22" s="1"/>
      <c r="Q22" s="1"/>
      <c r="R22" s="1"/>
      <c r="S22" s="1"/>
      <c r="T22" s="1"/>
      <c r="U22" s="1"/>
      <c r="V22" s="1"/>
      <c r="W22" s="1"/>
      <c r="X22" s="1"/>
      <c r="Y22" s="1"/>
      <c r="Z22" s="1"/>
      <c r="AA22" s="1"/>
      <c r="AB22" s="1"/>
      <c r="AC22" s="1"/>
      <c r="AD22" s="1"/>
      <c r="AE22" s="1"/>
    </row>
    <row r="23" ht="22" customHeight="1">
      <c r="A23" s="1"/>
      <c r="B23" s="1"/>
      <c r="C23" s="1"/>
      <c r="D23" s="1"/>
      <c r="E23" s="39"/>
      <c r="F23" s="39"/>
      <c r="G23" s="1"/>
      <c r="H23" s="1"/>
      <c r="I23" s="1"/>
      <c r="J23" s="1"/>
      <c r="K23" s="1"/>
      <c r="L23" s="1"/>
      <c r="M23" s="1"/>
      <c r="N23" s="1"/>
      <c r="O23" s="1"/>
      <c r="P23" s="1"/>
      <c r="Q23" s="1"/>
      <c r="R23" s="1"/>
      <c r="S23" s="1"/>
      <c r="T23" s="1"/>
      <c r="U23" s="1"/>
      <c r="V23" s="1"/>
      <c r="W23" s="1"/>
      <c r="X23" s="1"/>
      <c r="Y23" s="1"/>
      <c r="Z23" s="1"/>
      <c r="AA23" s="1"/>
      <c r="AB23" s="1"/>
      <c r="AC23" s="1"/>
      <c r="AD23" s="1"/>
      <c r="AE23" s="1"/>
    </row>
    <row r="24" ht="22" customHeight="1">
      <c r="A24" s="1"/>
      <c r="B24" s="1"/>
      <c r="C24" s="1" t="str">
        <v>Liquiditeit</v>
      </c>
      <c r="D24" s="1"/>
      <c r="E24" s="39" t="str">
        <f>IF(E20&lt;0,"Financiering ontbreekt",IF(E20&lt;IF(AND(ISNUMBER('Aannames'!E52),'Aannames'!E52&gt;=0),'Aannames'!E52,NA()),"Onder gewenste buffer","Boven gewenste buffer"))</f>
        <v>Boven gewenste buffer</v>
      </c>
      <c r="F24" s="39"/>
      <c r="G24" s="1"/>
      <c r="H24" s="1"/>
      <c r="I24" s="1"/>
      <c r="J24" s="1"/>
      <c r="K24" s="1"/>
      <c r="L24" s="1"/>
      <c r="M24" s="1"/>
      <c r="N24" s="1"/>
      <c r="O24" s="1"/>
      <c r="P24" s="1"/>
      <c r="Q24" s="1"/>
      <c r="R24" s="1"/>
      <c r="S24" s="1"/>
      <c r="T24" s="1"/>
      <c r="U24" s="1"/>
      <c r="V24" s="1"/>
      <c r="W24" s="1"/>
      <c r="X24" s="1"/>
      <c r="Y24" s="1"/>
      <c r="Z24" s="1"/>
      <c r="AA24" s="1"/>
      <c r="AB24" s="1"/>
      <c r="AC24" s="1"/>
      <c r="AD24" s="1"/>
      <c r="AE24" s="1"/>
    </row>
    <row r="25" ht="22" customHeight="1">
      <c r="A25" s="1"/>
      <c r="B25" s="1"/>
      <c r="C25" s="1"/>
      <c r="D25" s="1"/>
      <c r="E25" s="39"/>
      <c r="F25" s="39"/>
      <c r="G25" s="1"/>
      <c r="H25" s="1"/>
      <c r="I25" s="1"/>
      <c r="J25" s="1"/>
      <c r="K25" s="1"/>
      <c r="L25" s="1"/>
      <c r="M25" s="1"/>
      <c r="N25" s="1"/>
      <c r="O25" s="1"/>
      <c r="P25" s="1"/>
      <c r="Q25" s="1"/>
      <c r="R25" s="1"/>
      <c r="S25" s="1"/>
      <c r="T25" s="1"/>
      <c r="U25" s="1"/>
      <c r="V25" s="1"/>
      <c r="W25" s="1"/>
      <c r="X25" s="1"/>
      <c r="Y25" s="1"/>
      <c r="Z25" s="1"/>
      <c r="AA25" s="1"/>
      <c r="AB25" s="1"/>
      <c r="AC25" s="1"/>
      <c r="AD25" s="1"/>
      <c r="AE25" s="1"/>
    </row>
    <row r="26" ht="22" customHeight="1">
      <c r="A26" s="1"/>
      <c r="B26" s="1"/>
      <c r="C26" s="1"/>
      <c r="D26" s="1"/>
      <c r="E26" s="39"/>
      <c r="F26" s="39"/>
      <c r="G26" s="1"/>
      <c r="H26" s="1"/>
      <c r="I26" s="1"/>
      <c r="J26" s="1"/>
      <c r="K26" s="1"/>
      <c r="L26" s="1"/>
      <c r="M26" s="1"/>
      <c r="N26" s="1"/>
      <c r="O26" s="1"/>
      <c r="P26" s="1"/>
      <c r="Q26" s="1"/>
      <c r="R26" s="1"/>
      <c r="S26" s="1"/>
      <c r="T26" s="1"/>
      <c r="U26" s="1"/>
      <c r="V26" s="1"/>
      <c r="W26" s="1"/>
      <c r="X26" s="1"/>
      <c r="Y26" s="1"/>
      <c r="Z26" s="1"/>
      <c r="AA26" s="1"/>
      <c r="AB26" s="1"/>
      <c r="AC26" s="1"/>
      <c r="AD26" s="1"/>
      <c r="AE26" s="1"/>
    </row>
    <row r="27" ht="22" customHeight="1">
      <c r="A27" s="1"/>
      <c r="B27" s="1"/>
      <c r="C27" s="1" t="str">
        <v>Startfinanciering</v>
      </c>
      <c r="D27" s="1"/>
      <c r="E27" s="39"/>
      <c r="F27" s="39"/>
      <c r="G27" s="1"/>
      <c r="H27" s="1" t="str">
        <v>Geen minimumkapitaal of fiscale belofte.</v>
      </c>
      <c r="I27" s="1"/>
      <c r="J27" s="1"/>
      <c r="K27" s="1"/>
      <c r="L27" s="1"/>
      <c r="M27" s="1"/>
      <c r="N27" s="1"/>
      <c r="O27" s="1"/>
      <c r="P27" s="1"/>
      <c r="Q27" s="1"/>
      <c r="R27" s="1"/>
      <c r="S27" s="1"/>
      <c r="T27" s="1"/>
      <c r="U27" s="1"/>
      <c r="V27" s="1"/>
      <c r="W27" s="1"/>
      <c r="X27" s="1"/>
      <c r="Y27" s="1"/>
      <c r="Z27" s="1"/>
      <c r="AA27" s="1"/>
      <c r="AB27" s="1"/>
      <c r="AC27" s="1"/>
      <c r="AD27" s="1"/>
      <c r="AE27" s="1"/>
    </row>
    <row r="28" ht="22" customHeight="1">
      <c r="A28" s="1"/>
      <c r="B28" s="1"/>
      <c r="C28" s="1" t="str">
        <v>Inbreng in geld</v>
      </c>
      <c r="D28" s="1"/>
      <c r="E28" s="39" t="n">
        <f>IF(AND(ISNUMBER('Aannames'!E45),'Aannames'!E45&gt;=0),'Aannames'!E45,NA())</f>
        <v>15000</v>
      </c>
      <c r="F28" s="39"/>
      <c r="G28" s="1"/>
      <c r="H28" s="1"/>
      <c r="I28" s="1"/>
      <c r="J28" s="1"/>
      <c r="K28" s="1"/>
      <c r="L28" s="1"/>
      <c r="M28" s="1"/>
      <c r="N28" s="1"/>
      <c r="O28" s="1"/>
      <c r="P28" s="1"/>
      <c r="Q28" s="1"/>
      <c r="R28" s="1"/>
      <c r="S28" s="1"/>
      <c r="T28" s="1"/>
      <c r="U28" s="1"/>
      <c r="V28" s="1"/>
      <c r="W28" s="1"/>
      <c r="X28" s="1"/>
      <c r="Y28" s="1"/>
      <c r="Z28" s="1"/>
      <c r="AA28" s="1"/>
      <c r="AB28" s="1"/>
      <c r="AC28" s="1"/>
      <c r="AD28" s="1"/>
      <c r="AE28" s="1"/>
    </row>
    <row r="29" ht="22" customHeight="1">
      <c r="A29" s="1"/>
      <c r="B29" s="1"/>
      <c r="C29" s="1" t="str">
        <v>Lening bij start</v>
      </c>
      <c r="D29" s="1"/>
      <c r="E29" s="39" t="n">
        <f>IF(AND(ISNUMBER('Aannames'!E46),'Aannames'!E46&gt;=0),'Aannames'!E46,NA())</f>
        <v>10000</v>
      </c>
      <c r="F29" s="39"/>
      <c r="G29" s="1"/>
      <c r="H29" s="1" t="str">
        <v>Lees Instructies vóór je de cijfers vervangt.</v>
      </c>
      <c r="I29" s="1"/>
      <c r="J29" s="1"/>
      <c r="K29" s="1"/>
      <c r="L29" s="1"/>
      <c r="M29" s="1"/>
      <c r="N29" s="1"/>
      <c r="O29" s="1"/>
      <c r="P29" s="1"/>
      <c r="Q29" s="1"/>
      <c r="R29" s="1"/>
      <c r="S29" s="1"/>
      <c r="T29" s="1"/>
      <c r="U29" s="1"/>
      <c r="V29" s="1"/>
      <c r="W29" s="1"/>
      <c r="X29" s="1"/>
      <c r="Y29" s="1"/>
      <c r="Z29" s="1"/>
      <c r="AA29" s="1"/>
      <c r="AB29" s="1"/>
      <c r="AC29" s="1"/>
      <c r="AD29" s="1"/>
      <c r="AE29" s="1"/>
    </row>
    <row r="30" ht="22" customHeight="1">
      <c r="A30" s="1"/>
      <c r="B30" s="1"/>
      <c r="C30" s="11" t="str">
        <v>Beschikbare bankmiddelen bij start</v>
      </c>
      <c r="D30" s="11"/>
      <c r="E30" s="41" t="n">
        <f>SUM(E28:E29)</f>
        <v>25000</v>
      </c>
      <c r="F30" s="41"/>
      <c r="G30" s="1"/>
      <c r="H30" s="1"/>
      <c r="I30" s="1"/>
      <c r="J30" s="1"/>
      <c r="K30" s="1"/>
      <c r="L30" s="1"/>
      <c r="M30" s="1"/>
      <c r="N30" s="1"/>
      <c r="O30" s="1"/>
      <c r="P30" s="1"/>
      <c r="Q30" s="1"/>
      <c r="R30" s="1"/>
      <c r="S30" s="1"/>
      <c r="T30" s="1"/>
      <c r="U30" s="1"/>
      <c r="V30" s="1"/>
      <c r="W30" s="1"/>
      <c r="X30" s="1"/>
      <c r="Y30" s="1"/>
      <c r="Z30" s="1"/>
      <c r="AA30" s="1"/>
      <c r="AB30" s="1"/>
      <c r="AC30" s="1"/>
      <c r="AD30" s="1"/>
      <c r="AE30" s="1"/>
    </row>
    <row r="31" ht="22" customHeight="1">
      <c r="A31" s="1"/>
      <c r="B31" s="1"/>
      <c r="C31" s="1"/>
      <c r="D31" s="1"/>
      <c r="E31" s="1"/>
      <c r="F31" s="1"/>
      <c r="G31" s="1"/>
      <c r="H31" s="1" t="str">
        <v>PDF toont de drie ingevulde voorbeeldscenario’s.</v>
      </c>
      <c r="I31" s="1"/>
      <c r="J31" s="1"/>
      <c r="K31" s="1"/>
      <c r="L31" s="1"/>
      <c r="M31" s="1"/>
      <c r="N31" s="1"/>
      <c r="O31" s="1"/>
      <c r="P31" s="1"/>
      <c r="Q31" s="1"/>
      <c r="R31" s="1"/>
      <c r="S31" s="1"/>
      <c r="T31" s="1"/>
      <c r="U31" s="1"/>
      <c r="V31" s="1"/>
      <c r="W31" s="1"/>
      <c r="X31" s="1"/>
      <c r="Y31" s="1"/>
      <c r="Z31" s="1"/>
      <c r="AA31" s="1"/>
      <c r="AB31" s="1"/>
      <c r="AC31" s="1"/>
      <c r="AD31" s="1"/>
      <c r="AE31" s="1"/>
    </row>
    <row r="32" ht="22" customHeight="1">
      <c r="A32" s="1"/>
      <c r="B32" s="1"/>
      <c r="C32" s="1" t="str">
        <v>Invoercontrole</v>
      </c>
      <c r="D32" s="1"/>
      <c r="E32" s="1" t="str">
        <f>IF(AND(AND(ISNUMBER('Aannames'!E43),'Aannames'!E43&gt;=0),AND(ISNUMBER('Aannames'!E44),'Aannames'!E44&gt;=1,MOD('Aannames'!E44,1)=0),AND(ISNUMBER('Aannames'!E45),'Aannames'!E45&gt;=0),AND(ISNUMBER('Aannames'!E46),'Aannames'!E46&gt;=0),AND(ISNUMBER('Aannames'!E47),'Aannames'!E47&gt;=1,MOD('Aannames'!E47,1)=0),AND(ISNUMBER('Aannames'!E48),'Aannames'!E48&gt;=0,'Aannames'!E48&lt;=1),AND(ISNUMBER('Aannames'!E49),'Aannames'!E49&gt;=0,'Aannames'!E49&lt;=1),AND(ISNUMBER('Aannames'!E50),'Aannames'!E50&gt;=0,'Aannames'!E50&lt;=1),AND(ISNUMBER('Aannames'!E51),'Aannames'!E51&gt;=0,'Aannames'!E51&lt;=1),AND(ISNUMBER('Aannames'!E52),'Aannames'!E52&gt;=0),AND(ISNUMBER('Aannames'!E53),'Aannames'!E53&gt;=0)),"Volledig","Invoer ontbreekt of ongeldig")</f>
        <v>Volledig</v>
      </c>
      <c r="F32" s="1"/>
      <c r="G32" s="1"/>
      <c r="H32" s="1"/>
      <c r="I32" s="1"/>
      <c r="J32" s="1"/>
      <c r="K32" s="1"/>
      <c r="L32" s="1"/>
      <c r="M32" s="1"/>
      <c r="N32" s="1"/>
      <c r="O32" s="1"/>
      <c r="P32" s="1"/>
      <c r="Q32" s="1"/>
      <c r="R32" s="1"/>
      <c r="S32" s="1"/>
      <c r="T32" s="1"/>
      <c r="U32" s="1"/>
      <c r="V32" s="1"/>
      <c r="W32" s="1"/>
      <c r="X32" s="1"/>
      <c r="Y32" s="1"/>
      <c r="Z32" s="1"/>
      <c r="AA32" s="1"/>
      <c r="AB32" s="1"/>
      <c r="AC32" s="1"/>
      <c r="AD32" s="1"/>
      <c r="AE32" s="1"/>
    </row>
    <row r="33" ht="22"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row>
    <row r="34" ht="22"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row>
    <row r="35" ht="32" customHeight="1">
      <c r="A35" s="1"/>
      <c r="B35" s="1"/>
      <c r="C35" s="45" t="str">
        <v>Maand</v>
      </c>
      <c r="D35" s="45" t="str">
        <v>Kas einde maand</v>
      </c>
      <c r="E35" s="45" t="str">
        <v>Omzet excl. btw</v>
      </c>
      <c r="F35" s="45" t="str">
        <v>Resultaat na reserve</v>
      </c>
      <c r="G35" s="1"/>
      <c r="H35" s="1"/>
      <c r="I35" s="1"/>
      <c r="J35" s="1"/>
      <c r="K35" s="1"/>
      <c r="L35" s="1"/>
      <c r="M35" s="1"/>
      <c r="N35" s="1"/>
      <c r="O35" s="1"/>
      <c r="P35" s="1"/>
      <c r="Q35" s="1"/>
      <c r="R35" s="1"/>
      <c r="S35" s="1"/>
      <c r="T35" s="1"/>
      <c r="U35" s="1"/>
      <c r="V35" s="1"/>
      <c r="W35" s="1"/>
      <c r="X35" s="1"/>
      <c r="Y35" s="1"/>
      <c r="Z35" s="1"/>
      <c r="AA35" s="1"/>
      <c r="AB35" s="1"/>
      <c r="AC35" s="1"/>
      <c r="AD35" s="1"/>
      <c r="AE35" s="1"/>
    </row>
    <row r="36" ht="22" customHeight="1">
      <c r="A36" s="1"/>
      <c r="B36" s="1"/>
      <c r="C36" s="4" t="str">
        <f>CHOOSE(MONTH('Prognose'!H6),"jan","feb","mrt","apr","mei","jun","jul","aug","sep","okt","nov","dec")&amp;" "&amp;YEAR('Prognose'!H6)</f>
        <v>jan 2027</v>
      </c>
      <c r="D36" s="14" t="n">
        <f>'Prognose'!H57</f>
        <v>5545.395555555555</v>
      </c>
      <c r="E36" s="14" t="n">
        <f>'Prognose'!H11</f>
        <v>8450</v>
      </c>
      <c r="F36" s="14" t="n">
        <f>'Prognose'!H26</f>
        <v>249.25</v>
      </c>
      <c r="G36" s="1"/>
      <c r="H36" s="1"/>
      <c r="I36" s="1"/>
      <c r="J36" s="1"/>
      <c r="K36" s="1"/>
      <c r="L36" s="1"/>
      <c r="M36" s="1"/>
      <c r="N36" s="1"/>
      <c r="O36" s="1"/>
      <c r="P36" s="1"/>
      <c r="Q36" s="1"/>
      <c r="R36" s="1"/>
      <c r="S36" s="1"/>
      <c r="T36" s="1"/>
      <c r="U36" s="1"/>
      <c r="V36" s="1"/>
      <c r="W36" s="1"/>
      <c r="X36" s="1"/>
      <c r="Y36" s="1"/>
      <c r="Z36" s="1"/>
      <c r="AA36" s="1"/>
      <c r="AB36" s="1"/>
      <c r="AC36" s="1"/>
      <c r="AD36" s="1"/>
      <c r="AE36" s="1"/>
    </row>
    <row r="37" ht="22" customHeight="1">
      <c r="A37" s="1"/>
      <c r="B37" s="1"/>
      <c r="C37" s="4" t="str">
        <f>CHOOSE(MONTH('Prognose'!I6),"jan","feb","mrt","apr","mei","jun","jul","aug","sep","okt","nov","dec")&amp;" "&amp;YEAR('Prognose'!I6)</f>
        <v>feb 2027</v>
      </c>
      <c r="D37" s="14" t="n">
        <f>'Prognose'!I57</f>
        <v>9706.448518518519</v>
      </c>
      <c r="E37" s="14" t="n">
        <f>'Prognose'!I11</f>
        <v>8450</v>
      </c>
      <c r="F37" s="14" t="n">
        <f>'Prognose'!I26</f>
        <v>2125.1180555555557</v>
      </c>
      <c r="G37" s="1"/>
      <c r="H37" s="1"/>
      <c r="I37" s="1"/>
      <c r="J37" s="1"/>
      <c r="K37" s="1"/>
      <c r="L37" s="1"/>
      <c r="M37" s="1"/>
      <c r="N37" s="1"/>
      <c r="O37" s="1"/>
      <c r="P37" s="1"/>
      <c r="Q37" s="1"/>
      <c r="R37" s="1"/>
      <c r="S37" s="1"/>
      <c r="T37" s="1"/>
      <c r="U37" s="1"/>
      <c r="V37" s="1"/>
      <c r="W37" s="1"/>
      <c r="X37" s="1"/>
      <c r="Y37" s="1"/>
      <c r="Z37" s="1"/>
      <c r="AA37" s="1"/>
      <c r="AB37" s="1"/>
      <c r="AC37" s="1"/>
      <c r="AD37" s="1"/>
      <c r="AE37" s="1"/>
    </row>
    <row r="38" ht="22" customHeight="1">
      <c r="A38" s="1"/>
      <c r="B38" s="1"/>
      <c r="C38" s="4" t="str">
        <f>CHOOSE(MONTH('Prognose'!J6),"jan","feb","mrt","apr","mei","jun","jul","aug","sep","okt","nov","dec")&amp;" "&amp;YEAR('Prognose'!J6)</f>
        <v>mrt 2027</v>
      </c>
      <c r="D38" s="14" t="n">
        <f>'Prognose'!J57</f>
        <v>12368.540833333333</v>
      </c>
      <c r="E38" s="14" t="n">
        <f>'Prognose'!J11</f>
        <v>8450</v>
      </c>
      <c r="F38" s="14" t="n">
        <f>'Prognose'!J26</f>
        <v>2125.9861111111113</v>
      </c>
      <c r="G38" s="1"/>
      <c r="H38" s="1"/>
      <c r="I38" s="1"/>
      <c r="J38" s="1"/>
      <c r="K38" s="1"/>
      <c r="L38" s="1"/>
      <c r="M38" s="1"/>
      <c r="N38" s="1"/>
      <c r="O38" s="1"/>
      <c r="P38" s="1"/>
      <c r="Q38" s="1"/>
      <c r="R38" s="1"/>
      <c r="S38" s="1"/>
      <c r="T38" s="1"/>
      <c r="U38" s="1"/>
      <c r="V38" s="1"/>
      <c r="W38" s="1"/>
      <c r="X38" s="1"/>
      <c r="Y38" s="1"/>
      <c r="Z38" s="1"/>
      <c r="AA38" s="1"/>
      <c r="AB38" s="1"/>
      <c r="AC38" s="1"/>
      <c r="AD38" s="1"/>
      <c r="AE38" s="1"/>
    </row>
    <row r="39" ht="22" customHeight="1">
      <c r="A39" s="1"/>
      <c r="B39" s="1"/>
      <c r="C39" s="4" t="str">
        <f>CHOOSE(MONTH('Prognose'!K6),"jan","feb","mrt","apr","mei","jun","jul","aug","sep","okt","nov","dec")&amp;" "&amp;YEAR('Prognose'!K6)</f>
        <v>apr 2027</v>
      </c>
      <c r="D39" s="14" t="n">
        <f>'Prognose'!K57</f>
        <v>14355.88861111111</v>
      </c>
      <c r="E39" s="14" t="n">
        <f>'Prognose'!K11</f>
        <v>8450</v>
      </c>
      <c r="F39" s="14" t="n">
        <f>'Prognose'!K26</f>
        <v>2126.854166666667</v>
      </c>
      <c r="G39" s="1"/>
      <c r="H39" s="1"/>
      <c r="I39" s="1"/>
      <c r="J39" s="1"/>
      <c r="K39" s="1"/>
      <c r="L39" s="1"/>
      <c r="M39" s="1"/>
      <c r="N39" s="1"/>
      <c r="O39" s="1"/>
      <c r="P39" s="1"/>
      <c r="Q39" s="1"/>
      <c r="R39" s="1"/>
      <c r="S39" s="1"/>
      <c r="T39" s="1"/>
      <c r="U39" s="1"/>
      <c r="V39" s="1"/>
      <c r="W39" s="1"/>
      <c r="X39" s="1"/>
      <c r="Y39" s="1"/>
      <c r="Z39" s="1"/>
      <c r="AA39" s="1"/>
      <c r="AB39" s="1"/>
      <c r="AC39" s="1"/>
      <c r="AD39" s="1"/>
      <c r="AE39" s="1"/>
    </row>
    <row r="40" ht="22" customHeight="1">
      <c r="A40" s="1"/>
      <c r="B40" s="1"/>
      <c r="C40" s="4" t="str">
        <f>CHOOSE(MONTH('Prognose'!L6),"jan","feb","mrt","apr","mei","jun","jul","aug","sep","okt","nov","dec")&amp;" "&amp;YEAR('Prognose'!L6)</f>
        <v>mei 2027</v>
      </c>
      <c r="D40" s="14" t="n">
        <f>'Prognose'!L57</f>
        <v>18520.413796296296</v>
      </c>
      <c r="E40" s="14" t="n">
        <f>'Prognose'!L11</f>
        <v>8450</v>
      </c>
      <c r="F40" s="14" t="n">
        <f>'Prognose'!L26</f>
        <v>2127.722222222222</v>
      </c>
      <c r="G40" s="1"/>
      <c r="H40" s="1"/>
      <c r="I40" s="1"/>
      <c r="J40" s="1"/>
      <c r="K40" s="1"/>
      <c r="L40" s="1"/>
      <c r="M40" s="1"/>
      <c r="N40" s="1"/>
      <c r="O40" s="1"/>
      <c r="P40" s="1"/>
      <c r="Q40" s="1"/>
      <c r="R40" s="1"/>
      <c r="S40" s="1"/>
      <c r="T40" s="1"/>
      <c r="U40" s="1"/>
      <c r="V40" s="1"/>
      <c r="W40" s="1"/>
      <c r="X40" s="1"/>
      <c r="Y40" s="1"/>
      <c r="Z40" s="1"/>
      <c r="AA40" s="1"/>
      <c r="AB40" s="1"/>
      <c r="AC40" s="1"/>
      <c r="AD40" s="1"/>
      <c r="AE40" s="1"/>
    </row>
    <row r="41" ht="22" customHeight="1">
      <c r="A41" s="1"/>
      <c r="B41" s="1"/>
      <c r="C41" s="4" t="str">
        <f>CHOOSE(MONTH('Prognose'!M6),"jan","feb","mrt","apr","mei","jun","jul","aug","sep","okt","nov","dec")&amp;" "&amp;YEAR('Prognose'!M6)</f>
        <v>jun 2027</v>
      </c>
      <c r="D41" s="14" t="n">
        <f>'Prognose'!M57</f>
        <v>20558.37416666667</v>
      </c>
      <c r="E41" s="14" t="n">
        <f>'Prognose'!M11</f>
        <v>8450</v>
      </c>
      <c r="F41" s="14" t="n">
        <f>'Prognose'!M26</f>
        <v>2128.590277777778</v>
      </c>
      <c r="G41" s="1"/>
      <c r="H41" s="1"/>
      <c r="I41" s="1"/>
      <c r="J41" s="1"/>
      <c r="K41" s="1"/>
      <c r="L41" s="1"/>
      <c r="M41" s="1"/>
      <c r="N41" s="1"/>
      <c r="O41" s="1"/>
      <c r="P41" s="1"/>
      <c r="Q41" s="1"/>
      <c r="R41" s="1"/>
      <c r="S41" s="1"/>
      <c r="T41" s="1"/>
      <c r="U41" s="1"/>
      <c r="V41" s="1"/>
      <c r="W41" s="1"/>
      <c r="X41" s="1"/>
      <c r="Y41" s="1"/>
      <c r="Z41" s="1"/>
      <c r="AA41" s="1"/>
      <c r="AB41" s="1"/>
      <c r="AC41" s="1"/>
      <c r="AD41" s="1"/>
      <c r="AE41" s="1"/>
    </row>
    <row r="42" ht="22" customHeight="1">
      <c r="A42" s="1"/>
      <c r="B42" s="1"/>
      <c r="C42" s="4" t="str">
        <f>CHOOSE(MONTH('Prognose'!N6),"jan","feb","mrt","apr","mei","jun","jul","aug","sep","okt","nov","dec")&amp;" "&amp;YEAR('Prognose'!N6)</f>
        <v>jul 2027</v>
      </c>
      <c r="D42" s="14" t="n">
        <f>'Prognose'!N57</f>
        <v>20659.194166666668</v>
      </c>
      <c r="E42" s="14" t="n">
        <f>'Prognose'!N11</f>
        <v>8450</v>
      </c>
      <c r="F42" s="14" t="n">
        <f>'Prognose'!N26</f>
        <v>2129.4583333333335</v>
      </c>
      <c r="G42" s="1"/>
      <c r="H42" s="1"/>
      <c r="I42" s="1"/>
      <c r="J42" s="1"/>
      <c r="K42" s="1"/>
      <c r="L42" s="1"/>
      <c r="M42" s="1"/>
      <c r="N42" s="1"/>
      <c r="O42" s="1"/>
      <c r="P42" s="1"/>
      <c r="Q42" s="1"/>
      <c r="R42" s="1"/>
      <c r="S42" s="1"/>
      <c r="T42" s="1"/>
      <c r="U42" s="1"/>
      <c r="V42" s="1"/>
      <c r="W42" s="1"/>
      <c r="X42" s="1"/>
      <c r="Y42" s="1"/>
      <c r="Z42" s="1"/>
      <c r="AA42" s="1"/>
      <c r="AB42" s="1"/>
      <c r="AC42" s="1"/>
      <c r="AD42" s="1"/>
      <c r="AE42" s="1"/>
    </row>
    <row r="43" ht="22" customHeight="1">
      <c r="A43" s="1"/>
      <c r="B43" s="1"/>
      <c r="C43" s="4" t="str">
        <f>CHOOSE(MONTH('Prognose'!O6),"jan","feb","mrt","apr","mei","jun","jul","aug","sep","okt","nov","dec")&amp;" "&amp;YEAR('Prognose'!O6)</f>
        <v>aug 2027</v>
      </c>
      <c r="D43" s="14" t="n">
        <f>'Prognose'!O57</f>
        <v>24827.191574074077</v>
      </c>
      <c r="E43" s="14" t="n">
        <f>'Prognose'!O11</f>
        <v>8450</v>
      </c>
      <c r="F43" s="14" t="n">
        <f>'Prognose'!O26</f>
        <v>2130.3263888888887</v>
      </c>
      <c r="G43" s="1"/>
      <c r="H43" s="1"/>
      <c r="I43" s="1"/>
      <c r="J43" s="1"/>
      <c r="K43" s="1"/>
      <c r="L43" s="1"/>
      <c r="M43" s="1"/>
      <c r="N43" s="1"/>
      <c r="O43" s="1"/>
      <c r="P43" s="1"/>
      <c r="Q43" s="1"/>
      <c r="R43" s="1"/>
      <c r="S43" s="1"/>
      <c r="T43" s="1"/>
      <c r="U43" s="1"/>
      <c r="V43" s="1"/>
      <c r="W43" s="1"/>
      <c r="X43" s="1"/>
      <c r="Y43" s="1"/>
      <c r="Z43" s="1"/>
      <c r="AA43" s="1"/>
      <c r="AB43" s="1"/>
      <c r="AC43" s="1"/>
      <c r="AD43" s="1"/>
      <c r="AE43" s="1"/>
    </row>
    <row r="44" ht="22" customHeight="1">
      <c r="A44" s="1"/>
      <c r="B44" s="1"/>
      <c r="C44" s="4" t="str">
        <f>CHOOSE(MONTH('Prognose'!P6),"jan","feb","mrt","apr","mei","jun","jul","aug","sep","okt","nov","dec")&amp;" "&amp;YEAR('Prognose'!P6)</f>
        <v>sep 2027</v>
      </c>
      <c r="D44" s="14" t="n">
        <f>'Prognose'!P57</f>
        <v>26866.020000000004</v>
      </c>
      <c r="E44" s="14" t="n">
        <f>'Prognose'!P11</f>
        <v>8450</v>
      </c>
      <c r="F44" s="14" t="n">
        <f>'Prognose'!P26</f>
        <v>2131.1944444444443</v>
      </c>
      <c r="G44" s="1"/>
      <c r="H44" s="1"/>
      <c r="I44" s="1"/>
      <c r="J44" s="1"/>
      <c r="K44" s="1"/>
      <c r="L44" s="1"/>
      <c r="M44" s="1"/>
      <c r="N44" s="1"/>
      <c r="O44" s="1"/>
      <c r="P44" s="1"/>
      <c r="Q44" s="1"/>
      <c r="R44" s="1"/>
      <c r="S44" s="1"/>
      <c r="T44" s="1"/>
      <c r="U44" s="1"/>
      <c r="V44" s="1"/>
      <c r="W44" s="1"/>
      <c r="X44" s="1"/>
      <c r="Y44" s="1"/>
      <c r="Z44" s="1"/>
      <c r="AA44" s="1"/>
      <c r="AB44" s="1"/>
      <c r="AC44" s="1"/>
      <c r="AD44" s="1"/>
      <c r="AE44" s="1"/>
    </row>
    <row r="45" ht="22" customHeight="1">
      <c r="A45" s="1"/>
      <c r="B45" s="1"/>
      <c r="C45" s="4" t="str">
        <f>CHOOSE(MONTH('Prognose'!Q6),"jan","feb","mrt","apr","mei","jun","jul","aug","sep","okt","nov","dec")&amp;" "&amp;YEAR('Prognose'!Q6)</f>
        <v>okt 2027</v>
      </c>
      <c r="D45" s="14" t="n">
        <f>'Prognose'!Q57</f>
        <v>26970.312222222226</v>
      </c>
      <c r="E45" s="14" t="n">
        <f>'Prognose'!Q11</f>
        <v>8450</v>
      </c>
      <c r="F45" s="14" t="n">
        <f>'Prognose'!Q26</f>
        <v>2132.0625</v>
      </c>
      <c r="G45" s="1"/>
      <c r="H45" s="1"/>
      <c r="I45" s="1"/>
      <c r="J45" s="1"/>
      <c r="K45" s="1"/>
      <c r="L45" s="1"/>
      <c r="M45" s="1"/>
      <c r="N45" s="1"/>
      <c r="O45" s="1"/>
      <c r="P45" s="1"/>
      <c r="Q45" s="1"/>
      <c r="R45" s="1"/>
      <c r="S45" s="1"/>
      <c r="T45" s="1"/>
      <c r="U45" s="1"/>
      <c r="V45" s="1"/>
      <c r="W45" s="1"/>
      <c r="X45" s="1"/>
      <c r="Y45" s="1"/>
      <c r="Z45" s="1"/>
      <c r="AA45" s="1"/>
      <c r="AB45" s="1"/>
      <c r="AC45" s="1"/>
      <c r="AD45" s="1"/>
      <c r="AE45" s="1"/>
    </row>
    <row r="46" ht="22" customHeight="1">
      <c r="A46" s="1"/>
      <c r="B46" s="1"/>
      <c r="C46" s="4" t="str">
        <f>CHOOSE(MONTH('Prognose'!R6),"jan","feb","mrt","apr","mei","jun","jul","aug","sep","okt","nov","dec")&amp;" "&amp;YEAR('Prognose'!R6)</f>
        <v>nov 2027</v>
      </c>
      <c r="D46" s="14" t="n">
        <f>'Prognose'!R57</f>
        <v>31141.781851851854</v>
      </c>
      <c r="E46" s="14" t="n">
        <f>'Prognose'!R11</f>
        <v>8450</v>
      </c>
      <c r="F46" s="14" t="n">
        <f>'Prognose'!R26</f>
        <v>2132.9305555555557</v>
      </c>
      <c r="G46" s="1"/>
      <c r="H46" s="1"/>
      <c r="I46" s="1"/>
      <c r="J46" s="1"/>
      <c r="K46" s="1"/>
      <c r="L46" s="1"/>
      <c r="M46" s="1"/>
      <c r="N46" s="1"/>
      <c r="O46" s="1"/>
      <c r="P46" s="1"/>
      <c r="Q46" s="1"/>
      <c r="R46" s="1"/>
      <c r="S46" s="1"/>
      <c r="T46" s="1"/>
      <c r="U46" s="1"/>
      <c r="V46" s="1"/>
      <c r="W46" s="1"/>
      <c r="X46" s="1"/>
      <c r="Y46" s="1"/>
      <c r="Z46" s="1"/>
      <c r="AA46" s="1"/>
      <c r="AB46" s="1"/>
      <c r="AC46" s="1"/>
      <c r="AD46" s="1"/>
      <c r="AE46" s="1"/>
    </row>
    <row r="47" ht="22" customHeight="1">
      <c r="A47" s="1"/>
      <c r="B47" s="1"/>
      <c r="C47" s="4" t="str">
        <f>CHOOSE(MONTH('Prognose'!S6),"jan","feb","mrt","apr","mei","jun","jul","aug","sep","okt","nov","dec")&amp;" "&amp;YEAR('Prognose'!S6)</f>
        <v>dec 2027</v>
      </c>
      <c r="D47" s="14" t="n">
        <f>'Prognose'!S57</f>
        <v>33181.47833333333</v>
      </c>
      <c r="E47" s="14" t="n">
        <f>'Prognose'!S11</f>
        <v>8450</v>
      </c>
      <c r="F47" s="14" t="n">
        <f>'Prognose'!S26</f>
        <v>2133.7986111111113</v>
      </c>
      <c r="G47" s="1"/>
      <c r="H47" s="1"/>
      <c r="I47" s="1"/>
      <c r="J47" s="1"/>
      <c r="K47" s="1"/>
      <c r="L47" s="1"/>
      <c r="M47" s="1"/>
      <c r="N47" s="1"/>
      <c r="O47" s="1"/>
      <c r="P47" s="1"/>
      <c r="Q47" s="1"/>
      <c r="R47" s="1"/>
      <c r="S47" s="1"/>
      <c r="T47" s="1"/>
      <c r="U47" s="1"/>
      <c r="V47" s="1"/>
      <c r="W47" s="1"/>
      <c r="X47" s="1"/>
      <c r="Y47" s="1"/>
      <c r="Z47" s="1"/>
      <c r="AA47" s="1"/>
      <c r="AB47" s="1"/>
      <c r="AC47" s="1"/>
      <c r="AD47" s="1"/>
      <c r="AE47" s="1"/>
    </row>
    <row r="48" ht="22" customHeight="1">
      <c r="A48" s="1"/>
      <c r="B48" s="1"/>
      <c r="C48" s="4" t="str">
        <f>CHOOSE(MONTH('Prognose'!T6),"jan","feb","mrt","apr","mei","jun","jul","aug","sep","okt","nov","dec")&amp;" "&amp;YEAR('Prognose'!T6)</f>
        <v>jan 2028</v>
      </c>
      <c r="D48" s="14" t="n">
        <f>'Prognose'!T57</f>
        <v>32611.022777777776</v>
      </c>
      <c r="E48" s="14" t="n">
        <f>'Prognose'!T11</f>
        <v>10125</v>
      </c>
      <c r="F48" s="14" t="n">
        <f>'Prognose'!T26</f>
        <v>2926.6666666666665</v>
      </c>
      <c r="G48" s="1"/>
      <c r="H48" s="1"/>
      <c r="I48" s="1"/>
      <c r="J48" s="1"/>
      <c r="K48" s="1"/>
      <c r="L48" s="1"/>
      <c r="M48" s="1"/>
      <c r="N48" s="1"/>
      <c r="O48" s="1"/>
      <c r="P48" s="1"/>
      <c r="Q48" s="1"/>
      <c r="R48" s="1"/>
      <c r="S48" s="1"/>
      <c r="T48" s="1"/>
      <c r="U48" s="1"/>
      <c r="V48" s="1"/>
      <c r="W48" s="1"/>
      <c r="X48" s="1"/>
      <c r="Y48" s="1"/>
      <c r="Z48" s="1"/>
      <c r="AA48" s="1"/>
      <c r="AB48" s="1"/>
      <c r="AC48" s="1"/>
      <c r="AD48" s="1"/>
      <c r="AE48" s="1"/>
    </row>
    <row r="49" ht="22" customHeight="1">
      <c r="A49" s="1"/>
      <c r="B49" s="1"/>
      <c r="C49" s="4" t="str">
        <f>CHOOSE(MONTH('Prognose'!U6),"jan","feb","mrt","apr","mei","jun","jul","aug","sep","okt","nov","dec")&amp;" "&amp;YEAR('Prognose'!U6)</f>
        <v>feb 2028</v>
      </c>
      <c r="D49" s="14" t="n">
        <f>'Prognose'!U57</f>
        <v>38134.494629629626</v>
      </c>
      <c r="E49" s="14" t="n">
        <f>'Prognose'!U11</f>
        <v>10125</v>
      </c>
      <c r="F49" s="14" t="n">
        <f>'Prognose'!U26</f>
        <v>2927.534722222222</v>
      </c>
      <c r="G49" s="1"/>
      <c r="H49" s="1"/>
      <c r="I49" s="1"/>
      <c r="J49" s="1"/>
      <c r="K49" s="1"/>
      <c r="L49" s="1"/>
      <c r="M49" s="1"/>
      <c r="N49" s="1"/>
      <c r="O49" s="1"/>
      <c r="P49" s="1"/>
      <c r="Q49" s="1"/>
      <c r="R49" s="1"/>
      <c r="S49" s="1"/>
      <c r="T49" s="1"/>
      <c r="U49" s="1"/>
      <c r="V49" s="1"/>
      <c r="W49" s="1"/>
      <c r="X49" s="1"/>
      <c r="Y49" s="1"/>
      <c r="Z49" s="1"/>
      <c r="AA49" s="1"/>
      <c r="AB49" s="1"/>
      <c r="AC49" s="1"/>
      <c r="AD49" s="1"/>
      <c r="AE49" s="1"/>
    </row>
    <row r="50" ht="22" customHeight="1">
      <c r="A50" s="1"/>
      <c r="B50" s="1"/>
      <c r="C50" s="4" t="str">
        <f>CHOOSE(MONTH('Prognose'!V6),"jan","feb","mrt","apr","mei","jun","jul","aug","sep","okt","nov","dec")&amp;" "&amp;YEAR('Prognose'!V6)</f>
        <v>mrt 2028</v>
      </c>
      <c r="D50" s="14" t="n">
        <f>'Prognose'!V57</f>
        <v>40731.589166666665</v>
      </c>
      <c r="E50" s="14" t="n">
        <f>'Prognose'!V11</f>
        <v>10125</v>
      </c>
      <c r="F50" s="14" t="n">
        <f>'Prognose'!V26</f>
        <v>2928.402777777778</v>
      </c>
      <c r="G50" s="1"/>
      <c r="H50" s="1"/>
      <c r="I50" s="1"/>
      <c r="J50" s="1"/>
      <c r="K50" s="1"/>
      <c r="L50" s="1"/>
      <c r="M50" s="1"/>
      <c r="N50" s="1"/>
      <c r="O50" s="1"/>
      <c r="P50" s="1"/>
      <c r="Q50" s="1"/>
      <c r="R50" s="1"/>
      <c r="S50" s="1"/>
      <c r="T50" s="1"/>
      <c r="U50" s="1"/>
      <c r="V50" s="1"/>
      <c r="W50" s="1"/>
      <c r="X50" s="1"/>
      <c r="Y50" s="1"/>
      <c r="Z50" s="1"/>
      <c r="AA50" s="1"/>
      <c r="AB50" s="1"/>
      <c r="AC50" s="1"/>
      <c r="AD50" s="1"/>
      <c r="AE50" s="1"/>
    </row>
    <row r="51" ht="22" customHeight="1">
      <c r="A51" s="1"/>
      <c r="B51" s="1"/>
      <c r="C51" s="4" t="str">
        <f>CHOOSE(MONTH('Prognose'!W6),"jan","feb","mrt","apr","mei","jun","jul","aug","sep","okt","nov","dec")&amp;" "&amp;YEAR('Prognose'!W6)</f>
        <v>apr 2028</v>
      </c>
      <c r="D51" s="14" t="n">
        <f>'Prognose'!W57</f>
        <v>41313.76583333333</v>
      </c>
      <c r="E51" s="14" t="n">
        <f>'Prognose'!W11</f>
        <v>10125</v>
      </c>
      <c r="F51" s="14" t="n">
        <f>'Prognose'!W26</f>
        <v>2929.270833333333</v>
      </c>
      <c r="G51" s="1"/>
      <c r="H51" s="1"/>
      <c r="I51" s="1"/>
      <c r="J51" s="1"/>
      <c r="K51" s="1"/>
      <c r="L51" s="1"/>
      <c r="M51" s="1"/>
      <c r="N51" s="1"/>
      <c r="O51" s="1"/>
      <c r="P51" s="1"/>
      <c r="Q51" s="1"/>
      <c r="R51" s="1"/>
      <c r="S51" s="1"/>
      <c r="T51" s="1"/>
      <c r="U51" s="1"/>
      <c r="V51" s="1"/>
      <c r="W51" s="1"/>
      <c r="X51" s="1"/>
      <c r="Y51" s="1"/>
      <c r="Z51" s="1"/>
      <c r="AA51" s="1"/>
      <c r="AB51" s="1"/>
      <c r="AC51" s="1"/>
      <c r="AD51" s="1"/>
      <c r="AE51" s="1"/>
    </row>
    <row r="52" ht="22" customHeight="1">
      <c r="A52" s="1"/>
      <c r="B52" s="1"/>
      <c r="C52" s="4" t="str">
        <f>CHOOSE(MONTH('Prognose'!X6),"jan","feb","mrt","apr","mei","jun","jul","aug","sep","okt","nov","dec")&amp;" "&amp;YEAR('Prognose'!X6)</f>
        <v>mei 2028</v>
      </c>
      <c r="D52" s="14" t="n">
        <f>'Prognose'!X57</f>
        <v>46840.70990740741</v>
      </c>
      <c r="E52" s="14" t="n">
        <f>'Prognose'!X11</f>
        <v>10125</v>
      </c>
      <c r="F52" s="14" t="n">
        <f>'Prognose'!X26</f>
        <v>2930.1388888888887</v>
      </c>
      <c r="G52" s="1"/>
      <c r="H52" s="1"/>
      <c r="I52" s="1"/>
      <c r="J52" s="1"/>
      <c r="K52" s="1"/>
      <c r="L52" s="1"/>
      <c r="M52" s="1"/>
      <c r="N52" s="1"/>
      <c r="O52" s="1"/>
      <c r="P52" s="1"/>
      <c r="Q52" s="1"/>
      <c r="R52" s="1"/>
      <c r="S52" s="1"/>
      <c r="T52" s="1"/>
      <c r="U52" s="1"/>
      <c r="V52" s="1"/>
      <c r="W52" s="1"/>
      <c r="X52" s="1"/>
      <c r="Y52" s="1"/>
      <c r="Z52" s="1"/>
      <c r="AA52" s="1"/>
      <c r="AB52" s="1"/>
      <c r="AC52" s="1"/>
      <c r="AD52" s="1"/>
      <c r="AE52" s="1"/>
    </row>
    <row r="53" ht="22" customHeight="1">
      <c r="A53" s="1"/>
      <c r="B53" s="1"/>
      <c r="C53" s="4" t="str">
        <f>CHOOSE(MONTH('Prognose'!Y6),"jan","feb","mrt","apr","mei","jun","jul","aug","sep","okt","nov","dec")&amp;" "&amp;YEAR('Prognose'!Y6)</f>
        <v>jun 2028</v>
      </c>
      <c r="D53" s="14" t="n">
        <f>'Prognose'!Y57</f>
        <v>49438.6725</v>
      </c>
      <c r="E53" s="14" t="n">
        <f>'Prognose'!Y11</f>
        <v>10125</v>
      </c>
      <c r="F53" s="14" t="n">
        <f>'Prognose'!Y26</f>
        <v>2931.0069444444443</v>
      </c>
      <c r="G53" s="1"/>
      <c r="H53" s="1"/>
      <c r="I53" s="1"/>
      <c r="J53" s="1"/>
      <c r="K53" s="1"/>
      <c r="L53" s="1"/>
      <c r="M53" s="1"/>
      <c r="N53" s="1"/>
      <c r="O53" s="1"/>
      <c r="P53" s="1"/>
      <c r="Q53" s="1"/>
      <c r="R53" s="1"/>
      <c r="S53" s="1"/>
      <c r="T53" s="1"/>
      <c r="U53" s="1"/>
      <c r="V53" s="1"/>
      <c r="W53" s="1"/>
      <c r="X53" s="1"/>
      <c r="Y53" s="1"/>
      <c r="Z53" s="1"/>
      <c r="AA53" s="1"/>
      <c r="AB53" s="1"/>
      <c r="AC53" s="1"/>
      <c r="AD53" s="1"/>
      <c r="AE53" s="1"/>
    </row>
    <row r="54" ht="22" customHeight="1">
      <c r="A54" s="1"/>
      <c r="B54" s="1"/>
      <c r="C54" s="4" t="str">
        <f>CHOOSE(MONTH('Prognose'!Z6),"jan","feb","mrt","apr","mei","jun","jul","aug","sep","okt","nov","dec")&amp;" "&amp;YEAR('Prognose'!Z6)</f>
        <v>jul 2028</v>
      </c>
      <c r="D54" s="14" t="n">
        <f>'Prognose'!Z57</f>
        <v>50024.32138888889</v>
      </c>
      <c r="E54" s="14" t="n">
        <f>'Prognose'!Z11</f>
        <v>10125</v>
      </c>
      <c r="F54" s="14" t="n">
        <f>'Prognose'!Z26</f>
        <v>2931.875</v>
      </c>
      <c r="G54" s="1"/>
      <c r="H54" s="1"/>
      <c r="I54" s="1"/>
      <c r="J54" s="1"/>
      <c r="K54" s="1"/>
      <c r="L54" s="1"/>
      <c r="M54" s="1"/>
      <c r="N54" s="1"/>
      <c r="O54" s="1"/>
      <c r="P54" s="1"/>
      <c r="Q54" s="1"/>
      <c r="R54" s="1"/>
      <c r="S54" s="1"/>
      <c r="T54" s="1"/>
      <c r="U54" s="1"/>
      <c r="V54" s="1"/>
      <c r="W54" s="1"/>
      <c r="X54" s="1"/>
      <c r="Y54" s="1"/>
      <c r="Z54" s="1"/>
      <c r="AA54" s="1"/>
      <c r="AB54" s="1"/>
      <c r="AC54" s="1"/>
      <c r="AD54" s="1"/>
      <c r="AE54" s="1"/>
    </row>
    <row r="55" ht="22" customHeight="1">
      <c r="A55" s="1"/>
      <c r="B55" s="1"/>
      <c r="C55" s="4" t="str">
        <f>CHOOSE(MONTH('Prognose'!AA6),"jan","feb","mrt","apr","mei","jun","jul","aug","sep","okt","nov","dec")&amp;" "&amp;YEAR('Prognose'!AA6)</f>
        <v>aug 2028</v>
      </c>
      <c r="D55" s="14" t="n">
        <f>'Prognose'!AA57</f>
        <v>55554.73768518519</v>
      </c>
      <c r="E55" s="14" t="n">
        <f>'Prognose'!AA11</f>
        <v>10125</v>
      </c>
      <c r="F55" s="14" t="n">
        <f>'Prognose'!AA26</f>
        <v>2932.7430555555557</v>
      </c>
      <c r="G55" s="1"/>
      <c r="H55" s="1"/>
      <c r="I55" s="1"/>
      <c r="J55" s="1"/>
      <c r="K55" s="1"/>
      <c r="L55" s="1"/>
      <c r="M55" s="1"/>
      <c r="N55" s="1"/>
      <c r="O55" s="1"/>
      <c r="P55" s="1"/>
      <c r="Q55" s="1"/>
      <c r="R55" s="1"/>
      <c r="S55" s="1"/>
      <c r="T55" s="1"/>
      <c r="U55" s="1"/>
      <c r="V55" s="1"/>
      <c r="W55" s="1"/>
      <c r="X55" s="1"/>
      <c r="Y55" s="1"/>
      <c r="Z55" s="1"/>
      <c r="AA55" s="1"/>
      <c r="AB55" s="1"/>
      <c r="AC55" s="1"/>
      <c r="AD55" s="1"/>
      <c r="AE55" s="1"/>
    </row>
    <row r="56">
      <c r="C56" s="46" t="str">
        <f>CHOOSE(MONTH('Prognose'!AB6),"jan","feb","mrt","apr","mei","jun","jul","aug","sep","okt","nov","dec")&amp;" "&amp;YEAR('Prognose'!AB6)</f>
        <v>sep 2028</v>
      </c>
      <c r="D56" s="48" t="n">
        <f>'Prognose'!AB57</f>
        <v>58153.568333333336</v>
      </c>
      <c r="E56" s="48" t="n">
        <f>'Prognose'!AB11</f>
        <v>10125</v>
      </c>
      <c r="F56" s="48" t="n">
        <f>'Prognose'!AB26</f>
        <v>2933.611111111111</v>
      </c>
    </row>
    <row r="57">
      <c r="C57" s="46" t="str">
        <f>CHOOSE(MONTH('Prognose'!AC6),"jan","feb","mrt","apr","mei","jun","jul","aug","sep","okt","nov","dec")&amp;" "&amp;YEAR('Prognose'!AC6)</f>
        <v>okt 2028</v>
      </c>
      <c r="D57" s="48" t="n">
        <f>'Prognose'!AC57</f>
        <v>58742.68944444445</v>
      </c>
      <c r="E57" s="48" t="n">
        <f>'Prognose'!AC11</f>
        <v>10125</v>
      </c>
      <c r="F57" s="48" t="n">
        <f>'Prognose'!AC26</f>
        <v>2934.4791666666665</v>
      </c>
    </row>
    <row r="58">
      <c r="C58" s="46" t="str">
        <f>CHOOSE(MONTH('Prognose'!AD6),"jan","feb","mrt","apr","mei","jun","jul","aug","sep","okt","nov","dec")&amp;" "&amp;YEAR('Prognose'!AD6)</f>
        <v>nov 2028</v>
      </c>
      <c r="D58" s="48" t="n">
        <f>'Prognose'!AD57</f>
        <v>64276.57796296297</v>
      </c>
      <c r="E58" s="48" t="n">
        <f>'Prognose'!AD11</f>
        <v>10125</v>
      </c>
      <c r="F58" s="48" t="n">
        <f>'Prognose'!AD26</f>
        <v>2935.347222222222</v>
      </c>
    </row>
    <row r="59">
      <c r="C59" s="46" t="str">
        <f>CHOOSE(MONTH('Prognose'!AE6),"jan","feb","mrt","apr","mei","jun","jul","aug","sep","okt","nov","dec")&amp;" "&amp;YEAR('Prognose'!AE6)</f>
        <v>dec 2028</v>
      </c>
      <c r="D59" s="48" t="n">
        <f>'Prognose'!AE57</f>
        <v>66876.27666666667</v>
      </c>
      <c r="E59" s="48" t="n">
        <f>'Prognose'!AE11</f>
        <v>10125</v>
      </c>
      <c r="F59" s="48" t="n">
        <f>'Prognose'!AE26</f>
        <v>2936.2152777777774</v>
      </c>
    </row>
  </sheetData>
  <sheetProtection sheet="1" objects="1" scenarios="1" selectLockedCells="0" selectUnlockedCells="0"/>
  <mergeCells>
    <mergeCell ref="C5:M5"/>
    <mergeCell ref="E24:H24"/>
    <mergeCell ref="E32:H32"/>
  </mergeCells>
  <conditionalFormatting sqref="E21:E22">
    <cfRule type="cellIs" dxfId="1" priority="1" operator="greaterThan">
      <formula>0</formula>
    </cfRule>
  </conditionalFormatting>
  <pageMargins left="0.7" right="0.7" top="0.75" bottom="0.75" header="0.3" footer="0.3"/>
  <drawing ns1:id="Rc6420e19707e4738"/>
</worksheet>
</file>

<file path=xl/worksheets/sheet2.xml><?xml version="1.0" encoding="utf-8"?>
<worksheet xmlns="http://schemas.openxmlformats.org/spreadsheetml/2006/main">
  <sheetPr>
    <tabColor rgb="FF074373"/>
  </sheetPr>
  <sheetViews>
    <sheetView showGridLines="0" workbookViewId="0">
      <pane ySplit="8" topLeftCell="A9" activePane="bottomLeft" state="frozen"/>
    </sheetView>
  </sheetViews>
  <sheetFormatPr defaultRowHeight="15"/>
  <cols>
    <col min="1" max="1" width="2" hidden="0" customWidth="1"/>
    <col min="2" max="2" width="2" hidden="0" customWidth="1"/>
    <col min="3" max="3" width="41" hidden="0" customWidth="1"/>
    <col min="4" max="4" width="10" hidden="0" customWidth="1"/>
    <col min="5" max="5" width="16" hidden="0" customWidth="1"/>
    <col min="6" max="6" width="16" hidden="0" customWidth="1"/>
    <col min="7" max="7" width="3" hidden="0" customWidth="1"/>
    <col min="8" max="8" width="15" hidden="0" customWidth="1"/>
    <col min="9" max="9" width="15" hidden="0" customWidth="1"/>
    <col min="10" max="10" width="15" hidden="0" customWidth="1"/>
    <col min="11" max="11" width="15" hidden="0" customWidth="1"/>
    <col min="12" max="12" width="15" hidden="0" customWidth="1"/>
    <col min="13" max="13" width="15" hidden="0" customWidth="1"/>
    <col min="14" max="14" width="15" hidden="0" customWidth="1"/>
    <col min="15" max="15" width="15" hidden="0" customWidth="1"/>
    <col min="16" max="16" width="15" hidden="0" customWidth="1"/>
    <col min="17" max="17" width="15" hidden="0" customWidth="1"/>
    <col min="18" max="18" width="15" hidden="0" customWidth="1"/>
    <col min="19" max="19" width="15" hidden="0" customWidth="1"/>
    <col min="20" max="20" width="15" hidden="0" customWidth="1"/>
    <col min="21" max="21" width="15" hidden="0" customWidth="1"/>
    <col min="22" max="22" width="15" hidden="0" customWidth="1"/>
    <col min="23" max="23" width="15" hidden="0" customWidth="1"/>
    <col min="24" max="24" width="15" hidden="0" customWidth="1"/>
    <col min="25" max="25" width="15" hidden="0" customWidth="1"/>
    <col min="26" max="26" width="15" hidden="0" customWidth="1"/>
    <col min="27" max="27" width="15" hidden="0" customWidth="1"/>
    <col min="28" max="28" width="15" hidden="0" customWidth="1"/>
    <col min="29" max="29" width="15" hidden="0" customWidth="1"/>
    <col min="30" max="30" width="15" hidden="0" customWidth="1"/>
    <col min="31" max="31" width="15" hidden="0" customWidth="1"/>
  </cols>
  <sheetData>
    <row r="1" ht="22"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ht="28" customHeight="1">
      <c r="A2" s="1"/>
      <c r="B2" s="1"/>
      <c r="C2" s="2" t="str">
        <v>Jouw aannames</v>
      </c>
      <c r="D2" s="2"/>
      <c r="E2" s="2"/>
      <c r="F2" s="2"/>
      <c r="G2" s="2"/>
      <c r="H2" s="2"/>
      <c r="I2" s="2"/>
      <c r="J2" s="2"/>
      <c r="K2" s="2"/>
      <c r="L2" s="2"/>
      <c r="M2" s="2"/>
      <c r="N2" s="1"/>
      <c r="O2" s="1"/>
      <c r="P2" s="1"/>
      <c r="Q2" s="1"/>
      <c r="R2" s="1"/>
      <c r="S2" s="1"/>
      <c r="T2" s="1"/>
      <c r="U2" s="1"/>
      <c r="V2" s="1"/>
      <c r="W2" s="1"/>
      <c r="X2" s="1"/>
      <c r="Y2" s="1"/>
      <c r="Z2" s="1"/>
      <c r="AA2" s="1"/>
      <c r="AB2" s="1"/>
      <c r="AC2" s="1"/>
      <c r="AD2" s="1"/>
      <c r="AE2" s="1"/>
    </row>
    <row r="3" ht="22" customHeight="1">
      <c r="A3" s="1"/>
      <c r="B3" s="1"/>
      <c r="C3" s="3"/>
      <c r="D3" s="3"/>
      <c r="E3" s="3"/>
      <c r="F3" s="3"/>
      <c r="G3" s="3"/>
      <c r="H3" s="3"/>
      <c r="I3" s="3"/>
      <c r="J3" s="3"/>
      <c r="K3" s="3"/>
      <c r="L3" s="3"/>
      <c r="M3" s="3"/>
      <c r="N3" s="1"/>
      <c r="O3" s="1"/>
      <c r="P3" s="1"/>
      <c r="Q3" s="1"/>
      <c r="R3" s="1"/>
      <c r="S3" s="1"/>
      <c r="T3" s="1"/>
      <c r="U3" s="1"/>
      <c r="V3" s="1"/>
      <c r="W3" s="1"/>
      <c r="X3" s="1"/>
      <c r="Y3" s="1"/>
      <c r="Z3" s="1"/>
      <c r="AA3" s="1"/>
      <c r="AB3" s="1"/>
      <c r="AC3" s="1"/>
      <c r="AD3" s="1"/>
      <c r="AE3" s="1"/>
    </row>
    <row r="4" ht="22" customHeight="1">
      <c r="A4" s="1"/>
      <c r="B4" s="1"/>
      <c r="C4" s="1" t="str">
        <v>Actief scenario</v>
      </c>
      <c r="D4" s="1"/>
      <c r="E4" s="51" t="str">
        <v>Basis</v>
      </c>
      <c r="F4" s="6"/>
      <c r="G4" s="1"/>
      <c r="H4" s="1"/>
      <c r="I4" s="1"/>
      <c r="J4" s="1"/>
      <c r="K4" s="1"/>
      <c r="L4" s="1"/>
      <c r="M4" s="1"/>
      <c r="N4" s="1"/>
      <c r="O4" s="1"/>
      <c r="P4" s="1"/>
      <c r="Q4" s="1"/>
      <c r="R4" s="1"/>
      <c r="S4" s="1"/>
      <c r="T4" s="1"/>
      <c r="U4" s="1"/>
      <c r="V4" s="1"/>
      <c r="W4" s="1"/>
      <c r="X4" s="1"/>
      <c r="Y4" s="1"/>
      <c r="Z4" s="1"/>
      <c r="AA4" s="1"/>
      <c r="AB4" s="1"/>
      <c r="AC4" s="1"/>
      <c r="AD4" s="1"/>
      <c r="AE4" s="1"/>
    </row>
    <row r="5" ht="22" customHeight="1">
      <c r="A5" s="1"/>
      <c r="B5" s="1"/>
      <c r="C5" s="1" t="str">
        <v>Startmaand</v>
      </c>
      <c r="D5" s="1"/>
      <c r="E5" s="52" t="d">
        <v>2027-01-01T00:00:00.000Z</v>
      </c>
      <c r="F5" s="1"/>
      <c r="G5" s="1"/>
      <c r="H5" s="1"/>
      <c r="I5" s="1"/>
      <c r="J5" s="1"/>
      <c r="K5" s="1"/>
      <c r="L5" s="1"/>
      <c r="M5" s="1"/>
      <c r="N5" s="1"/>
      <c r="O5" s="1"/>
      <c r="P5" s="1"/>
      <c r="Q5" s="1"/>
      <c r="R5" s="1"/>
      <c r="S5" s="1"/>
      <c r="T5" s="1"/>
      <c r="U5" s="1"/>
      <c r="V5" s="1"/>
      <c r="W5" s="1"/>
      <c r="X5" s="1"/>
      <c r="Y5" s="1"/>
      <c r="Z5" s="1"/>
      <c r="AA5" s="1"/>
      <c r="AB5" s="1"/>
      <c r="AC5" s="1"/>
      <c r="AD5" s="1"/>
      <c r="AE5" s="1"/>
    </row>
    <row r="6" ht="22" customHeight="1">
      <c r="A6" s="1"/>
      <c r="B6" s="1"/>
      <c r="C6" s="1" t="str">
        <v>Onderneming</v>
      </c>
      <c r="D6" s="1"/>
      <c r="E6" s="53" t="str">
        <v>Voorbeeld Advies BV (fictief)</v>
      </c>
      <c r="F6" s="8"/>
      <c r="G6" s="8"/>
      <c r="H6" s="8"/>
      <c r="I6" s="8"/>
      <c r="J6" s="8"/>
      <c r="K6" s="1"/>
      <c r="L6" s="1"/>
      <c r="M6" s="1"/>
      <c r="N6" s="1"/>
      <c r="O6" s="1"/>
      <c r="P6" s="1"/>
      <c r="Q6" s="1"/>
      <c r="R6" s="1"/>
      <c r="S6" s="1"/>
      <c r="T6" s="1"/>
      <c r="U6" s="1"/>
      <c r="V6" s="1"/>
      <c r="W6" s="1"/>
      <c r="X6" s="1"/>
      <c r="Y6" s="1"/>
      <c r="Z6" s="1"/>
      <c r="AA6" s="1"/>
      <c r="AB6" s="1"/>
      <c r="AC6" s="1"/>
      <c r="AD6" s="1"/>
      <c r="AE6" s="1"/>
    </row>
    <row r="7" ht="22" customHeigh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row>
    <row r="8" ht="22" customHeight="1">
      <c r="A8" s="1"/>
      <c r="B8" s="1"/>
      <c r="C8" s="10" t="str">
        <v>Aannames per jaar</v>
      </c>
      <c r="D8" s="10" t="str"/>
      <c r="E8" s="10" t="str">
        <v>Jaar 1</v>
      </c>
      <c r="F8" s="10" t="str">
        <v>Jaar 2</v>
      </c>
      <c r="G8" s="1"/>
      <c r="H8" s="1"/>
      <c r="I8" s="1"/>
      <c r="J8" s="1"/>
      <c r="K8" s="1"/>
      <c r="L8" s="1"/>
      <c r="M8" s="1"/>
      <c r="N8" s="1"/>
      <c r="O8" s="1"/>
      <c r="P8" s="1"/>
      <c r="Q8" s="1"/>
      <c r="R8" s="1"/>
      <c r="S8" s="1"/>
      <c r="T8" s="1"/>
      <c r="U8" s="1"/>
      <c r="V8" s="1"/>
      <c r="W8" s="1"/>
      <c r="X8" s="1"/>
      <c r="Y8" s="1"/>
      <c r="Z8" s="1"/>
      <c r="AA8" s="1"/>
      <c r="AB8" s="1"/>
      <c r="AC8" s="1"/>
      <c r="AD8" s="1"/>
      <c r="AE8" s="1"/>
    </row>
    <row r="9" ht="22"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row>
    <row r="10" ht="34" customHeight="1">
      <c r="A10" s="1"/>
      <c r="B10" s="1"/>
      <c r="C10" s="11" t="str">
        <v>Factureerbare dagen / maand</v>
      </c>
      <c r="D10" s="11" t="str">
        <v>dagen</v>
      </c>
      <c r="E10" s="13" t="n">
        <f>IF($E$4="Basis",IF(ISNUMBER(E11),E11,NA()),IF($E$4="Tegenvaller",IF(ISNUMBER(E12),E12,NA()),IF($E$4="Groei",IF(ISNUMBER(E13),E13,NA()),NA())))</f>
        <v>13</v>
      </c>
      <c r="F10" s="13" t="n">
        <f>IF($E$4="Basis",IF(ISNUMBER(F11),F11,NA()),IF($E$4="Tegenvaller",IF(ISNUMBER(F12),F12,NA()),IF($E$4="Groei",IF(ISNUMBER(F13),F13,NA()),NA())))</f>
        <v>15</v>
      </c>
      <c r="G10" s="1"/>
      <c r="H10" s="12" t="str">
        <v>Fictieve inzet. Houd rekening met vakantie, verkoop en administratie.</v>
      </c>
      <c r="I10" s="1"/>
      <c r="J10" s="1"/>
      <c r="K10" s="1"/>
      <c r="L10" s="1"/>
      <c r="M10" s="1"/>
      <c r="N10" s="1"/>
      <c r="O10" s="1"/>
      <c r="P10" s="1"/>
      <c r="Q10" s="1"/>
      <c r="R10" s="1"/>
      <c r="S10" s="1"/>
      <c r="T10" s="1"/>
      <c r="U10" s="1"/>
      <c r="V10" s="1"/>
      <c r="W10" s="1"/>
      <c r="X10" s="1"/>
      <c r="Y10" s="1"/>
      <c r="Z10" s="1"/>
      <c r="AA10" s="1"/>
      <c r="AB10" s="1"/>
      <c r="AC10" s="1"/>
      <c r="AD10" s="1"/>
      <c r="AE10" s="1"/>
    </row>
    <row r="11" ht="22" customHeight="1">
      <c r="A11" s="1"/>
      <c r="B11" s="1"/>
      <c r="C11" s="1" t="str">
        <v>Basis</v>
      </c>
      <c r="D11" s="1"/>
      <c r="E11" s="54" t="n">
        <v>13</v>
      </c>
      <c r="F11" s="54" t="n">
        <v>15</v>
      </c>
      <c r="G11" s="1"/>
      <c r="H11" s="1"/>
      <c r="I11" s="1"/>
      <c r="J11" s="1"/>
      <c r="K11" s="1"/>
      <c r="L11" s="1"/>
      <c r="M11" s="1"/>
      <c r="N11" s="1"/>
      <c r="O11" s="1"/>
      <c r="P11" s="1"/>
      <c r="Q11" s="1"/>
      <c r="R11" s="1"/>
      <c r="S11" s="1"/>
      <c r="T11" s="1"/>
      <c r="U11" s="1"/>
      <c r="V11" s="1"/>
      <c r="W11" s="1"/>
      <c r="X11" s="1"/>
      <c r="Y11" s="1"/>
      <c r="Z11" s="1"/>
      <c r="AA11" s="1"/>
      <c r="AB11" s="1"/>
      <c r="AC11" s="1"/>
      <c r="AD11" s="1"/>
      <c r="AE11" s="1"/>
    </row>
    <row r="12" ht="22" customHeight="1">
      <c r="A12" s="1"/>
      <c r="B12" s="1"/>
      <c r="C12" s="1" t="str">
        <v>Tegenvaller</v>
      </c>
      <c r="D12" s="1"/>
      <c r="E12" s="54" t="n">
        <v>8</v>
      </c>
      <c r="F12" s="54" t="n">
        <v>10</v>
      </c>
      <c r="G12" s="1"/>
      <c r="H12" s="1"/>
      <c r="I12" s="1"/>
      <c r="J12" s="1"/>
      <c r="K12" s="1"/>
      <c r="L12" s="1"/>
      <c r="M12" s="1"/>
      <c r="N12" s="1"/>
      <c r="O12" s="1"/>
      <c r="P12" s="1"/>
      <c r="Q12" s="1"/>
      <c r="R12" s="1"/>
      <c r="S12" s="1"/>
      <c r="T12" s="1"/>
      <c r="U12" s="1"/>
      <c r="V12" s="1"/>
      <c r="W12" s="1"/>
      <c r="X12" s="1"/>
      <c r="Y12" s="1"/>
      <c r="Z12" s="1"/>
      <c r="AA12" s="1"/>
      <c r="AB12" s="1"/>
      <c r="AC12" s="1"/>
      <c r="AD12" s="1"/>
      <c r="AE12" s="1"/>
    </row>
    <row r="13" ht="22" customHeight="1">
      <c r="A13" s="1"/>
      <c r="B13" s="1"/>
      <c r="C13" s="1" t="str">
        <v>Groei</v>
      </c>
      <c r="D13" s="1"/>
      <c r="E13" s="54" t="n">
        <v>16</v>
      </c>
      <c r="F13" s="54" t="n">
        <v>18</v>
      </c>
      <c r="G13" s="1"/>
      <c r="H13" s="1"/>
      <c r="I13" s="1"/>
      <c r="J13" s="1"/>
      <c r="K13" s="1"/>
      <c r="L13" s="1"/>
      <c r="M13" s="1"/>
      <c r="N13" s="1"/>
      <c r="O13" s="1"/>
      <c r="P13" s="1"/>
      <c r="Q13" s="1"/>
      <c r="R13" s="1"/>
      <c r="S13" s="1"/>
      <c r="T13" s="1"/>
      <c r="U13" s="1"/>
      <c r="V13" s="1"/>
      <c r="W13" s="1"/>
      <c r="X13" s="1"/>
      <c r="Y13" s="1"/>
      <c r="Z13" s="1"/>
      <c r="AA13" s="1"/>
      <c r="AB13" s="1"/>
      <c r="AC13" s="1"/>
      <c r="AD13" s="1"/>
      <c r="AE13" s="1"/>
    </row>
    <row r="14" ht="22"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ht="34" customHeight="1">
      <c r="A15" s="1"/>
      <c r="B15" s="1"/>
      <c r="C15" s="11" t="str">
        <v>Dagtarief excl. btw</v>
      </c>
      <c r="D15" s="11" t="str">
        <v>EUR</v>
      </c>
      <c r="E15" s="13" t="n">
        <f>IF($E$4="Basis",IF(ISNUMBER(E16),E16,NA()),IF($E$4="Tegenvaller",IF(ISNUMBER(E17),E17,NA()),IF($E$4="Groei",IF(ISNUMBER(E18),E18,NA()),NA())))</f>
        <v>650</v>
      </c>
      <c r="F15" s="13" t="n">
        <f>IF($E$4="Basis",IF(ISNUMBER(F16),F16,NA()),IF($E$4="Tegenvaller",IF(ISNUMBER(F17),F17,NA()),IF($E$4="Groei",IF(ISNUMBER(F18),F18,NA()),NA())))</f>
        <v>675</v>
      </c>
      <c r="G15" s="1"/>
      <c r="H15" s="12" t="str">
        <v>Voorbeeldprijs; onderbouw met offertes, contracten en marktonderzoek.</v>
      </c>
      <c r="I15" s="1"/>
      <c r="J15" s="1"/>
      <c r="K15" s="1"/>
      <c r="L15" s="1"/>
      <c r="M15" s="1"/>
      <c r="N15" s="1"/>
      <c r="O15" s="1"/>
      <c r="P15" s="1"/>
      <c r="Q15" s="1"/>
      <c r="R15" s="1"/>
      <c r="S15" s="1"/>
      <c r="T15" s="1"/>
      <c r="U15" s="1"/>
      <c r="V15" s="1"/>
      <c r="W15" s="1"/>
      <c r="X15" s="1"/>
      <c r="Y15" s="1"/>
      <c r="Z15" s="1"/>
      <c r="AA15" s="1"/>
      <c r="AB15" s="1"/>
      <c r="AC15" s="1"/>
      <c r="AD15" s="1"/>
      <c r="AE15" s="1"/>
    </row>
    <row r="16" ht="22" customHeight="1">
      <c r="A16" s="1"/>
      <c r="B16" s="1"/>
      <c r="C16" s="1" t="str">
        <v>Basis</v>
      </c>
      <c r="D16" s="1"/>
      <c r="E16" s="54" t="n">
        <v>650</v>
      </c>
      <c r="F16" s="54" t="n">
        <v>675</v>
      </c>
      <c r="G16" s="1"/>
      <c r="H16" s="1"/>
      <c r="I16" s="1"/>
      <c r="J16" s="1"/>
      <c r="K16" s="1"/>
      <c r="L16" s="1"/>
      <c r="M16" s="1"/>
      <c r="N16" s="1"/>
      <c r="O16" s="1"/>
      <c r="P16" s="1"/>
      <c r="Q16" s="1"/>
      <c r="R16" s="1"/>
      <c r="S16" s="1"/>
      <c r="T16" s="1"/>
      <c r="U16" s="1"/>
      <c r="V16" s="1"/>
      <c r="W16" s="1"/>
      <c r="X16" s="1"/>
      <c r="Y16" s="1"/>
      <c r="Z16" s="1"/>
      <c r="AA16" s="1"/>
      <c r="AB16" s="1"/>
      <c r="AC16" s="1"/>
      <c r="AD16" s="1"/>
      <c r="AE16" s="1"/>
    </row>
    <row r="17" ht="22" customHeight="1">
      <c r="A17" s="1"/>
      <c r="B17" s="1"/>
      <c r="C17" s="1" t="str">
        <v>Tegenvaller</v>
      </c>
      <c r="D17" s="1"/>
      <c r="E17" s="54" t="n">
        <v>650</v>
      </c>
      <c r="F17" s="54" t="n">
        <v>650</v>
      </c>
      <c r="G17" s="1"/>
      <c r="H17" s="1"/>
      <c r="I17" s="1"/>
      <c r="J17" s="1"/>
      <c r="K17" s="1"/>
      <c r="L17" s="1"/>
      <c r="M17" s="1"/>
      <c r="N17" s="1"/>
      <c r="O17" s="1"/>
      <c r="P17" s="1"/>
      <c r="Q17" s="1"/>
      <c r="R17" s="1"/>
      <c r="S17" s="1"/>
      <c r="T17" s="1"/>
      <c r="U17" s="1"/>
      <c r="V17" s="1"/>
      <c r="W17" s="1"/>
      <c r="X17" s="1"/>
      <c r="Y17" s="1"/>
      <c r="Z17" s="1"/>
      <c r="AA17" s="1"/>
      <c r="AB17" s="1"/>
      <c r="AC17" s="1"/>
      <c r="AD17" s="1"/>
      <c r="AE17" s="1"/>
    </row>
    <row r="18" ht="22" customHeight="1">
      <c r="A18" s="1"/>
      <c r="B18" s="1"/>
      <c r="C18" s="1" t="str">
        <v>Groei</v>
      </c>
      <c r="D18" s="1"/>
      <c r="E18" s="54" t="n">
        <v>650</v>
      </c>
      <c r="F18" s="54" t="n">
        <v>675</v>
      </c>
      <c r="G18" s="1"/>
      <c r="H18" s="1"/>
      <c r="I18" s="1"/>
      <c r="J18" s="1"/>
      <c r="K18" s="1"/>
      <c r="L18" s="1"/>
      <c r="M18" s="1"/>
      <c r="N18" s="1"/>
      <c r="O18" s="1"/>
      <c r="P18" s="1"/>
      <c r="Q18" s="1"/>
      <c r="R18" s="1"/>
      <c r="S18" s="1"/>
      <c r="T18" s="1"/>
      <c r="U18" s="1"/>
      <c r="V18" s="1"/>
      <c r="W18" s="1"/>
      <c r="X18" s="1"/>
      <c r="Y18" s="1"/>
      <c r="Z18" s="1"/>
      <c r="AA18" s="1"/>
      <c r="AB18" s="1"/>
      <c r="AC18" s="1"/>
      <c r="AD18" s="1"/>
      <c r="AE18" s="1"/>
    </row>
    <row r="19" ht="22"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row>
    <row r="20" ht="34" customHeight="1">
      <c r="A20" s="1"/>
      <c r="B20" s="1"/>
      <c r="C20" s="11" t="str">
        <v>Directe kosten / omzet</v>
      </c>
      <c r="D20" s="11" t="str">
        <v>%</v>
      </c>
      <c r="E20" s="15" t="n">
        <f>IF($E$4="Basis",IF(ISNUMBER(E21),E21,NA()),IF($E$4="Tegenvaller",IF(ISNUMBER(E22),E22,NA()),IF($E$4="Groei",IF(ISNUMBER(E23),E23,NA()),NA())))</f>
        <v>0.08</v>
      </c>
      <c r="F20" s="15" t="n">
        <f>IF($E$4="Basis",IF(ISNUMBER(F21),F21,NA()),IF($E$4="Tegenvaller",IF(ISNUMBER(F22),F22,NA()),IF($E$4="Groei",IF(ISNUMBER(F23),F23,NA()),NA())))</f>
        <v>0.08</v>
      </c>
      <c r="G20" s="1"/>
      <c r="H20" s="12" t="str">
        <v>Ingekochte projecthulp en materialen, betaald in dezelfde maand.</v>
      </c>
      <c r="I20" s="1"/>
      <c r="J20" s="1"/>
      <c r="K20" s="1"/>
      <c r="L20" s="1"/>
      <c r="M20" s="1"/>
      <c r="N20" s="1"/>
      <c r="O20" s="1"/>
      <c r="P20" s="1"/>
      <c r="Q20" s="1"/>
      <c r="R20" s="1"/>
      <c r="S20" s="1"/>
      <c r="T20" s="1"/>
      <c r="U20" s="1"/>
      <c r="V20" s="1"/>
      <c r="W20" s="1"/>
      <c r="X20" s="1"/>
      <c r="Y20" s="1"/>
      <c r="Z20" s="1"/>
      <c r="AA20" s="1"/>
      <c r="AB20" s="1"/>
      <c r="AC20" s="1"/>
      <c r="AD20" s="1"/>
      <c r="AE20" s="1"/>
    </row>
    <row r="21" ht="22" customHeight="1">
      <c r="A21" s="1"/>
      <c r="B21" s="1"/>
      <c r="C21" s="1" t="str">
        <v>Basis</v>
      </c>
      <c r="D21" s="1"/>
      <c r="E21" s="55" t="n">
        <v>0.08</v>
      </c>
      <c r="F21" s="55" t="n">
        <v>0.08</v>
      </c>
      <c r="G21" s="1"/>
      <c r="H21" s="1"/>
      <c r="I21" s="1"/>
      <c r="J21" s="1"/>
      <c r="K21" s="1"/>
      <c r="L21" s="1"/>
      <c r="M21" s="1"/>
      <c r="N21" s="1"/>
      <c r="O21" s="1"/>
      <c r="P21" s="1"/>
      <c r="Q21" s="1"/>
      <c r="R21" s="1"/>
      <c r="S21" s="1"/>
      <c r="T21" s="1"/>
      <c r="U21" s="1"/>
      <c r="V21" s="1"/>
      <c r="W21" s="1"/>
      <c r="X21" s="1"/>
      <c r="Y21" s="1"/>
      <c r="Z21" s="1"/>
      <c r="AA21" s="1"/>
      <c r="AB21" s="1"/>
      <c r="AC21" s="1"/>
      <c r="AD21" s="1"/>
      <c r="AE21" s="1"/>
    </row>
    <row r="22" ht="22" customHeight="1">
      <c r="A22" s="1"/>
      <c r="B22" s="1"/>
      <c r="C22" s="1" t="str">
        <v>Tegenvaller</v>
      </c>
      <c r="D22" s="1"/>
      <c r="E22" s="55" t="n">
        <v>0.08</v>
      </c>
      <c r="F22" s="55" t="n">
        <v>0.08</v>
      </c>
      <c r="G22" s="1"/>
      <c r="H22" s="1"/>
      <c r="I22" s="1"/>
      <c r="J22" s="1"/>
      <c r="K22" s="1"/>
      <c r="L22" s="1"/>
      <c r="M22" s="1"/>
      <c r="N22" s="1"/>
      <c r="O22" s="1"/>
      <c r="P22" s="1"/>
      <c r="Q22" s="1"/>
      <c r="R22" s="1"/>
      <c r="S22" s="1"/>
      <c r="T22" s="1"/>
      <c r="U22" s="1"/>
      <c r="V22" s="1"/>
      <c r="W22" s="1"/>
      <c r="X22" s="1"/>
      <c r="Y22" s="1"/>
      <c r="Z22" s="1"/>
      <c r="AA22" s="1"/>
      <c r="AB22" s="1"/>
      <c r="AC22" s="1"/>
      <c r="AD22" s="1"/>
      <c r="AE22" s="1"/>
    </row>
    <row r="23" ht="22" customHeight="1">
      <c r="A23" s="1"/>
      <c r="B23" s="1"/>
      <c r="C23" s="1" t="str">
        <v>Groei</v>
      </c>
      <c r="D23" s="1"/>
      <c r="E23" s="55" t="n">
        <v>0.1</v>
      </c>
      <c r="F23" s="55" t="n">
        <v>0.1</v>
      </c>
      <c r="G23" s="1"/>
      <c r="H23" s="1"/>
      <c r="I23" s="1"/>
      <c r="J23" s="1"/>
      <c r="K23" s="1"/>
      <c r="L23" s="1"/>
      <c r="M23" s="1"/>
      <c r="N23" s="1"/>
      <c r="O23" s="1"/>
      <c r="P23" s="1"/>
      <c r="Q23" s="1"/>
      <c r="R23" s="1"/>
      <c r="S23" s="1"/>
      <c r="T23" s="1"/>
      <c r="U23" s="1"/>
      <c r="V23" s="1"/>
      <c r="W23" s="1"/>
      <c r="X23" s="1"/>
      <c r="Y23" s="1"/>
      <c r="Z23" s="1"/>
      <c r="AA23" s="1"/>
      <c r="AB23" s="1"/>
      <c r="AC23" s="1"/>
      <c r="AD23" s="1"/>
      <c r="AE23" s="1"/>
    </row>
    <row r="24" ht="22"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row>
    <row r="25" ht="34" customHeight="1">
      <c r="A25" s="1"/>
      <c r="B25" s="1"/>
      <c r="C25" s="11" t="str">
        <v>Vaste bedrijfskosten / maand</v>
      </c>
      <c r="D25" s="11" t="str">
        <v>EUR</v>
      </c>
      <c r="E25" s="13" t="n">
        <f>IF($E$4="Basis",IF(ISNUMBER(E26),E26,NA()),IF($E$4="Tegenvaller",IF(ISNUMBER(E27),E27,NA()),IF($E$4="Groei",IF(ISNUMBER(E28),E28,NA()),NA())))</f>
        <v>1650</v>
      </c>
      <c r="F25" s="13" t="n">
        <f>IF($E$4="Basis",IF(ISNUMBER(F26),F26,NA()),IF($E$4="Tegenvaller",IF(ISNUMBER(F27),F27,NA()),IF($E$4="Groei",IF(ISNUMBER(F28),F28,NA()),NA())))</f>
        <v>1835</v>
      </c>
      <c r="G25" s="1"/>
      <c r="H25" s="12" t="str">
        <v>Huur, software, accountant, verzekering, marketing en overige kosten.</v>
      </c>
      <c r="I25" s="1"/>
      <c r="J25" s="1"/>
      <c r="K25" s="1"/>
      <c r="L25" s="1"/>
      <c r="M25" s="1"/>
      <c r="N25" s="1"/>
      <c r="O25" s="1"/>
      <c r="P25" s="1"/>
      <c r="Q25" s="1"/>
      <c r="R25" s="1"/>
      <c r="S25" s="1"/>
      <c r="T25" s="1"/>
      <c r="U25" s="1"/>
      <c r="V25" s="1"/>
      <c r="W25" s="1"/>
      <c r="X25" s="1"/>
      <c r="Y25" s="1"/>
      <c r="Z25" s="1"/>
      <c r="AA25" s="1"/>
      <c r="AB25" s="1"/>
      <c r="AC25" s="1"/>
      <c r="AD25" s="1"/>
      <c r="AE25" s="1"/>
    </row>
    <row r="26" ht="22" customHeight="1">
      <c r="A26" s="1"/>
      <c r="B26" s="1"/>
      <c r="C26" s="1" t="str">
        <v>Basis</v>
      </c>
      <c r="D26" s="1"/>
      <c r="E26" s="54" t="n">
        <v>1650</v>
      </c>
      <c r="F26" s="54" t="n">
        <v>1835</v>
      </c>
      <c r="G26" s="1"/>
      <c r="H26" s="1"/>
      <c r="I26" s="1"/>
      <c r="J26" s="1"/>
      <c r="K26" s="1"/>
      <c r="L26" s="1"/>
      <c r="M26" s="1"/>
      <c r="N26" s="1"/>
      <c r="O26" s="1"/>
      <c r="P26" s="1"/>
      <c r="Q26" s="1"/>
      <c r="R26" s="1"/>
      <c r="S26" s="1"/>
      <c r="T26" s="1"/>
      <c r="U26" s="1"/>
      <c r="V26" s="1"/>
      <c r="W26" s="1"/>
      <c r="X26" s="1"/>
      <c r="Y26" s="1"/>
      <c r="Z26" s="1"/>
      <c r="AA26" s="1"/>
      <c r="AB26" s="1"/>
      <c r="AC26" s="1"/>
      <c r="AD26" s="1"/>
      <c r="AE26" s="1"/>
    </row>
    <row r="27" ht="22" customHeight="1">
      <c r="A27" s="1"/>
      <c r="B27" s="1"/>
      <c r="C27" s="1" t="str">
        <v>Tegenvaller</v>
      </c>
      <c r="D27" s="1"/>
      <c r="E27" s="54" t="n">
        <v>1815</v>
      </c>
      <c r="F27" s="54" t="n">
        <v>2018.5</v>
      </c>
      <c r="G27" s="1"/>
      <c r="H27" s="1"/>
      <c r="I27" s="1"/>
      <c r="J27" s="1"/>
      <c r="K27" s="1"/>
      <c r="L27" s="1"/>
      <c r="M27" s="1"/>
      <c r="N27" s="1"/>
      <c r="O27" s="1"/>
      <c r="P27" s="1"/>
      <c r="Q27" s="1"/>
      <c r="R27" s="1"/>
      <c r="S27" s="1"/>
      <c r="T27" s="1"/>
      <c r="U27" s="1"/>
      <c r="V27" s="1"/>
      <c r="W27" s="1"/>
      <c r="X27" s="1"/>
      <c r="Y27" s="1"/>
      <c r="Z27" s="1"/>
      <c r="AA27" s="1"/>
      <c r="AB27" s="1"/>
      <c r="AC27" s="1"/>
      <c r="AD27" s="1"/>
      <c r="AE27" s="1"/>
    </row>
    <row r="28" ht="22" customHeight="1">
      <c r="A28" s="1"/>
      <c r="B28" s="1"/>
      <c r="C28" s="1" t="str">
        <v>Groei</v>
      </c>
      <c r="D28" s="1"/>
      <c r="E28" s="54" t="n">
        <v>2000</v>
      </c>
      <c r="F28" s="54" t="n">
        <v>2250</v>
      </c>
      <c r="G28" s="1"/>
      <c r="H28" s="1"/>
      <c r="I28" s="1"/>
      <c r="J28" s="1"/>
      <c r="K28" s="1"/>
      <c r="L28" s="1"/>
      <c r="M28" s="1"/>
      <c r="N28" s="1"/>
      <c r="O28" s="1"/>
      <c r="P28" s="1"/>
      <c r="Q28" s="1"/>
      <c r="R28" s="1"/>
      <c r="S28" s="1"/>
      <c r="T28" s="1"/>
      <c r="U28" s="1"/>
      <c r="V28" s="1"/>
      <c r="W28" s="1"/>
      <c r="X28" s="1"/>
      <c r="Y28" s="1"/>
      <c r="Z28" s="1"/>
      <c r="AA28" s="1"/>
      <c r="AB28" s="1"/>
      <c r="AC28" s="1"/>
      <c r="AD28" s="1"/>
      <c r="AE28" s="1"/>
    </row>
    <row r="29" ht="22"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row>
    <row r="30" ht="34" customHeight="1">
      <c r="A30" s="1"/>
      <c r="B30" s="1"/>
      <c r="C30" s="11" t="str">
        <v>Bruto bestuurderskost / maand</v>
      </c>
      <c r="D30" s="11" t="str">
        <v>EUR</v>
      </c>
      <c r="E30" s="13" t="n">
        <f>IF($E$4="Basis",IF(ISNUMBER(E31),E31,NA()),IF($E$4="Tegenvaller",IF(ISNUMBER(E32),E32,NA()),IF($E$4="Groei",IF(ISNUMBER(E33),E33,NA()),NA())))</f>
        <v>3000</v>
      </c>
      <c r="F30" s="13" t="n">
        <f>IF($E$4="Basis",IF(ISNUMBER(F31),F31,NA()),IF($E$4="Tegenvaller",IF(ISNUMBER(F32),F32,NA()),IF($E$4="Groei",IF(ISNUMBER(F33),F33,NA()),NA())))</f>
        <v>3300</v>
      </c>
      <c r="G30" s="1"/>
      <c r="H30" s="12" t="str">
        <v>Totale cashkost voor BV. Geen berekening van persoonlijk nettoloon.</v>
      </c>
      <c r="I30" s="1"/>
      <c r="J30" s="1"/>
      <c r="K30" s="1"/>
      <c r="L30" s="1"/>
      <c r="M30" s="1"/>
      <c r="N30" s="1"/>
      <c r="O30" s="1"/>
      <c r="P30" s="1"/>
      <c r="Q30" s="1"/>
      <c r="R30" s="1"/>
      <c r="S30" s="1"/>
      <c r="T30" s="1"/>
      <c r="U30" s="1"/>
      <c r="V30" s="1"/>
      <c r="W30" s="1"/>
      <c r="X30" s="1"/>
      <c r="Y30" s="1"/>
      <c r="Z30" s="1"/>
      <c r="AA30" s="1"/>
      <c r="AB30" s="1"/>
      <c r="AC30" s="1"/>
      <c r="AD30" s="1"/>
      <c r="AE30" s="1"/>
    </row>
    <row r="31" ht="22" customHeight="1">
      <c r="A31" s="1"/>
      <c r="B31" s="1"/>
      <c r="C31" s="1" t="str">
        <v>Basis</v>
      </c>
      <c r="D31" s="1"/>
      <c r="E31" s="54" t="n">
        <v>3000</v>
      </c>
      <c r="F31" s="54" t="n">
        <v>3300</v>
      </c>
      <c r="G31" s="1"/>
      <c r="H31" s="1"/>
      <c r="I31" s="1"/>
      <c r="J31" s="1"/>
      <c r="K31" s="1"/>
      <c r="L31" s="1"/>
      <c r="M31" s="1"/>
      <c r="N31" s="1"/>
      <c r="O31" s="1"/>
      <c r="P31" s="1"/>
      <c r="Q31" s="1"/>
      <c r="R31" s="1"/>
      <c r="S31" s="1"/>
      <c r="T31" s="1"/>
      <c r="U31" s="1"/>
      <c r="V31" s="1"/>
      <c r="W31" s="1"/>
      <c r="X31" s="1"/>
      <c r="Y31" s="1"/>
      <c r="Z31" s="1"/>
      <c r="AA31" s="1"/>
      <c r="AB31" s="1"/>
      <c r="AC31" s="1"/>
      <c r="AD31" s="1"/>
      <c r="AE31" s="1"/>
    </row>
    <row r="32" ht="22" customHeight="1">
      <c r="A32" s="1"/>
      <c r="B32" s="1"/>
      <c r="C32" s="1" t="str">
        <v>Tegenvaller</v>
      </c>
      <c r="D32" s="1"/>
      <c r="E32" s="54" t="n">
        <v>3000</v>
      </c>
      <c r="F32" s="54" t="n">
        <v>3300</v>
      </c>
      <c r="G32" s="1"/>
      <c r="H32" s="1"/>
      <c r="I32" s="1"/>
      <c r="J32" s="1"/>
      <c r="K32" s="1"/>
      <c r="L32" s="1"/>
      <c r="M32" s="1"/>
      <c r="N32" s="1"/>
      <c r="O32" s="1"/>
      <c r="P32" s="1"/>
      <c r="Q32" s="1"/>
      <c r="R32" s="1"/>
      <c r="S32" s="1"/>
      <c r="T32" s="1"/>
      <c r="U32" s="1"/>
      <c r="V32" s="1"/>
      <c r="W32" s="1"/>
      <c r="X32" s="1"/>
      <c r="Y32" s="1"/>
      <c r="Z32" s="1"/>
      <c r="AA32" s="1"/>
      <c r="AB32" s="1"/>
      <c r="AC32" s="1"/>
      <c r="AD32" s="1"/>
      <c r="AE32" s="1"/>
    </row>
    <row r="33" ht="22" customHeight="1">
      <c r="A33" s="1"/>
      <c r="B33" s="1"/>
      <c r="C33" s="1" t="str">
        <v>Groei</v>
      </c>
      <c r="D33" s="1"/>
      <c r="E33" s="54" t="n">
        <v>3300</v>
      </c>
      <c r="F33" s="54" t="n">
        <v>3700</v>
      </c>
      <c r="G33" s="1"/>
      <c r="H33" s="1"/>
      <c r="I33" s="1"/>
      <c r="J33" s="1"/>
      <c r="K33" s="1"/>
      <c r="L33" s="1"/>
      <c r="M33" s="1"/>
      <c r="N33" s="1"/>
      <c r="O33" s="1"/>
      <c r="P33" s="1"/>
      <c r="Q33" s="1"/>
      <c r="R33" s="1"/>
      <c r="S33" s="1"/>
      <c r="T33" s="1"/>
      <c r="U33" s="1"/>
      <c r="V33" s="1"/>
      <c r="W33" s="1"/>
      <c r="X33" s="1"/>
      <c r="Y33" s="1"/>
      <c r="Z33" s="1"/>
      <c r="AA33" s="1"/>
      <c r="AB33" s="1"/>
      <c r="AC33" s="1"/>
      <c r="AD33" s="1"/>
      <c r="AE33" s="1"/>
    </row>
    <row r="34" ht="22"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row>
    <row r="35" ht="34" customHeight="1">
      <c r="A35" s="1"/>
      <c r="B35" s="1"/>
      <c r="C35" s="11" t="str">
        <v>Klantbetaling na factuur (maanden)</v>
      </c>
      <c r="D35" s="11" t="str">
        <v>0 / 1 / 2</v>
      </c>
      <c r="E35" s="13" t="n">
        <f>IF($E$4="Basis",IF(ISNUMBER(E36),E36,NA()),IF($E$4="Tegenvaller",IF(ISNUMBER(E37),E37,NA()),IF($E$4="Groei",IF(ISNUMBER(E38),E38,NA()),NA())))</f>
        <v>1</v>
      </c>
      <c r="F35" s="13" t="n">
        <f>IF($E$4="Basis",IF(ISNUMBER(F36),F36,NA()),IF($E$4="Tegenvaller",IF(ISNUMBER(F37),F37,NA()),IF($E$4="Groei",IF(ISNUMBER(F38),F38,NA()),NA())))</f>
        <v>1</v>
      </c>
      <c r="G35" s="1"/>
      <c r="H35" s="12" t="str">
        <v>Vaste termijn voor alle facturen. Kies 0, 1 of 2 hele maanden.</v>
      </c>
      <c r="I35" s="1"/>
      <c r="J35" s="1"/>
      <c r="K35" s="1"/>
      <c r="L35" s="1"/>
      <c r="M35" s="1"/>
      <c r="N35" s="1"/>
      <c r="O35" s="1"/>
      <c r="P35" s="1"/>
      <c r="Q35" s="1"/>
      <c r="R35" s="1"/>
      <c r="S35" s="1"/>
      <c r="T35" s="1"/>
      <c r="U35" s="1"/>
      <c r="V35" s="1"/>
      <c r="W35" s="1"/>
      <c r="X35" s="1"/>
      <c r="Y35" s="1"/>
      <c r="Z35" s="1"/>
      <c r="AA35" s="1"/>
      <c r="AB35" s="1"/>
      <c r="AC35" s="1"/>
      <c r="AD35" s="1"/>
      <c r="AE35" s="1"/>
    </row>
    <row r="36" ht="22" customHeight="1">
      <c r="A36" s="1"/>
      <c r="B36" s="1"/>
      <c r="C36" s="1" t="str">
        <v>Basis</v>
      </c>
      <c r="D36" s="1"/>
      <c r="E36" s="54" t="n">
        <v>1</v>
      </c>
      <c r="F36" s="54" t="n">
        <v>1</v>
      </c>
      <c r="G36" s="1"/>
      <c r="H36" s="1"/>
      <c r="I36" s="1"/>
      <c r="J36" s="1"/>
      <c r="K36" s="1"/>
      <c r="L36" s="1"/>
      <c r="M36" s="1"/>
      <c r="N36" s="1"/>
      <c r="O36" s="1"/>
      <c r="P36" s="1"/>
      <c r="Q36" s="1"/>
      <c r="R36" s="1"/>
      <c r="S36" s="1"/>
      <c r="T36" s="1"/>
      <c r="U36" s="1"/>
      <c r="V36" s="1"/>
      <c r="W36" s="1"/>
      <c r="X36" s="1"/>
      <c r="Y36" s="1"/>
      <c r="Z36" s="1"/>
      <c r="AA36" s="1"/>
      <c r="AB36" s="1"/>
      <c r="AC36" s="1"/>
      <c r="AD36" s="1"/>
      <c r="AE36" s="1"/>
    </row>
    <row r="37" ht="22" customHeight="1">
      <c r="A37" s="1"/>
      <c r="B37" s="1"/>
      <c r="C37" s="1" t="str">
        <v>Tegenvaller</v>
      </c>
      <c r="D37" s="1"/>
      <c r="E37" s="54" t="n">
        <v>2</v>
      </c>
      <c r="F37" s="54" t="n">
        <v>2</v>
      </c>
      <c r="G37" s="1"/>
      <c r="H37" s="1"/>
      <c r="I37" s="1"/>
      <c r="J37" s="1"/>
      <c r="K37" s="1"/>
      <c r="L37" s="1"/>
      <c r="M37" s="1"/>
      <c r="N37" s="1"/>
      <c r="O37" s="1"/>
      <c r="P37" s="1"/>
      <c r="Q37" s="1"/>
      <c r="R37" s="1"/>
      <c r="S37" s="1"/>
      <c r="T37" s="1"/>
      <c r="U37" s="1"/>
      <c r="V37" s="1"/>
      <c r="W37" s="1"/>
      <c r="X37" s="1"/>
      <c r="Y37" s="1"/>
      <c r="Z37" s="1"/>
      <c r="AA37" s="1"/>
      <c r="AB37" s="1"/>
      <c r="AC37" s="1"/>
      <c r="AD37" s="1"/>
      <c r="AE37" s="1"/>
    </row>
    <row r="38" ht="22" customHeight="1">
      <c r="A38" s="1"/>
      <c r="B38" s="1"/>
      <c r="C38" s="1" t="str">
        <v>Groei</v>
      </c>
      <c r="D38" s="1"/>
      <c r="E38" s="54" t="n">
        <v>1</v>
      </c>
      <c r="F38" s="54" t="n">
        <v>1</v>
      </c>
      <c r="G38" s="1"/>
      <c r="H38" s="1"/>
      <c r="I38" s="1"/>
      <c r="J38" s="1"/>
      <c r="K38" s="1"/>
      <c r="L38" s="1"/>
      <c r="M38" s="1"/>
      <c r="N38" s="1"/>
      <c r="O38" s="1"/>
      <c r="P38" s="1"/>
      <c r="Q38" s="1"/>
      <c r="R38" s="1"/>
      <c r="S38" s="1"/>
      <c r="T38" s="1"/>
      <c r="U38" s="1"/>
      <c r="V38" s="1"/>
      <c r="W38" s="1"/>
      <c r="X38" s="1"/>
      <c r="Y38" s="1"/>
      <c r="Z38" s="1"/>
      <c r="AA38" s="1"/>
      <c r="AB38" s="1"/>
      <c r="AC38" s="1"/>
      <c r="AD38" s="1"/>
      <c r="AE38" s="1"/>
    </row>
    <row r="39" ht="22"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row>
    <row r="40" ht="22"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row>
    <row r="41" ht="25" customHeight="1">
      <c r="A41" s="1"/>
      <c r="B41" s="1"/>
      <c r="C41" s="17" t="str">
        <v>Start, financiering en rekenafspraken</v>
      </c>
      <c r="D41" s="17"/>
      <c r="E41" s="17"/>
      <c r="F41" s="17"/>
      <c r="G41" s="17"/>
      <c r="H41" s="17"/>
      <c r="I41" s="17"/>
      <c r="J41" s="17"/>
      <c r="K41" s="17"/>
      <c r="L41" s="17"/>
      <c r="M41" s="17"/>
      <c r="N41" s="1"/>
      <c r="O41" s="1"/>
      <c r="P41" s="1"/>
      <c r="Q41" s="1"/>
      <c r="R41" s="1"/>
      <c r="S41" s="1"/>
      <c r="T41" s="1"/>
      <c r="U41" s="1"/>
      <c r="V41" s="1"/>
      <c r="W41" s="1"/>
      <c r="X41" s="1"/>
      <c r="Y41" s="1"/>
      <c r="Z41" s="1"/>
      <c r="AA41" s="1"/>
      <c r="AB41" s="1"/>
      <c r="AC41" s="1"/>
      <c r="AD41" s="1"/>
      <c r="AE41" s="1"/>
    </row>
    <row r="42" ht="22"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row>
    <row r="43" ht="30" customHeight="1">
      <c r="A43" s="1"/>
      <c r="B43" s="1"/>
      <c r="C43" s="1" t="str">
        <v>Investering bij start excl. btw</v>
      </c>
      <c r="D43" s="1"/>
      <c r="E43" s="54" t="n">
        <v>9000</v>
      </c>
      <c r="F43" s="1"/>
      <c r="G43" s="1"/>
      <c r="H43" s="12" t="str">
        <v>Eenmalige aankoop in maand 1. Geen restwaarde of vervangingsinvestering.</v>
      </c>
      <c r="I43" s="1"/>
      <c r="J43" s="1"/>
      <c r="K43" s="1"/>
      <c r="L43" s="1"/>
      <c r="M43" s="1"/>
      <c r="N43" s="1"/>
      <c r="O43" s="1"/>
      <c r="P43" s="1"/>
      <c r="Q43" s="1"/>
      <c r="R43" s="1"/>
      <c r="S43" s="1"/>
      <c r="T43" s="1"/>
      <c r="U43" s="1"/>
      <c r="V43" s="1"/>
      <c r="W43" s="1"/>
      <c r="X43" s="1"/>
      <c r="Y43" s="1"/>
      <c r="Z43" s="1"/>
      <c r="AA43" s="1"/>
      <c r="AB43" s="1"/>
      <c r="AC43" s="1"/>
      <c r="AD43" s="1"/>
      <c r="AE43" s="1"/>
    </row>
    <row r="44" ht="30" customHeight="1">
      <c r="A44" s="1"/>
      <c r="B44" s="1"/>
      <c r="C44" s="1" t="str">
        <v>Afschrijvingsduur (maanden)</v>
      </c>
      <c r="D44" s="1"/>
      <c r="E44" s="54" t="n">
        <v>36</v>
      </c>
      <c r="F44" s="1"/>
      <c r="G44" s="1"/>
      <c r="H44" s="12" t="str">
        <v>Lineair vanaf maand 1; minimum 1 maand.</v>
      </c>
      <c r="I44" s="1"/>
      <c r="J44" s="1"/>
      <c r="K44" s="1"/>
      <c r="L44" s="1"/>
      <c r="M44" s="1"/>
      <c r="N44" s="1"/>
      <c r="O44" s="1"/>
      <c r="P44" s="1"/>
      <c r="Q44" s="1"/>
      <c r="R44" s="1"/>
      <c r="S44" s="1"/>
      <c r="T44" s="1"/>
      <c r="U44" s="1"/>
      <c r="V44" s="1"/>
      <c r="W44" s="1"/>
      <c r="X44" s="1"/>
      <c r="Y44" s="1"/>
      <c r="Z44" s="1"/>
      <c r="AA44" s="1"/>
      <c r="AB44" s="1"/>
      <c r="AC44" s="1"/>
      <c r="AD44" s="1"/>
      <c r="AE44" s="1"/>
    </row>
    <row r="45" ht="30" customHeight="1">
      <c r="A45" s="1"/>
      <c r="B45" s="1"/>
      <c r="C45" s="1" t="str">
        <v>Inbreng in geld</v>
      </c>
      <c r="D45" s="1"/>
      <c r="E45" s="54" t="n">
        <v>15000</v>
      </c>
      <c r="F45" s="1"/>
      <c r="G45" s="1"/>
      <c r="H45" s="12" t="str">
        <v>Eigen middelen, volledig op de bank bij de start; geen omzet.</v>
      </c>
      <c r="I45" s="1"/>
      <c r="J45" s="1"/>
      <c r="K45" s="1"/>
      <c r="L45" s="1"/>
      <c r="M45" s="1"/>
      <c r="N45" s="1"/>
      <c r="O45" s="1"/>
      <c r="P45" s="1"/>
      <c r="Q45" s="1"/>
      <c r="R45" s="1"/>
      <c r="S45" s="1"/>
      <c r="T45" s="1"/>
      <c r="U45" s="1"/>
      <c r="V45" s="1"/>
      <c r="W45" s="1"/>
      <c r="X45" s="1"/>
      <c r="Y45" s="1"/>
      <c r="Z45" s="1"/>
      <c r="AA45" s="1"/>
      <c r="AB45" s="1"/>
      <c r="AC45" s="1"/>
      <c r="AD45" s="1"/>
      <c r="AE45" s="1"/>
    </row>
    <row r="46" ht="30" customHeight="1">
      <c r="A46" s="1"/>
      <c r="B46" s="1"/>
      <c r="C46" s="1" t="str">
        <v>Lening ontvangen bij start</v>
      </c>
      <c r="D46" s="1"/>
      <c r="E46" s="54" t="n">
        <v>10000</v>
      </c>
      <c r="F46" s="1"/>
      <c r="G46" s="1"/>
      <c r="H46" s="12" t="str">
        <v>Fictieve financiering; bevestig aanbod en eventuele zekerheden.</v>
      </c>
      <c r="I46" s="1"/>
      <c r="J46" s="1"/>
      <c r="K46" s="1"/>
      <c r="L46" s="1"/>
      <c r="M46" s="1"/>
      <c r="N46" s="1"/>
      <c r="O46" s="1"/>
      <c r="P46" s="1"/>
      <c r="Q46" s="1"/>
      <c r="R46" s="1"/>
      <c r="S46" s="1"/>
      <c r="T46" s="1"/>
      <c r="U46" s="1"/>
      <c r="V46" s="1"/>
      <c r="W46" s="1"/>
      <c r="X46" s="1"/>
      <c r="Y46" s="1"/>
      <c r="Z46" s="1"/>
      <c r="AA46" s="1"/>
      <c r="AB46" s="1"/>
      <c r="AC46" s="1"/>
      <c r="AD46" s="1"/>
      <c r="AE46" s="1"/>
    </row>
    <row r="47" ht="30" customHeight="1">
      <c r="A47" s="1"/>
      <c r="B47" s="1"/>
      <c r="C47" s="1" t="str">
        <v>Looptijd lening (maanden)</v>
      </c>
      <c r="D47" s="1"/>
      <c r="E47" s="54" t="n">
        <v>36</v>
      </c>
      <c r="F47" s="1"/>
      <c r="G47" s="1"/>
      <c r="H47" s="12" t="str">
        <v>Vaste maandelijkse kapitaalaflossing vanaf maand 1, minimum 1.</v>
      </c>
      <c r="I47" s="1"/>
      <c r="J47" s="1"/>
      <c r="K47" s="1"/>
      <c r="L47" s="1"/>
      <c r="M47" s="1"/>
      <c r="N47" s="1"/>
      <c r="O47" s="1"/>
      <c r="P47" s="1"/>
      <c r="Q47" s="1"/>
      <c r="R47" s="1"/>
      <c r="S47" s="1"/>
      <c r="T47" s="1"/>
      <c r="U47" s="1"/>
      <c r="V47" s="1"/>
      <c r="W47" s="1"/>
      <c r="X47" s="1"/>
      <c r="Y47" s="1"/>
      <c r="Z47" s="1"/>
      <c r="AA47" s="1"/>
      <c r="AB47" s="1"/>
      <c r="AC47" s="1"/>
      <c r="AD47" s="1"/>
      <c r="AE47" s="1"/>
    </row>
    <row r="48" ht="30" customHeight="1">
      <c r="A48" s="1"/>
      <c r="B48" s="1"/>
      <c r="C48" s="1" t="str">
        <v>Jaarlijkse leenrente</v>
      </c>
      <c r="D48" s="1"/>
      <c r="E48" s="55" t="n">
        <v>0.05</v>
      </c>
      <c r="F48" s="1"/>
      <c r="G48" s="1"/>
      <c r="H48" s="12" t="str">
        <v>Fictief contracttarief op het openstaande kapitaal; geen tariefbelofte.</v>
      </c>
      <c r="I48" s="1"/>
      <c r="J48" s="1"/>
      <c r="K48" s="1"/>
      <c r="L48" s="1"/>
      <c r="M48" s="1"/>
      <c r="N48" s="1"/>
      <c r="O48" s="1"/>
      <c r="P48" s="1"/>
      <c r="Q48" s="1"/>
      <c r="R48" s="1"/>
      <c r="S48" s="1"/>
      <c r="T48" s="1"/>
      <c r="U48" s="1"/>
      <c r="V48" s="1"/>
      <c r="W48" s="1"/>
      <c r="X48" s="1"/>
      <c r="Y48" s="1"/>
      <c r="Z48" s="1"/>
      <c r="AA48" s="1"/>
      <c r="AB48" s="1"/>
      <c r="AC48" s="1"/>
      <c r="AD48" s="1"/>
      <c r="AE48" s="1"/>
    </row>
    <row r="49" ht="30" customHeight="1">
      <c r="A49" s="1"/>
      <c r="B49" s="1"/>
      <c r="C49" s="1" t="str">
        <v>Btw-tarief op omzet en kosten</v>
      </c>
      <c r="D49" s="1"/>
      <c r="E49" s="55" t="n">
        <v>0.21</v>
      </c>
      <c r="F49" s="1"/>
      <c r="G49" s="1"/>
      <c r="H49" s="12" t="str">
        <v>Voorbeeld: Belgische btw-belaste diensten; tarief aanpassen indien nodig.</v>
      </c>
      <c r="I49" s="1"/>
      <c r="J49" s="1"/>
      <c r="K49" s="1"/>
      <c r="L49" s="1"/>
      <c r="M49" s="1"/>
      <c r="N49" s="1"/>
      <c r="O49" s="1"/>
      <c r="P49" s="1"/>
      <c r="Q49" s="1"/>
      <c r="R49" s="1"/>
      <c r="S49" s="1"/>
      <c r="T49" s="1"/>
      <c r="U49" s="1"/>
      <c r="V49" s="1"/>
      <c r="W49" s="1"/>
      <c r="X49" s="1"/>
      <c r="Y49" s="1"/>
      <c r="Z49" s="1"/>
      <c r="AA49" s="1"/>
      <c r="AB49" s="1"/>
      <c r="AC49" s="1"/>
      <c r="AD49" s="1"/>
      <c r="AE49" s="1"/>
    </row>
    <row r="50" ht="30" customHeight="1">
      <c r="A50" s="1"/>
      <c r="B50" s="1"/>
      <c r="C50" s="1" t="str">
        <v>Btw-aandeel vaste kosten</v>
      </c>
      <c r="D50" s="1"/>
      <c r="E50" s="55" t="n">
        <v>0.8</v>
      </c>
      <c r="F50" s="1"/>
      <c r="G50" s="1"/>
      <c r="H50" s="12" t="str">
        <v>80% van vaste kosten heeft btw; alle berekende voorbelasting is aftrekbaar.</v>
      </c>
      <c r="I50" s="1"/>
      <c r="J50" s="1"/>
      <c r="K50" s="1"/>
      <c r="L50" s="1"/>
      <c r="M50" s="1"/>
      <c r="N50" s="1"/>
      <c r="O50" s="1"/>
      <c r="P50" s="1"/>
      <c r="Q50" s="1"/>
      <c r="R50" s="1"/>
      <c r="S50" s="1"/>
      <c r="T50" s="1"/>
      <c r="U50" s="1"/>
      <c r="V50" s="1"/>
      <c r="W50" s="1"/>
      <c r="X50" s="1"/>
      <c r="Y50" s="1"/>
      <c r="Z50" s="1"/>
      <c r="AA50" s="1"/>
      <c r="AB50" s="1"/>
      <c r="AC50" s="1"/>
      <c r="AD50" s="1"/>
      <c r="AE50" s="1"/>
    </row>
    <row r="51" ht="30" customHeight="1">
      <c r="A51" s="1"/>
      <c r="B51" s="1"/>
      <c r="C51" s="1" t="str">
        <v>Rekenreserve belasting</v>
      </c>
      <c r="D51" s="1"/>
      <c r="E51" s="55" t="n">
        <v>0.25</v>
      </c>
      <c r="F51" s="1"/>
      <c r="G51" s="1"/>
      <c r="H51" s="12" t="str">
        <v>Budget: percentage op positieve maandwinst, elk kwartaal cash betaald.</v>
      </c>
      <c r="I51" s="1"/>
      <c r="J51" s="1"/>
      <c r="K51" s="1"/>
      <c r="L51" s="1"/>
      <c r="M51" s="1"/>
      <c r="N51" s="1"/>
      <c r="O51" s="1"/>
      <c r="P51" s="1"/>
      <c r="Q51" s="1"/>
      <c r="R51" s="1"/>
      <c r="S51" s="1"/>
      <c r="T51" s="1"/>
      <c r="U51" s="1"/>
      <c r="V51" s="1"/>
      <c r="W51" s="1"/>
      <c r="X51" s="1"/>
      <c r="Y51" s="1"/>
      <c r="Z51" s="1"/>
      <c r="AA51" s="1"/>
      <c r="AB51" s="1"/>
      <c r="AC51" s="1"/>
      <c r="AD51" s="1"/>
      <c r="AE51" s="1"/>
    </row>
    <row r="52" ht="30" customHeight="1">
      <c r="A52" s="1"/>
      <c r="B52" s="1"/>
      <c r="C52" s="1" t="str">
        <v>Gewenste minimale kasbuffer</v>
      </c>
      <c r="D52" s="1"/>
      <c r="E52" s="54" t="n">
        <v>5000</v>
      </c>
      <c r="F52" s="1"/>
      <c r="G52" s="1"/>
      <c r="H52" s="12" t="str">
        <v>Eigen planningskeuze; geen wettelijk minimumbedrag.</v>
      </c>
      <c r="I52" s="1"/>
      <c r="J52" s="1"/>
      <c r="K52" s="1"/>
      <c r="L52" s="1"/>
      <c r="M52" s="1"/>
      <c r="N52" s="1"/>
      <c r="O52" s="1"/>
      <c r="P52" s="1"/>
      <c r="Q52" s="1"/>
      <c r="R52" s="1"/>
      <c r="S52" s="1"/>
      <c r="T52" s="1"/>
      <c r="U52" s="1"/>
      <c r="V52" s="1"/>
      <c r="W52" s="1"/>
      <c r="X52" s="1"/>
      <c r="Y52" s="1"/>
      <c r="Z52" s="1"/>
      <c r="AA52" s="1"/>
      <c r="AB52" s="1"/>
      <c r="AC52" s="1"/>
      <c r="AD52" s="1"/>
      <c r="AE52" s="1"/>
    </row>
    <row r="53" ht="30" customHeight="1">
      <c r="A53" s="1"/>
      <c r="B53" s="1"/>
      <c r="C53" s="1" t="str">
        <v>Eenmalige opstartkosten</v>
      </c>
      <c r="D53" s="1"/>
      <c r="E53" s="54" t="n">
        <v>2500</v>
      </c>
      <c r="F53" s="1"/>
      <c r="G53" s="1"/>
      <c r="H53" s="12" t="str">
        <v>Volledig als kost in maand 1, zonder btw in dit vereenvoudigde voorbeeld.</v>
      </c>
      <c r="I53" s="1"/>
      <c r="J53" s="1"/>
      <c r="K53" s="1"/>
      <c r="L53" s="1"/>
      <c r="M53" s="1"/>
      <c r="N53" s="1"/>
      <c r="O53" s="1"/>
      <c r="P53" s="1"/>
      <c r="Q53" s="1"/>
      <c r="R53" s="1"/>
      <c r="S53" s="1"/>
      <c r="T53" s="1"/>
      <c r="U53" s="1"/>
      <c r="V53" s="1"/>
      <c r="W53" s="1"/>
      <c r="X53" s="1"/>
      <c r="Y53" s="1"/>
      <c r="Z53" s="1"/>
      <c r="AA53" s="1"/>
      <c r="AB53" s="1"/>
      <c r="AC53" s="1"/>
      <c r="AD53" s="1"/>
      <c r="AE53" s="1"/>
    </row>
    <row r="54" ht="22"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ht="22"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ht="25" customHeight="1">
      <c r="A56" s="1"/>
      <c r="B56" s="1"/>
      <c r="C56" s="17" t="str">
        <v>Onderbouwing van de fictieve basis</v>
      </c>
      <c r="D56" s="17"/>
      <c r="E56" s="17"/>
      <c r="F56" s="17"/>
      <c r="G56" s="17"/>
      <c r="H56" s="17"/>
      <c r="I56" s="17"/>
      <c r="J56" s="17"/>
      <c r="K56" s="17"/>
      <c r="L56" s="17"/>
      <c r="M56" s="17"/>
      <c r="N56" s="1"/>
      <c r="O56" s="1"/>
      <c r="P56" s="1"/>
      <c r="Q56" s="1"/>
      <c r="R56" s="1"/>
      <c r="S56" s="1"/>
      <c r="T56" s="1"/>
      <c r="U56" s="1"/>
      <c r="V56" s="1"/>
      <c r="W56" s="1"/>
      <c r="X56" s="1"/>
      <c r="Y56" s="1"/>
      <c r="Z56" s="1"/>
      <c r="AA56" s="1"/>
      <c r="AB56" s="1"/>
      <c r="AC56" s="1"/>
      <c r="AD56" s="1"/>
      <c r="AE56" s="1"/>
    </row>
    <row r="57" ht="22"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row>
    <row r="58" ht="22" customHeight="1">
      <c r="A58" s="1"/>
      <c r="B58" s="1"/>
      <c r="C58" s="12" t="str">
        <v>Vaste kosten jaar 1: huur 650 + software 200 + accountant 250 + verzekering 150 + marketing 250 + overige 150 = 1.650 euro/maand.</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row>
    <row r="59" ht="22"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row>
    <row r="60" ht="22" customHeight="1">
      <c r="A60" s="1"/>
      <c r="B60" s="1"/>
      <c r="C60" s="12" t="str">
        <v>Jaar 2: 700 + 220 + 275 + 165 + 300 + 175 = 1.835 euro/maand. Bedragen zijn uitsluitend oefenaannames.</v>
      </c>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row>
    <row r="61" ht="22"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row>
    <row r="62" ht="22" customHeight="1">
      <c r="A62" s="1"/>
      <c r="B62" s="1"/>
      <c r="C62" s="12" t="str">
        <v>Geen voorraad, personeel, dividend, huurwaarborg, subsidies of bijkomende investeringen opgenomen. Voeg ze toe als jouw dossier dit vereist.</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row>
    <row r="63" ht="22"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row>
    <row r="64" ht="22" customHeight="1">
      <c r="A64" s="1"/>
      <c r="B64" s="1"/>
      <c r="C64" s="12" t="str">
        <v>Btw: betaling van een positief kwartaalsaldo in de eerste volgende maand. Btw-tegoed wordt doorgeschoven, niet automatisch terugbetaald.</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row>
    <row r="65" ht="22"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row>
    <row r="66" ht="22" customHeight="1">
      <c r="A66" s="1"/>
      <c r="B66" s="1"/>
      <c r="C66" s="12" t="str">
        <v>Belasting: planningsreserve, geen aangifteberekening. Geen verliesverrekening, verworpen uitgaven, belastingverminderingen of vermeerderingen.</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row>
    <row r="67" ht="22"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row>
    <row r="68" ht="22" customHeight="1">
      <c r="A68" s="1"/>
      <c r="B68" s="1"/>
      <c r="C68" s="12" t="str">
        <v>Gewijzigde betalingstermijn in jaar 2 geldt voor nieuwe facturen. Ontvangsten volgen altijd de termijn van de oorspronkelijke factuur.</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row>
    <row r="69" ht="22"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row>
    <row r="70" ht="22" customHeight="1">
      <c r="A70" s="1"/>
      <c r="B70" s="1"/>
      <c r="C70" s="12" t="str">
        <v>Bron wettelijke structuur: https://www.ejustice.just.fgov.be/eli/wet/2019/03/23/2019A40586/justel (art. 5:3, 5:4 en 5:16).</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row>
    <row r="71" ht="22"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row>
    <row r="72" ht="22" customHeight="1">
      <c r="A72" s="1"/>
      <c r="B72" s="1"/>
      <c r="C72" s="12" t="str">
        <v>Bron normaal belastingtarief: https://financien.belgium.be/nl/ondernemingen/vennootschapsbelasting/aangifte. Geraadpleegd 17-10-2026.</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row>
    <row r="73" ht="22"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row>
    <row r="74" ht="22"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row>
  </sheetData>
  <sheetProtection sheet="1" objects="1" scenarios="1" selectLockedCells="0" selectUnlockedCells="0"/>
  <mergeCells>
    <mergeCell ref="H10:M10"/>
    <mergeCell ref="H15:M15"/>
    <mergeCell ref="H20:M20"/>
    <mergeCell ref="H25:M25"/>
    <mergeCell ref="H30:M30"/>
    <mergeCell ref="H35:M35"/>
    <mergeCell ref="H43:M43"/>
    <mergeCell ref="H44:M44"/>
    <mergeCell ref="H45:M45"/>
    <mergeCell ref="H46:M46"/>
    <mergeCell ref="H47:M47"/>
    <mergeCell ref="H48:M48"/>
    <mergeCell ref="H49:M49"/>
    <mergeCell ref="H50:M50"/>
    <mergeCell ref="H51:M51"/>
    <mergeCell ref="H52:M52"/>
    <mergeCell ref="H53:M53"/>
    <mergeCell ref="C58:M59"/>
    <mergeCell ref="C60:M61"/>
    <mergeCell ref="C62:M63"/>
    <mergeCell ref="C64:M65"/>
    <mergeCell ref="C66:M67"/>
    <mergeCell ref="C68:M69"/>
    <mergeCell ref="C70:M71"/>
    <mergeCell ref="C72:M73"/>
  </mergeCells>
  <dataValidations count="13">
    <dataValidation type="list" sqref="E4" allowBlank="0" showErrorMessage="1" errorTitle="Controleer je invoer" error="Gebruik een geldige waarde. Vul bewust 0 in als er geen bedrag is." errorStyle="stop">
      <formula1>"Basis,Tegenvaller,Groei"</formula1>
    </dataValidation>
    <dataValidation type="whole" operator="between" sqref="E36:F38" allowBlank="0" showErrorMessage="1" errorTitle="Controleer je invoer" error="Gebruik een geldige waarde. Vul bewust 0 in als er geen bedrag is." errorStyle="stop">
      <formula1>0</formula1>
      <formula2>2</formula2>
    </dataValidation>
    <dataValidation type="whole" operator="between" sqref="E44" allowBlank="0" showErrorMessage="1" errorTitle="Controleer je invoer" error="Gebruik een geldige waarde. Vul bewust 0 in als er geen bedrag is." errorStyle="stop">
      <formula1>1</formula1>
      <formula2>600</formula2>
    </dataValidation>
    <dataValidation type="whole" operator="between" sqref="E47" allowBlank="0" showErrorMessage="1" errorTitle="Controleer je invoer" error="Gebruik een geldige waarde. Vul bewust 0 in als er geen bedrag is." errorStyle="stop">
      <formula1>1</formula1>
      <formula2>600</formula2>
    </dataValidation>
    <dataValidation type="decimal" operator="greaterThanOrEqual" sqref="E11:F13" allowBlank="0" showErrorMessage="1" errorTitle="Controleer je invoer" error="Gebruik een geldige waarde. Vul bewust 0 in als er geen bedrag is." errorStyle="stop">
      <formula1>0</formula1>
    </dataValidation>
    <dataValidation type="decimal" operator="greaterThanOrEqual" sqref="E16:F18" allowBlank="0" showErrorMessage="1" errorTitle="Controleer je invoer" error="Gebruik een geldige waarde. Vul bewust 0 in als er geen bedrag is." errorStyle="stop">
      <formula1>0</formula1>
    </dataValidation>
    <dataValidation type="decimal" operator="greaterThanOrEqual" sqref="E26:F28" allowBlank="0" showErrorMessage="1" errorTitle="Controleer je invoer" error="Gebruik een geldige waarde. Vul bewust 0 in als er geen bedrag is." errorStyle="stop">
      <formula1>0</formula1>
    </dataValidation>
    <dataValidation type="decimal" operator="greaterThanOrEqual" sqref="E31:F33" allowBlank="0" showErrorMessage="1" errorTitle="Controleer je invoer" error="Gebruik een geldige waarde. Vul bewust 0 in als er geen bedrag is." errorStyle="stop">
      <formula1>0</formula1>
    </dataValidation>
    <dataValidation type="decimal" operator="greaterThanOrEqual" sqref="E43" allowBlank="0" showErrorMessage="1" errorTitle="Controleer je invoer" error="Gebruik een geldige waarde. Vul bewust 0 in als er geen bedrag is." errorStyle="stop">
      <formula1>0</formula1>
    </dataValidation>
    <dataValidation type="decimal" operator="greaterThanOrEqual" sqref="E45:E46" allowBlank="0" showErrorMessage="1" errorTitle="Controleer je invoer" error="Gebruik een geldige waarde. Vul bewust 0 in als er geen bedrag is." errorStyle="stop">
      <formula1>0</formula1>
    </dataValidation>
    <dataValidation type="decimal" operator="greaterThanOrEqual" sqref="E52:E53" allowBlank="0" showErrorMessage="1" errorTitle="Controleer je invoer" error="Gebruik een geldige waarde. Vul bewust 0 in als er geen bedrag is." errorStyle="stop">
      <formula1>0</formula1>
    </dataValidation>
    <dataValidation type="decimal" operator="between" sqref="E21:F23" allowBlank="0" showErrorMessage="1" errorTitle="Controleer je invoer" error="Gebruik een geldige waarde. Vul bewust 0 in als er geen bedrag is." errorStyle="stop">
      <formula1>0</formula1>
      <formula2>1</formula2>
    </dataValidation>
    <dataValidation type="decimal" operator="between" sqref="E48:E51" allowBlank="0" showErrorMessage="1" errorTitle="Controleer je invoer" error="Gebruik een geldige waarde. Vul bewust 0 in als er geen bedrag is." errorStyle="stop">
      <formula1>0</formula1>
      <formula2>1</formula2>
    </dataValidation>
  </dataValidations>
  <pageMargins left="0.7" right="0.7" top="0.75" bottom="0.75" header="0.3" footer="0.3"/>
</worksheet>
</file>

<file path=xl/worksheets/sheet3.xml><?xml version="1.0" encoding="utf-8"?>
<worksheet xmlns="http://schemas.openxmlformats.org/spreadsheetml/2006/main">
  <sheetViews>
    <sheetView showGridLines="0" workbookViewId="0">
      <pane xSplit="3" ySplit="7" topLeftCell="D8" activePane="bottomRight" state="frozen"/>
    </sheetView>
  </sheetViews>
  <sheetFormatPr defaultRowHeight="15"/>
  <cols>
    <col min="1" max="1" width="2" hidden="0" customWidth="1"/>
    <col min="2" max="2" width="2" hidden="0" customWidth="1"/>
    <col min="3" max="3" width="35" hidden="0" customWidth="1"/>
    <col min="4" max="4" width="4" hidden="0" customWidth="1"/>
    <col min="5" max="5" width="16" hidden="0" customWidth="1"/>
    <col min="6" max="6" width="16" hidden="0" customWidth="1"/>
    <col min="7" max="7" width="3" hidden="0" customWidth="1"/>
    <col min="8" max="8" width="15" hidden="0" customWidth="1"/>
    <col min="9" max="9" width="15" hidden="0" customWidth="1"/>
    <col min="10" max="10" width="15" hidden="0" customWidth="1"/>
    <col min="11" max="11" width="15" hidden="0" customWidth="1"/>
    <col min="12" max="12" width="15" hidden="0" customWidth="1"/>
    <col min="13" max="13" width="15" hidden="0" customWidth="1"/>
    <col min="14" max="14" width="15" hidden="0" customWidth="1"/>
    <col min="15" max="15" width="15" hidden="0" customWidth="1"/>
    <col min="16" max="16" width="15" hidden="0" customWidth="1"/>
    <col min="17" max="17" width="15" hidden="0" customWidth="1"/>
    <col min="18" max="18" width="15" hidden="0" customWidth="1"/>
    <col min="19" max="19" width="15" hidden="0" customWidth="1"/>
    <col min="20" max="20" width="15" hidden="0" customWidth="1"/>
    <col min="21" max="21" width="15" hidden="0" customWidth="1"/>
    <col min="22" max="22" width="15" hidden="0" customWidth="1"/>
    <col min="23" max="23" width="15" hidden="0" customWidth="1"/>
    <col min="24" max="24" width="15" hidden="0" customWidth="1"/>
    <col min="25" max="25" width="15" hidden="0" customWidth="1"/>
    <col min="26" max="26" width="15" hidden="0" customWidth="1"/>
    <col min="27" max="27" width="15" hidden="0" customWidth="1"/>
    <col min="28" max="28" width="15" hidden="0" customWidth="1"/>
    <col min="29" max="29" width="15" hidden="0" customWidth="1"/>
    <col min="30" max="30" width="15" hidden="0" customWidth="1"/>
    <col min="31" max="31" width="15" hidden="0" customWidth="1"/>
  </cols>
  <sheetData>
    <row r="1" ht="22"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ht="28" customHeight="1">
      <c r="A2" s="1"/>
      <c r="B2" s="1"/>
      <c r="C2" s="2" t="str">
        <v>Maandplanning over 24 maanden</v>
      </c>
      <c r="D2" s="2"/>
      <c r="E2" s="2"/>
      <c r="F2" s="2"/>
      <c r="G2" s="2"/>
      <c r="H2" s="2"/>
      <c r="I2" s="2"/>
      <c r="J2" s="2"/>
      <c r="K2" s="2"/>
      <c r="L2" s="2"/>
      <c r="M2" s="2"/>
      <c r="N2" s="1"/>
      <c r="O2" s="1"/>
      <c r="P2" s="1"/>
      <c r="Q2" s="1"/>
      <c r="R2" s="1"/>
      <c r="S2" s="1"/>
      <c r="T2" s="1"/>
      <c r="U2" s="1"/>
      <c r="V2" s="1"/>
      <c r="W2" s="1"/>
      <c r="X2" s="1"/>
      <c r="Y2" s="1"/>
      <c r="Z2" s="1"/>
      <c r="AA2" s="1"/>
      <c r="AB2" s="1"/>
      <c r="AC2" s="1"/>
      <c r="AD2" s="1"/>
      <c r="AE2" s="1"/>
    </row>
    <row r="3" ht="22" customHeight="1">
      <c r="A3" s="1"/>
      <c r="B3" s="1"/>
      <c r="C3" s="3"/>
      <c r="D3" s="3"/>
      <c r="E3" s="3"/>
      <c r="F3" s="3"/>
      <c r="G3" s="3"/>
      <c r="H3" s="3"/>
      <c r="I3" s="3"/>
      <c r="J3" s="3"/>
      <c r="K3" s="3"/>
      <c r="L3" s="3"/>
      <c r="M3" s="3"/>
      <c r="N3" s="1"/>
      <c r="O3" s="1"/>
      <c r="P3" s="1"/>
      <c r="Q3" s="1"/>
      <c r="R3" s="1"/>
      <c r="S3" s="1"/>
      <c r="T3" s="1"/>
      <c r="U3" s="1"/>
      <c r="V3" s="1"/>
      <c r="W3" s="1"/>
      <c r="X3" s="1"/>
      <c r="Y3" s="1"/>
      <c r="Z3" s="1"/>
      <c r="AA3" s="1"/>
      <c r="AB3" s="1"/>
      <c r="AC3" s="1"/>
      <c r="AD3" s="1"/>
      <c r="AE3" s="1"/>
    </row>
    <row r="4" ht="22" customHeight="1">
      <c r="A4" s="1"/>
      <c r="B4" s="1"/>
      <c r="C4" s="1" t="str">
        <v>Actief scenario</v>
      </c>
      <c r="D4" s="1"/>
      <c r="E4" s="5" t="str">
        <f>'Aannames'!E4</f>
        <v>Basis</v>
      </c>
      <c r="F4" s="6"/>
      <c r="G4" s="1"/>
      <c r="H4" s="1"/>
      <c r="I4" s="1"/>
      <c r="J4" s="1"/>
      <c r="K4" s="1"/>
      <c r="L4" s="1"/>
      <c r="M4" s="1"/>
      <c r="N4" s="1"/>
      <c r="O4" s="1"/>
      <c r="P4" s="1"/>
      <c r="Q4" s="1"/>
      <c r="R4" s="1"/>
      <c r="S4" s="1"/>
      <c r="T4" s="1"/>
      <c r="U4" s="1"/>
      <c r="V4" s="1"/>
      <c r="W4" s="1"/>
      <c r="X4" s="1"/>
      <c r="Y4" s="1"/>
      <c r="Z4" s="1"/>
      <c r="AA4" s="1"/>
      <c r="AB4" s="1"/>
      <c r="AC4" s="1"/>
      <c r="AD4" s="1"/>
      <c r="AE4" s="1"/>
    </row>
    <row r="5" ht="22"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ht="25" customHeight="1">
      <c r="A6" s="1"/>
      <c r="B6" s="1"/>
      <c r="C6" s="1"/>
      <c r="D6" s="1"/>
      <c r="E6" s="10" t="str">
        <v>Jaar 1</v>
      </c>
      <c r="F6" s="10" t="str">
        <v>Jaar 2</v>
      </c>
      <c r="G6" s="34"/>
      <c r="H6" s="33" t="n">
        <f>EDATE('Aannames'!$E$5,0)</f>
        <v>46388</v>
      </c>
      <c r="I6" s="33" t="n">
        <f>EDATE('Aannames'!$E$5,1)</f>
        <v>46419</v>
      </c>
      <c r="J6" s="33" t="n">
        <f>EDATE('Aannames'!$E$5,2)</f>
        <v>46447</v>
      </c>
      <c r="K6" s="33" t="n">
        <f>EDATE('Aannames'!$E$5,3)</f>
        <v>46478</v>
      </c>
      <c r="L6" s="33" t="n">
        <f>EDATE('Aannames'!$E$5,4)</f>
        <v>46508</v>
      </c>
      <c r="M6" s="33" t="n">
        <f>EDATE('Aannames'!$E$5,5)</f>
        <v>46539</v>
      </c>
      <c r="N6" s="33" t="n">
        <f>EDATE('Aannames'!$E$5,6)</f>
        <v>46569</v>
      </c>
      <c r="O6" s="33" t="n">
        <f>EDATE('Aannames'!$E$5,7)</f>
        <v>46600</v>
      </c>
      <c r="P6" s="33" t="n">
        <f>EDATE('Aannames'!$E$5,8)</f>
        <v>46631</v>
      </c>
      <c r="Q6" s="33" t="n">
        <f>EDATE('Aannames'!$E$5,9)</f>
        <v>46661</v>
      </c>
      <c r="R6" s="33" t="n">
        <f>EDATE('Aannames'!$E$5,10)</f>
        <v>46692</v>
      </c>
      <c r="S6" s="33" t="n">
        <f>EDATE('Aannames'!$E$5,11)</f>
        <v>46722</v>
      </c>
      <c r="T6" s="33" t="n">
        <f>EDATE('Aannames'!$E$5,12)</f>
        <v>46753</v>
      </c>
      <c r="U6" s="33" t="n">
        <f>EDATE('Aannames'!$E$5,13)</f>
        <v>46784</v>
      </c>
      <c r="V6" s="33" t="n">
        <f>EDATE('Aannames'!$E$5,14)</f>
        <v>46813</v>
      </c>
      <c r="W6" s="33" t="n">
        <f>EDATE('Aannames'!$E$5,15)</f>
        <v>46844</v>
      </c>
      <c r="X6" s="33" t="n">
        <f>EDATE('Aannames'!$E$5,16)</f>
        <v>46874</v>
      </c>
      <c r="Y6" s="33" t="n">
        <f>EDATE('Aannames'!$E$5,17)</f>
        <v>46905</v>
      </c>
      <c r="Z6" s="33" t="n">
        <f>EDATE('Aannames'!$E$5,18)</f>
        <v>46935</v>
      </c>
      <c r="AA6" s="33" t="n">
        <f>EDATE('Aannames'!$E$5,19)</f>
        <v>46966</v>
      </c>
      <c r="AB6" s="33" t="n">
        <f>EDATE('Aannames'!$E$5,20)</f>
        <v>46997</v>
      </c>
      <c r="AC6" s="33" t="n">
        <f>EDATE('Aannames'!$E$5,21)</f>
        <v>47027</v>
      </c>
      <c r="AD6" s="33" t="n">
        <f>EDATE('Aannames'!$E$5,22)</f>
        <v>47058</v>
      </c>
      <c r="AE6" s="33" t="n">
        <f>EDATE('Aannames'!$E$5,23)</f>
        <v>47088</v>
      </c>
    </row>
    <row r="7" ht="22" customHeight="1">
      <c r="A7" s="1"/>
      <c r="B7" s="1"/>
      <c r="C7" s="1"/>
      <c r="D7" s="1"/>
      <c r="E7" s="1"/>
      <c r="F7" s="1"/>
      <c r="G7" s="35"/>
      <c r="H7" s="30" t="n">
        <v>1</v>
      </c>
      <c r="I7" s="30" t="n">
        <v>2</v>
      </c>
      <c r="J7" s="30" t="n">
        <v>3</v>
      </c>
      <c r="K7" s="30" t="n">
        <v>4</v>
      </c>
      <c r="L7" s="30" t="n">
        <v>5</v>
      </c>
      <c r="M7" s="30" t="n">
        <v>6</v>
      </c>
      <c r="N7" s="30" t="n">
        <v>7</v>
      </c>
      <c r="O7" s="30" t="n">
        <v>8</v>
      </c>
      <c r="P7" s="30" t="n">
        <v>9</v>
      </c>
      <c r="Q7" s="30" t="n">
        <v>10</v>
      </c>
      <c r="R7" s="30" t="n">
        <v>11</v>
      </c>
      <c r="S7" s="30" t="n">
        <v>12</v>
      </c>
      <c r="T7" s="30" t="n">
        <v>13</v>
      </c>
      <c r="U7" s="30" t="n">
        <v>14</v>
      </c>
      <c r="V7" s="30" t="n">
        <v>15</v>
      </c>
      <c r="W7" s="30" t="n">
        <v>16</v>
      </c>
      <c r="X7" s="30" t="n">
        <v>17</v>
      </c>
      <c r="Y7" s="30" t="n">
        <v>18</v>
      </c>
      <c r="Z7" s="30" t="n">
        <v>19</v>
      </c>
      <c r="AA7" s="30" t="n">
        <v>20</v>
      </c>
      <c r="AB7" s="30" t="n">
        <v>21</v>
      </c>
      <c r="AC7" s="30" t="n">
        <v>22</v>
      </c>
      <c r="AD7" s="30" t="n">
        <v>23</v>
      </c>
      <c r="AE7" s="30" t="n">
        <v>24</v>
      </c>
    </row>
    <row r="8" ht="22" customHeight="1">
      <c r="A8" s="1"/>
      <c r="B8" s="1"/>
      <c r="C8" s="1"/>
      <c r="D8" s="1"/>
      <c r="E8" s="1"/>
      <c r="F8" s="1"/>
      <c r="G8" s="35"/>
      <c r="H8" s="1"/>
      <c r="I8" s="1"/>
      <c r="J8" s="1"/>
      <c r="K8" s="1"/>
      <c r="L8" s="1"/>
      <c r="M8" s="1"/>
      <c r="N8" s="1"/>
      <c r="O8" s="1"/>
      <c r="P8" s="1"/>
      <c r="Q8" s="1"/>
      <c r="R8" s="1"/>
      <c r="S8" s="1"/>
      <c r="T8" s="1"/>
      <c r="U8" s="1"/>
      <c r="V8" s="1"/>
      <c r="W8" s="1"/>
      <c r="X8" s="1"/>
      <c r="Y8" s="1"/>
      <c r="Z8" s="1"/>
      <c r="AA8" s="1"/>
      <c r="AB8" s="1"/>
      <c r="AC8" s="1"/>
      <c r="AD8" s="1"/>
      <c r="AE8" s="1"/>
    </row>
    <row r="9" ht="22" customHeight="1">
      <c r="A9" s="1"/>
      <c r="B9" s="1"/>
      <c r="C9" s="1" t="str">
        <v>Factureerbare dagen</v>
      </c>
      <c r="D9" s="1"/>
      <c r="E9" s="14"/>
      <c r="F9" s="14"/>
      <c r="G9" s="36"/>
      <c r="H9" s="28" t="n">
        <f>'Aannames'!$E$10</f>
        <v>13</v>
      </c>
      <c r="I9" s="28" t="n">
        <f>'Aannames'!$E$10</f>
        <v>13</v>
      </c>
      <c r="J9" s="28" t="n">
        <f>'Aannames'!$E$10</f>
        <v>13</v>
      </c>
      <c r="K9" s="28" t="n">
        <f>'Aannames'!$E$10</f>
        <v>13</v>
      </c>
      <c r="L9" s="28" t="n">
        <f>'Aannames'!$E$10</f>
        <v>13</v>
      </c>
      <c r="M9" s="28" t="n">
        <f>'Aannames'!$E$10</f>
        <v>13</v>
      </c>
      <c r="N9" s="28" t="n">
        <f>'Aannames'!$E$10</f>
        <v>13</v>
      </c>
      <c r="O9" s="28" t="n">
        <f>'Aannames'!$E$10</f>
        <v>13</v>
      </c>
      <c r="P9" s="28" t="n">
        <f>'Aannames'!$E$10</f>
        <v>13</v>
      </c>
      <c r="Q9" s="28" t="n">
        <f>'Aannames'!$E$10</f>
        <v>13</v>
      </c>
      <c r="R9" s="28" t="n">
        <f>'Aannames'!$E$10</f>
        <v>13</v>
      </c>
      <c r="S9" s="28" t="n">
        <f>'Aannames'!$E$10</f>
        <v>13</v>
      </c>
      <c r="T9" s="28" t="n">
        <f>'Aannames'!$F$10</f>
        <v>15</v>
      </c>
      <c r="U9" s="28" t="n">
        <f>'Aannames'!$F$10</f>
        <v>15</v>
      </c>
      <c r="V9" s="28" t="n">
        <f>'Aannames'!$F$10</f>
        <v>15</v>
      </c>
      <c r="W9" s="28" t="n">
        <f>'Aannames'!$F$10</f>
        <v>15</v>
      </c>
      <c r="X9" s="28" t="n">
        <f>'Aannames'!$F$10</f>
        <v>15</v>
      </c>
      <c r="Y9" s="28" t="n">
        <f>'Aannames'!$F$10</f>
        <v>15</v>
      </c>
      <c r="Z9" s="28" t="n">
        <f>'Aannames'!$F$10</f>
        <v>15</v>
      </c>
      <c r="AA9" s="28" t="n">
        <f>'Aannames'!$F$10</f>
        <v>15</v>
      </c>
      <c r="AB9" s="28" t="n">
        <f>'Aannames'!$F$10</f>
        <v>15</v>
      </c>
      <c r="AC9" s="28" t="n">
        <f>'Aannames'!$F$10</f>
        <v>15</v>
      </c>
      <c r="AD9" s="28" t="n">
        <f>'Aannames'!$F$10</f>
        <v>15</v>
      </c>
      <c r="AE9" s="28" t="n">
        <f>'Aannames'!$F$10</f>
        <v>15</v>
      </c>
    </row>
    <row r="10" ht="22" customHeight="1">
      <c r="A10" s="1"/>
      <c r="B10" s="1"/>
      <c r="C10" s="1" t="str">
        <v>Dagtarief excl. btw</v>
      </c>
      <c r="D10" s="1"/>
      <c r="E10" s="14"/>
      <c r="F10" s="14"/>
      <c r="G10" s="36"/>
      <c r="H10" s="28" t="n">
        <f>'Aannames'!$E$15</f>
        <v>650</v>
      </c>
      <c r="I10" s="28" t="n">
        <f>'Aannames'!$E$15</f>
        <v>650</v>
      </c>
      <c r="J10" s="28" t="n">
        <f>'Aannames'!$E$15</f>
        <v>650</v>
      </c>
      <c r="K10" s="28" t="n">
        <f>'Aannames'!$E$15</f>
        <v>650</v>
      </c>
      <c r="L10" s="28" t="n">
        <f>'Aannames'!$E$15</f>
        <v>650</v>
      </c>
      <c r="M10" s="28" t="n">
        <f>'Aannames'!$E$15</f>
        <v>650</v>
      </c>
      <c r="N10" s="28" t="n">
        <f>'Aannames'!$E$15</f>
        <v>650</v>
      </c>
      <c r="O10" s="28" t="n">
        <f>'Aannames'!$E$15</f>
        <v>650</v>
      </c>
      <c r="P10" s="28" t="n">
        <f>'Aannames'!$E$15</f>
        <v>650</v>
      </c>
      <c r="Q10" s="28" t="n">
        <f>'Aannames'!$E$15</f>
        <v>650</v>
      </c>
      <c r="R10" s="28" t="n">
        <f>'Aannames'!$E$15</f>
        <v>650</v>
      </c>
      <c r="S10" s="28" t="n">
        <f>'Aannames'!$E$15</f>
        <v>650</v>
      </c>
      <c r="T10" s="28" t="n">
        <f>'Aannames'!$F$15</f>
        <v>675</v>
      </c>
      <c r="U10" s="28" t="n">
        <f>'Aannames'!$F$15</f>
        <v>675</v>
      </c>
      <c r="V10" s="28" t="n">
        <f>'Aannames'!$F$15</f>
        <v>675</v>
      </c>
      <c r="W10" s="28" t="n">
        <f>'Aannames'!$F$15</f>
        <v>675</v>
      </c>
      <c r="X10" s="28" t="n">
        <f>'Aannames'!$F$15</f>
        <v>675</v>
      </c>
      <c r="Y10" s="28" t="n">
        <f>'Aannames'!$F$15</f>
        <v>675</v>
      </c>
      <c r="Z10" s="28" t="n">
        <f>'Aannames'!$F$15</f>
        <v>675</v>
      </c>
      <c r="AA10" s="28" t="n">
        <f>'Aannames'!$F$15</f>
        <v>675</v>
      </c>
      <c r="AB10" s="28" t="n">
        <f>'Aannames'!$F$15</f>
        <v>675</v>
      </c>
      <c r="AC10" s="28" t="n">
        <f>'Aannames'!$F$15</f>
        <v>675</v>
      </c>
      <c r="AD10" s="28" t="n">
        <f>'Aannames'!$F$15</f>
        <v>675</v>
      </c>
      <c r="AE10" s="28" t="n">
        <f>'Aannames'!$F$15</f>
        <v>675</v>
      </c>
    </row>
    <row r="11" ht="22" customHeight="1">
      <c r="A11" s="1"/>
      <c r="B11" s="1"/>
      <c r="C11" s="17" t="str">
        <v>Omzet excl. btw</v>
      </c>
      <c r="D11" s="17"/>
      <c r="E11" s="31" t="n">
        <f>SUM(H11:S11)</f>
        <v>101400</v>
      </c>
      <c r="F11" s="31" t="n">
        <f>SUM(T11:AE11)</f>
        <v>121500</v>
      </c>
      <c r="G11" s="37"/>
      <c r="H11" s="31" t="n">
        <f>H9*H10</f>
        <v>8450</v>
      </c>
      <c r="I11" s="31" t="n">
        <f>I9*I10</f>
        <v>8450</v>
      </c>
      <c r="J11" s="31" t="n">
        <f>J9*J10</f>
        <v>8450</v>
      </c>
      <c r="K11" s="31" t="n">
        <f>K9*K10</f>
        <v>8450</v>
      </c>
      <c r="L11" s="31" t="n">
        <f>L9*L10</f>
        <v>8450</v>
      </c>
      <c r="M11" s="31" t="n">
        <f>M9*M10</f>
        <v>8450</v>
      </c>
      <c r="N11" s="31" t="n">
        <f>N9*N10</f>
        <v>8450</v>
      </c>
      <c r="O11" s="31" t="n">
        <f>O9*O10</f>
        <v>8450</v>
      </c>
      <c r="P11" s="31" t="n">
        <f>P9*P10</f>
        <v>8450</v>
      </c>
      <c r="Q11" s="31" t="n">
        <f>Q9*Q10</f>
        <v>8450</v>
      </c>
      <c r="R11" s="31" t="n">
        <f>R9*R10</f>
        <v>8450</v>
      </c>
      <c r="S11" s="31" t="n">
        <f>S9*S10</f>
        <v>8450</v>
      </c>
      <c r="T11" s="31" t="n">
        <f>T9*T10</f>
        <v>10125</v>
      </c>
      <c r="U11" s="31" t="n">
        <f>U9*U10</f>
        <v>10125</v>
      </c>
      <c r="V11" s="31" t="n">
        <f>V9*V10</f>
        <v>10125</v>
      </c>
      <c r="W11" s="31" t="n">
        <f>W9*W10</f>
        <v>10125</v>
      </c>
      <c r="X11" s="31" t="n">
        <f>X9*X10</f>
        <v>10125</v>
      </c>
      <c r="Y11" s="31" t="n">
        <f>Y9*Y10</f>
        <v>10125</v>
      </c>
      <c r="Z11" s="31" t="n">
        <f>Z9*Z10</f>
        <v>10125</v>
      </c>
      <c r="AA11" s="31" t="n">
        <f>AA9*AA10</f>
        <v>10125</v>
      </c>
      <c r="AB11" s="31" t="n">
        <f>AB9*AB10</f>
        <v>10125</v>
      </c>
      <c r="AC11" s="31" t="n">
        <f>AC9*AC10</f>
        <v>10125</v>
      </c>
      <c r="AD11" s="31" t="n">
        <f>AD9*AD10</f>
        <v>10125</v>
      </c>
      <c r="AE11" s="31" t="n">
        <f>AE9*AE10</f>
        <v>10125</v>
      </c>
    </row>
    <row r="12" ht="22" customHeight="1">
      <c r="A12" s="1"/>
      <c r="B12" s="1"/>
      <c r="C12" s="1"/>
      <c r="D12" s="1"/>
      <c r="E12" s="14"/>
      <c r="F12" s="14"/>
      <c r="G12" s="36"/>
      <c r="H12" s="14"/>
      <c r="I12" s="14"/>
      <c r="J12" s="14"/>
      <c r="K12" s="14"/>
      <c r="L12" s="14"/>
      <c r="M12" s="14"/>
      <c r="N12" s="14"/>
      <c r="O12" s="14"/>
      <c r="P12" s="14"/>
      <c r="Q12" s="14"/>
      <c r="R12" s="14"/>
      <c r="S12" s="14"/>
      <c r="T12" s="14"/>
      <c r="U12" s="14"/>
      <c r="V12" s="14"/>
      <c r="W12" s="14"/>
      <c r="X12" s="14"/>
      <c r="Y12" s="14"/>
      <c r="Z12" s="14"/>
      <c r="AA12" s="14"/>
      <c r="AB12" s="14"/>
      <c r="AC12" s="14"/>
      <c r="AD12" s="14"/>
      <c r="AE12" s="14"/>
    </row>
    <row r="13" ht="22" customHeight="1">
      <c r="A13" s="1"/>
      <c r="B13" s="1"/>
      <c r="C13" s="1" t="str">
        <v>Directe bedrijfskosten</v>
      </c>
      <c r="D13" s="1"/>
      <c r="E13" s="14" t="n">
        <f>SUM(H13:S13)</f>
        <v>8112</v>
      </c>
      <c r="F13" s="14" t="n">
        <f>SUM(T13:AE13)</f>
        <v>9720</v>
      </c>
      <c r="G13" s="36"/>
      <c r="H13" s="28" t="n">
        <f>H11*'Aannames'!$E$20</f>
        <v>676</v>
      </c>
      <c r="I13" s="28" t="n">
        <f>I11*'Aannames'!$E$20</f>
        <v>676</v>
      </c>
      <c r="J13" s="28" t="n">
        <f>J11*'Aannames'!$E$20</f>
        <v>676</v>
      </c>
      <c r="K13" s="28" t="n">
        <f>K11*'Aannames'!$E$20</f>
        <v>676</v>
      </c>
      <c r="L13" s="28" t="n">
        <f>L11*'Aannames'!$E$20</f>
        <v>676</v>
      </c>
      <c r="M13" s="28" t="n">
        <f>M11*'Aannames'!$E$20</f>
        <v>676</v>
      </c>
      <c r="N13" s="28" t="n">
        <f>N11*'Aannames'!$E$20</f>
        <v>676</v>
      </c>
      <c r="O13" s="28" t="n">
        <f>O11*'Aannames'!$E$20</f>
        <v>676</v>
      </c>
      <c r="P13" s="28" t="n">
        <f>P11*'Aannames'!$E$20</f>
        <v>676</v>
      </c>
      <c r="Q13" s="28" t="n">
        <f>Q11*'Aannames'!$E$20</f>
        <v>676</v>
      </c>
      <c r="R13" s="28" t="n">
        <f>R11*'Aannames'!$E$20</f>
        <v>676</v>
      </c>
      <c r="S13" s="28" t="n">
        <f>S11*'Aannames'!$E$20</f>
        <v>676</v>
      </c>
      <c r="T13" s="28" t="n">
        <f>T11*'Aannames'!$F$20</f>
        <v>810</v>
      </c>
      <c r="U13" s="28" t="n">
        <f>U11*'Aannames'!$F$20</f>
        <v>810</v>
      </c>
      <c r="V13" s="28" t="n">
        <f>V11*'Aannames'!$F$20</f>
        <v>810</v>
      </c>
      <c r="W13" s="28" t="n">
        <f>W11*'Aannames'!$F$20</f>
        <v>810</v>
      </c>
      <c r="X13" s="28" t="n">
        <f>X11*'Aannames'!$F$20</f>
        <v>810</v>
      </c>
      <c r="Y13" s="28" t="n">
        <f>Y11*'Aannames'!$F$20</f>
        <v>810</v>
      </c>
      <c r="Z13" s="28" t="n">
        <f>Z11*'Aannames'!$F$20</f>
        <v>810</v>
      </c>
      <c r="AA13" s="28" t="n">
        <f>AA11*'Aannames'!$F$20</f>
        <v>810</v>
      </c>
      <c r="AB13" s="28" t="n">
        <f>AB11*'Aannames'!$F$20</f>
        <v>810</v>
      </c>
      <c r="AC13" s="28" t="n">
        <f>AC11*'Aannames'!$F$20</f>
        <v>810</v>
      </c>
      <c r="AD13" s="28" t="n">
        <f>AD11*'Aannames'!$F$20</f>
        <v>810</v>
      </c>
      <c r="AE13" s="28" t="n">
        <f>AE11*'Aannames'!$F$20</f>
        <v>810</v>
      </c>
    </row>
    <row r="14" ht="22" customHeight="1">
      <c r="A14" s="1"/>
      <c r="B14" s="1"/>
      <c r="C14" s="1" t="str">
        <v>Vaste bedrijfskosten</v>
      </c>
      <c r="D14" s="1"/>
      <c r="E14" s="14" t="n">
        <f>SUM(H14:S14)</f>
        <v>19800</v>
      </c>
      <c r="F14" s="14" t="n">
        <f>SUM(T14:AE14)</f>
        <v>22020</v>
      </c>
      <c r="G14" s="36"/>
      <c r="H14" s="28" t="n">
        <f>'Aannames'!$E$25</f>
        <v>1650</v>
      </c>
      <c r="I14" s="28" t="n">
        <f>'Aannames'!$E$25</f>
        <v>1650</v>
      </c>
      <c r="J14" s="28" t="n">
        <f>'Aannames'!$E$25</f>
        <v>1650</v>
      </c>
      <c r="K14" s="28" t="n">
        <f>'Aannames'!$E$25</f>
        <v>1650</v>
      </c>
      <c r="L14" s="28" t="n">
        <f>'Aannames'!$E$25</f>
        <v>1650</v>
      </c>
      <c r="M14" s="28" t="n">
        <f>'Aannames'!$E$25</f>
        <v>1650</v>
      </c>
      <c r="N14" s="28" t="n">
        <f>'Aannames'!$E$25</f>
        <v>1650</v>
      </c>
      <c r="O14" s="28" t="n">
        <f>'Aannames'!$E$25</f>
        <v>1650</v>
      </c>
      <c r="P14" s="28" t="n">
        <f>'Aannames'!$E$25</f>
        <v>1650</v>
      </c>
      <c r="Q14" s="28" t="n">
        <f>'Aannames'!$E$25</f>
        <v>1650</v>
      </c>
      <c r="R14" s="28" t="n">
        <f>'Aannames'!$E$25</f>
        <v>1650</v>
      </c>
      <c r="S14" s="28" t="n">
        <f>'Aannames'!$E$25</f>
        <v>1650</v>
      </c>
      <c r="T14" s="28" t="n">
        <f>'Aannames'!$F$25</f>
        <v>1835</v>
      </c>
      <c r="U14" s="28" t="n">
        <f>'Aannames'!$F$25</f>
        <v>1835</v>
      </c>
      <c r="V14" s="28" t="n">
        <f>'Aannames'!$F$25</f>
        <v>1835</v>
      </c>
      <c r="W14" s="28" t="n">
        <f>'Aannames'!$F$25</f>
        <v>1835</v>
      </c>
      <c r="X14" s="28" t="n">
        <f>'Aannames'!$F$25</f>
        <v>1835</v>
      </c>
      <c r="Y14" s="28" t="n">
        <f>'Aannames'!$F$25</f>
        <v>1835</v>
      </c>
      <c r="Z14" s="28" t="n">
        <f>'Aannames'!$F$25</f>
        <v>1835</v>
      </c>
      <c r="AA14" s="28" t="n">
        <f>'Aannames'!$F$25</f>
        <v>1835</v>
      </c>
      <c r="AB14" s="28" t="n">
        <f>'Aannames'!$F$25</f>
        <v>1835</v>
      </c>
      <c r="AC14" s="28" t="n">
        <f>'Aannames'!$F$25</f>
        <v>1835</v>
      </c>
      <c r="AD14" s="28" t="n">
        <f>'Aannames'!$F$25</f>
        <v>1835</v>
      </c>
      <c r="AE14" s="28" t="n">
        <f>'Aannames'!$F$25</f>
        <v>1835</v>
      </c>
    </row>
    <row r="15" ht="22" customHeight="1">
      <c r="A15" s="1"/>
      <c r="B15" s="1"/>
      <c r="C15" s="1" t="str">
        <v>Bruto bestuurderskost</v>
      </c>
      <c r="D15" s="1"/>
      <c r="E15" s="14" t="n">
        <f>SUM(H15:S15)</f>
        <v>36000</v>
      </c>
      <c r="F15" s="14" t="n">
        <f>SUM(T15:AE15)</f>
        <v>39600</v>
      </c>
      <c r="G15" s="36"/>
      <c r="H15" s="28" t="n">
        <f>'Aannames'!$E$30</f>
        <v>3000</v>
      </c>
      <c r="I15" s="28" t="n">
        <f>'Aannames'!$E$30</f>
        <v>3000</v>
      </c>
      <c r="J15" s="28" t="n">
        <f>'Aannames'!$E$30</f>
        <v>3000</v>
      </c>
      <c r="K15" s="28" t="n">
        <f>'Aannames'!$E$30</f>
        <v>3000</v>
      </c>
      <c r="L15" s="28" t="n">
        <f>'Aannames'!$E$30</f>
        <v>3000</v>
      </c>
      <c r="M15" s="28" t="n">
        <f>'Aannames'!$E$30</f>
        <v>3000</v>
      </c>
      <c r="N15" s="28" t="n">
        <f>'Aannames'!$E$30</f>
        <v>3000</v>
      </c>
      <c r="O15" s="28" t="n">
        <f>'Aannames'!$E$30</f>
        <v>3000</v>
      </c>
      <c r="P15" s="28" t="n">
        <f>'Aannames'!$E$30</f>
        <v>3000</v>
      </c>
      <c r="Q15" s="28" t="n">
        <f>'Aannames'!$E$30</f>
        <v>3000</v>
      </c>
      <c r="R15" s="28" t="n">
        <f>'Aannames'!$E$30</f>
        <v>3000</v>
      </c>
      <c r="S15" s="28" t="n">
        <f>'Aannames'!$E$30</f>
        <v>3000</v>
      </c>
      <c r="T15" s="28" t="n">
        <f>'Aannames'!$F$30</f>
        <v>3300</v>
      </c>
      <c r="U15" s="28" t="n">
        <f>'Aannames'!$F$30</f>
        <v>3300</v>
      </c>
      <c r="V15" s="28" t="n">
        <f>'Aannames'!$F$30</f>
        <v>3300</v>
      </c>
      <c r="W15" s="28" t="n">
        <f>'Aannames'!$F$30</f>
        <v>3300</v>
      </c>
      <c r="X15" s="28" t="n">
        <f>'Aannames'!$F$30</f>
        <v>3300</v>
      </c>
      <c r="Y15" s="28" t="n">
        <f>'Aannames'!$F$30</f>
        <v>3300</v>
      </c>
      <c r="Z15" s="28" t="n">
        <f>'Aannames'!$F$30</f>
        <v>3300</v>
      </c>
      <c r="AA15" s="28" t="n">
        <f>'Aannames'!$F$30</f>
        <v>3300</v>
      </c>
      <c r="AB15" s="28" t="n">
        <f>'Aannames'!$F$30</f>
        <v>3300</v>
      </c>
      <c r="AC15" s="28" t="n">
        <f>'Aannames'!$F$30</f>
        <v>3300</v>
      </c>
      <c r="AD15" s="28" t="n">
        <f>'Aannames'!$F$30</f>
        <v>3300</v>
      </c>
      <c r="AE15" s="28" t="n">
        <f>'Aannames'!$F$30</f>
        <v>3300</v>
      </c>
    </row>
    <row r="16" ht="22" customHeight="1">
      <c r="A16" s="1"/>
      <c r="B16" s="1"/>
      <c r="C16" s="1" t="str">
        <v>Eenmalige opstartkosten</v>
      </c>
      <c r="D16" s="1"/>
      <c r="E16" s="14" t="n">
        <f>SUM(H16:S16)</f>
        <v>2500</v>
      </c>
      <c r="F16" s="14" t="n">
        <f>SUM(T16:AE16)</f>
        <v>0</v>
      </c>
      <c r="G16" s="36"/>
      <c r="H16" s="28" t="n">
        <f>IF(H$7=1,IF(AND(ISNUMBER('Aannames'!$E$53),'Aannames'!$E$53&gt;=0),'Aannames'!$E$53,NA()),0)</f>
        <v>2500</v>
      </c>
      <c r="I16" s="28" t="n">
        <f>IF(I$7=1,IF(AND(ISNUMBER('Aannames'!$E$53),'Aannames'!$E$53&gt;=0),'Aannames'!$E$53,NA()),0)</f>
        <v>0</v>
      </c>
      <c r="J16" s="28" t="n">
        <f>IF(J$7=1,IF(AND(ISNUMBER('Aannames'!$E$53),'Aannames'!$E$53&gt;=0),'Aannames'!$E$53,NA()),0)</f>
        <v>0</v>
      </c>
      <c r="K16" s="28" t="n">
        <f>IF(K$7=1,IF(AND(ISNUMBER('Aannames'!$E$53),'Aannames'!$E$53&gt;=0),'Aannames'!$E$53,NA()),0)</f>
        <v>0</v>
      </c>
      <c r="L16" s="28" t="n">
        <f>IF(L$7=1,IF(AND(ISNUMBER('Aannames'!$E$53),'Aannames'!$E$53&gt;=0),'Aannames'!$E$53,NA()),0)</f>
        <v>0</v>
      </c>
      <c r="M16" s="28" t="n">
        <f>IF(M$7=1,IF(AND(ISNUMBER('Aannames'!$E$53),'Aannames'!$E$53&gt;=0),'Aannames'!$E$53,NA()),0)</f>
        <v>0</v>
      </c>
      <c r="N16" s="28" t="n">
        <f>IF(N$7=1,IF(AND(ISNUMBER('Aannames'!$E$53),'Aannames'!$E$53&gt;=0),'Aannames'!$E$53,NA()),0)</f>
        <v>0</v>
      </c>
      <c r="O16" s="28" t="n">
        <f>IF(O$7=1,IF(AND(ISNUMBER('Aannames'!$E$53),'Aannames'!$E$53&gt;=0),'Aannames'!$E$53,NA()),0)</f>
        <v>0</v>
      </c>
      <c r="P16" s="28" t="n">
        <f>IF(P$7=1,IF(AND(ISNUMBER('Aannames'!$E$53),'Aannames'!$E$53&gt;=0),'Aannames'!$E$53,NA()),0)</f>
        <v>0</v>
      </c>
      <c r="Q16" s="28" t="n">
        <f>IF(Q$7=1,IF(AND(ISNUMBER('Aannames'!$E$53),'Aannames'!$E$53&gt;=0),'Aannames'!$E$53,NA()),0)</f>
        <v>0</v>
      </c>
      <c r="R16" s="28" t="n">
        <f>IF(R$7=1,IF(AND(ISNUMBER('Aannames'!$E$53),'Aannames'!$E$53&gt;=0),'Aannames'!$E$53,NA()),0)</f>
        <v>0</v>
      </c>
      <c r="S16" s="28" t="n">
        <f>IF(S$7=1,IF(AND(ISNUMBER('Aannames'!$E$53),'Aannames'!$E$53&gt;=0),'Aannames'!$E$53,NA()),0)</f>
        <v>0</v>
      </c>
      <c r="T16" s="28" t="n">
        <f>IF(T$7=1,IF(AND(ISNUMBER('Aannames'!$E$53),'Aannames'!$E$53&gt;=0),'Aannames'!$E$53,NA()),0)</f>
        <v>0</v>
      </c>
      <c r="U16" s="28" t="n">
        <f>IF(U$7=1,IF(AND(ISNUMBER('Aannames'!$E$53),'Aannames'!$E$53&gt;=0),'Aannames'!$E$53,NA()),0)</f>
        <v>0</v>
      </c>
      <c r="V16" s="28" t="n">
        <f>IF(V$7=1,IF(AND(ISNUMBER('Aannames'!$E$53),'Aannames'!$E$53&gt;=0),'Aannames'!$E$53,NA()),0)</f>
        <v>0</v>
      </c>
      <c r="W16" s="28" t="n">
        <f>IF(W$7=1,IF(AND(ISNUMBER('Aannames'!$E$53),'Aannames'!$E$53&gt;=0),'Aannames'!$E$53,NA()),0)</f>
        <v>0</v>
      </c>
      <c r="X16" s="28" t="n">
        <f>IF(X$7=1,IF(AND(ISNUMBER('Aannames'!$E$53),'Aannames'!$E$53&gt;=0),'Aannames'!$E$53,NA()),0)</f>
        <v>0</v>
      </c>
      <c r="Y16" s="28" t="n">
        <f>IF(Y$7=1,IF(AND(ISNUMBER('Aannames'!$E$53),'Aannames'!$E$53&gt;=0),'Aannames'!$E$53,NA()),0)</f>
        <v>0</v>
      </c>
      <c r="Z16" s="28" t="n">
        <f>IF(Z$7=1,IF(AND(ISNUMBER('Aannames'!$E$53),'Aannames'!$E$53&gt;=0),'Aannames'!$E$53,NA()),0)</f>
        <v>0</v>
      </c>
      <c r="AA16" s="28" t="n">
        <f>IF(AA$7=1,IF(AND(ISNUMBER('Aannames'!$E$53),'Aannames'!$E$53&gt;=0),'Aannames'!$E$53,NA()),0)</f>
        <v>0</v>
      </c>
      <c r="AB16" s="28" t="n">
        <f>IF(AB$7=1,IF(AND(ISNUMBER('Aannames'!$E$53),'Aannames'!$E$53&gt;=0),'Aannames'!$E$53,NA()),0)</f>
        <v>0</v>
      </c>
      <c r="AC16" s="28" t="n">
        <f>IF(AC$7=1,IF(AND(ISNUMBER('Aannames'!$E$53),'Aannames'!$E$53&gt;=0),'Aannames'!$E$53,NA()),0)</f>
        <v>0</v>
      </c>
      <c r="AD16" s="28" t="n">
        <f>IF(AD$7=1,IF(AND(ISNUMBER('Aannames'!$E$53),'Aannames'!$E$53&gt;=0),'Aannames'!$E$53,NA()),0)</f>
        <v>0</v>
      </c>
      <c r="AE16" s="28" t="n">
        <f>IF(AE$7=1,IF(AND(ISNUMBER('Aannames'!$E$53),'Aannames'!$E$53&gt;=0),'Aannames'!$E$53,NA()),0)</f>
        <v>0</v>
      </c>
    </row>
    <row r="17" ht="22" customHeight="1">
      <c r="A17" s="1"/>
      <c r="B17" s="1"/>
      <c r="C17" s="17" t="str">
        <v>Resultaat vóór afschr. / rente</v>
      </c>
      <c r="D17" s="17"/>
      <c r="E17" s="31" t="n">
        <f>SUM(H17:S17)</f>
        <v>34988</v>
      </c>
      <c r="F17" s="31" t="n">
        <f>SUM(T17:AE17)</f>
        <v>50160</v>
      </c>
      <c r="G17" s="37"/>
      <c r="H17" s="31" t="n">
        <f>H11-SUM(H13:H16)</f>
        <v>624</v>
      </c>
      <c r="I17" s="31" t="n">
        <f>I11-SUM(I13:I16)</f>
        <v>3124</v>
      </c>
      <c r="J17" s="31" t="n">
        <f>J11-SUM(J13:J16)</f>
        <v>3124</v>
      </c>
      <c r="K17" s="31" t="n">
        <f>K11-SUM(K13:K16)</f>
        <v>3124</v>
      </c>
      <c r="L17" s="31" t="n">
        <f>L11-SUM(L13:L16)</f>
        <v>3124</v>
      </c>
      <c r="M17" s="31" t="n">
        <f>M11-SUM(M13:M16)</f>
        <v>3124</v>
      </c>
      <c r="N17" s="31" t="n">
        <f>N11-SUM(N13:N16)</f>
        <v>3124</v>
      </c>
      <c r="O17" s="31" t="n">
        <f>O11-SUM(O13:O16)</f>
        <v>3124</v>
      </c>
      <c r="P17" s="31" t="n">
        <f>P11-SUM(P13:P16)</f>
        <v>3124</v>
      </c>
      <c r="Q17" s="31" t="n">
        <f>Q11-SUM(Q13:Q16)</f>
        <v>3124</v>
      </c>
      <c r="R17" s="31" t="n">
        <f>R11-SUM(R13:R16)</f>
        <v>3124</v>
      </c>
      <c r="S17" s="31" t="n">
        <f>S11-SUM(S13:S16)</f>
        <v>3124</v>
      </c>
      <c r="T17" s="31" t="n">
        <f>T11-SUM(T13:T16)</f>
        <v>4180</v>
      </c>
      <c r="U17" s="31" t="n">
        <f>U11-SUM(U13:U16)</f>
        <v>4180</v>
      </c>
      <c r="V17" s="31" t="n">
        <f>V11-SUM(V13:V16)</f>
        <v>4180</v>
      </c>
      <c r="W17" s="31" t="n">
        <f>W11-SUM(W13:W16)</f>
        <v>4180</v>
      </c>
      <c r="X17" s="31" t="n">
        <f>X11-SUM(X13:X16)</f>
        <v>4180</v>
      </c>
      <c r="Y17" s="31" t="n">
        <f>Y11-SUM(Y13:Y16)</f>
        <v>4180</v>
      </c>
      <c r="Z17" s="31" t="n">
        <f>Z11-SUM(Z13:Z16)</f>
        <v>4180</v>
      </c>
      <c r="AA17" s="31" t="n">
        <f>AA11-SUM(AA13:AA16)</f>
        <v>4180</v>
      </c>
      <c r="AB17" s="31" t="n">
        <f>AB11-SUM(AB13:AB16)</f>
        <v>4180</v>
      </c>
      <c r="AC17" s="31" t="n">
        <f>AC11-SUM(AC13:AC16)</f>
        <v>4180</v>
      </c>
      <c r="AD17" s="31" t="n">
        <f>AD11-SUM(AD13:AD16)</f>
        <v>4180</v>
      </c>
      <c r="AE17" s="31" t="n">
        <f>AE11-SUM(AE13:AE16)</f>
        <v>4180</v>
      </c>
    </row>
    <row r="18" ht="22" customHeight="1">
      <c r="A18" s="1"/>
      <c r="B18" s="1"/>
      <c r="C18" s="1" t="str">
        <v>Afschrijvingen</v>
      </c>
      <c r="D18" s="1"/>
      <c r="E18" s="14" t="n">
        <f>SUM(H18:S18)</f>
        <v>3000</v>
      </c>
      <c r="F18" s="14" t="n">
        <f>SUM(T18:AE18)</f>
        <v>3000</v>
      </c>
      <c r="G18" s="36"/>
      <c r="H18" s="28" t="n">
        <f>MIN(H29+H28,IF(AND(ISNUMBER('Aannames'!$E$43),'Aannames'!$E$43&gt;=0),'Aannames'!$E$43,NA())/IF(AND(ISNUMBER('Aannames'!$E$44),'Aannames'!$E$44&gt;=1,MOD('Aannames'!$E$44,1)=0),'Aannames'!$E$44,NA()))</f>
        <v>250</v>
      </c>
      <c r="I18" s="28" t="n">
        <f>MIN(I29+I28,IF(AND(ISNUMBER('Aannames'!$E$43),'Aannames'!$E$43&gt;=0),'Aannames'!$E$43,NA())/IF(AND(ISNUMBER('Aannames'!$E$44),'Aannames'!$E$44&gt;=1,MOD('Aannames'!$E$44,1)=0),'Aannames'!$E$44,NA()))</f>
        <v>250</v>
      </c>
      <c r="J18" s="28" t="n">
        <f>MIN(J29+J28,IF(AND(ISNUMBER('Aannames'!$E$43),'Aannames'!$E$43&gt;=0),'Aannames'!$E$43,NA())/IF(AND(ISNUMBER('Aannames'!$E$44),'Aannames'!$E$44&gt;=1,MOD('Aannames'!$E$44,1)=0),'Aannames'!$E$44,NA()))</f>
        <v>250</v>
      </c>
      <c r="K18" s="28" t="n">
        <f>MIN(K29+K28,IF(AND(ISNUMBER('Aannames'!$E$43),'Aannames'!$E$43&gt;=0),'Aannames'!$E$43,NA())/IF(AND(ISNUMBER('Aannames'!$E$44),'Aannames'!$E$44&gt;=1,MOD('Aannames'!$E$44,1)=0),'Aannames'!$E$44,NA()))</f>
        <v>250</v>
      </c>
      <c r="L18" s="28" t="n">
        <f>MIN(L29+L28,IF(AND(ISNUMBER('Aannames'!$E$43),'Aannames'!$E$43&gt;=0),'Aannames'!$E$43,NA())/IF(AND(ISNUMBER('Aannames'!$E$44),'Aannames'!$E$44&gt;=1,MOD('Aannames'!$E$44,1)=0),'Aannames'!$E$44,NA()))</f>
        <v>250</v>
      </c>
      <c r="M18" s="28" t="n">
        <f>MIN(M29+M28,IF(AND(ISNUMBER('Aannames'!$E$43),'Aannames'!$E$43&gt;=0),'Aannames'!$E$43,NA())/IF(AND(ISNUMBER('Aannames'!$E$44),'Aannames'!$E$44&gt;=1,MOD('Aannames'!$E$44,1)=0),'Aannames'!$E$44,NA()))</f>
        <v>250</v>
      </c>
      <c r="N18" s="28" t="n">
        <f>MIN(N29+N28,IF(AND(ISNUMBER('Aannames'!$E$43),'Aannames'!$E$43&gt;=0),'Aannames'!$E$43,NA())/IF(AND(ISNUMBER('Aannames'!$E$44),'Aannames'!$E$44&gt;=1,MOD('Aannames'!$E$44,1)=0),'Aannames'!$E$44,NA()))</f>
        <v>250</v>
      </c>
      <c r="O18" s="28" t="n">
        <f>MIN(O29+O28,IF(AND(ISNUMBER('Aannames'!$E$43),'Aannames'!$E$43&gt;=0),'Aannames'!$E$43,NA())/IF(AND(ISNUMBER('Aannames'!$E$44),'Aannames'!$E$44&gt;=1,MOD('Aannames'!$E$44,1)=0),'Aannames'!$E$44,NA()))</f>
        <v>250</v>
      </c>
      <c r="P18" s="28" t="n">
        <f>MIN(P29+P28,IF(AND(ISNUMBER('Aannames'!$E$43),'Aannames'!$E$43&gt;=0),'Aannames'!$E$43,NA())/IF(AND(ISNUMBER('Aannames'!$E$44),'Aannames'!$E$44&gt;=1,MOD('Aannames'!$E$44,1)=0),'Aannames'!$E$44,NA()))</f>
        <v>250</v>
      </c>
      <c r="Q18" s="28" t="n">
        <f>MIN(Q29+Q28,IF(AND(ISNUMBER('Aannames'!$E$43),'Aannames'!$E$43&gt;=0),'Aannames'!$E$43,NA())/IF(AND(ISNUMBER('Aannames'!$E$44),'Aannames'!$E$44&gt;=1,MOD('Aannames'!$E$44,1)=0),'Aannames'!$E$44,NA()))</f>
        <v>250</v>
      </c>
      <c r="R18" s="28" t="n">
        <f>MIN(R29+R28,IF(AND(ISNUMBER('Aannames'!$E$43),'Aannames'!$E$43&gt;=0),'Aannames'!$E$43,NA())/IF(AND(ISNUMBER('Aannames'!$E$44),'Aannames'!$E$44&gt;=1,MOD('Aannames'!$E$44,1)=0),'Aannames'!$E$44,NA()))</f>
        <v>250</v>
      </c>
      <c r="S18" s="28" t="n">
        <f>MIN(S29+S28,IF(AND(ISNUMBER('Aannames'!$E$43),'Aannames'!$E$43&gt;=0),'Aannames'!$E$43,NA())/IF(AND(ISNUMBER('Aannames'!$E$44),'Aannames'!$E$44&gt;=1,MOD('Aannames'!$E$44,1)=0),'Aannames'!$E$44,NA()))</f>
        <v>250</v>
      </c>
      <c r="T18" s="28" t="n">
        <f>MIN(T29+T28,IF(AND(ISNUMBER('Aannames'!$E$43),'Aannames'!$E$43&gt;=0),'Aannames'!$E$43,NA())/IF(AND(ISNUMBER('Aannames'!$E$44),'Aannames'!$E$44&gt;=1,MOD('Aannames'!$E$44,1)=0),'Aannames'!$E$44,NA()))</f>
        <v>250</v>
      </c>
      <c r="U18" s="28" t="n">
        <f>MIN(U29+U28,IF(AND(ISNUMBER('Aannames'!$E$43),'Aannames'!$E$43&gt;=0),'Aannames'!$E$43,NA())/IF(AND(ISNUMBER('Aannames'!$E$44),'Aannames'!$E$44&gt;=1,MOD('Aannames'!$E$44,1)=0),'Aannames'!$E$44,NA()))</f>
        <v>250</v>
      </c>
      <c r="V18" s="28" t="n">
        <f>MIN(V29+V28,IF(AND(ISNUMBER('Aannames'!$E$43),'Aannames'!$E$43&gt;=0),'Aannames'!$E$43,NA())/IF(AND(ISNUMBER('Aannames'!$E$44),'Aannames'!$E$44&gt;=1,MOD('Aannames'!$E$44,1)=0),'Aannames'!$E$44,NA()))</f>
        <v>250</v>
      </c>
      <c r="W18" s="28" t="n">
        <f>MIN(W29+W28,IF(AND(ISNUMBER('Aannames'!$E$43),'Aannames'!$E$43&gt;=0),'Aannames'!$E$43,NA())/IF(AND(ISNUMBER('Aannames'!$E$44),'Aannames'!$E$44&gt;=1,MOD('Aannames'!$E$44,1)=0),'Aannames'!$E$44,NA()))</f>
        <v>250</v>
      </c>
      <c r="X18" s="28" t="n">
        <f>MIN(X29+X28,IF(AND(ISNUMBER('Aannames'!$E$43),'Aannames'!$E$43&gt;=0),'Aannames'!$E$43,NA())/IF(AND(ISNUMBER('Aannames'!$E$44),'Aannames'!$E$44&gt;=1,MOD('Aannames'!$E$44,1)=0),'Aannames'!$E$44,NA()))</f>
        <v>250</v>
      </c>
      <c r="Y18" s="28" t="n">
        <f>MIN(Y29+Y28,IF(AND(ISNUMBER('Aannames'!$E$43),'Aannames'!$E$43&gt;=0),'Aannames'!$E$43,NA())/IF(AND(ISNUMBER('Aannames'!$E$44),'Aannames'!$E$44&gt;=1,MOD('Aannames'!$E$44,1)=0),'Aannames'!$E$44,NA()))</f>
        <v>250</v>
      </c>
      <c r="Z18" s="28" t="n">
        <f>MIN(Z29+Z28,IF(AND(ISNUMBER('Aannames'!$E$43),'Aannames'!$E$43&gt;=0),'Aannames'!$E$43,NA())/IF(AND(ISNUMBER('Aannames'!$E$44),'Aannames'!$E$44&gt;=1,MOD('Aannames'!$E$44,1)=0),'Aannames'!$E$44,NA()))</f>
        <v>250</v>
      </c>
      <c r="AA18" s="28" t="n">
        <f>MIN(AA29+AA28,IF(AND(ISNUMBER('Aannames'!$E$43),'Aannames'!$E$43&gt;=0),'Aannames'!$E$43,NA())/IF(AND(ISNUMBER('Aannames'!$E$44),'Aannames'!$E$44&gt;=1,MOD('Aannames'!$E$44,1)=0),'Aannames'!$E$44,NA()))</f>
        <v>250</v>
      </c>
      <c r="AB18" s="28" t="n">
        <f>MIN(AB29+AB28,IF(AND(ISNUMBER('Aannames'!$E$43),'Aannames'!$E$43&gt;=0),'Aannames'!$E$43,NA())/IF(AND(ISNUMBER('Aannames'!$E$44),'Aannames'!$E$44&gt;=1,MOD('Aannames'!$E$44,1)=0),'Aannames'!$E$44,NA()))</f>
        <v>250</v>
      </c>
      <c r="AC18" s="28" t="n">
        <f>MIN(AC29+AC28,IF(AND(ISNUMBER('Aannames'!$E$43),'Aannames'!$E$43&gt;=0),'Aannames'!$E$43,NA())/IF(AND(ISNUMBER('Aannames'!$E$44),'Aannames'!$E$44&gt;=1,MOD('Aannames'!$E$44,1)=0),'Aannames'!$E$44,NA()))</f>
        <v>250</v>
      </c>
      <c r="AD18" s="28" t="n">
        <f>MIN(AD29+AD28,IF(AND(ISNUMBER('Aannames'!$E$43),'Aannames'!$E$43&gt;=0),'Aannames'!$E$43,NA())/IF(AND(ISNUMBER('Aannames'!$E$44),'Aannames'!$E$44&gt;=1,MOD('Aannames'!$E$44,1)=0),'Aannames'!$E$44,NA()))</f>
        <v>250</v>
      </c>
      <c r="AE18" s="28" t="n">
        <f>MIN(AE29+AE28,IF(AND(ISNUMBER('Aannames'!$E$43),'Aannames'!$E$43&gt;=0),'Aannames'!$E$43,NA())/IF(AND(ISNUMBER('Aannames'!$E$44),'Aannames'!$E$44&gt;=1,MOD('Aannames'!$E$44,1)=0),'Aannames'!$E$44,NA()))</f>
        <v>250</v>
      </c>
    </row>
    <row r="19" ht="22" customHeight="1">
      <c r="A19" s="1"/>
      <c r="B19" s="1"/>
      <c r="C19" s="17" t="str">
        <v>Bedrijfsresultaat</v>
      </c>
      <c r="D19" s="17"/>
      <c r="E19" s="31" t="n">
        <f>SUM(H19:S19)</f>
        <v>31988</v>
      </c>
      <c r="F19" s="31" t="n">
        <f>SUM(T19:AE19)</f>
        <v>47160</v>
      </c>
      <c r="G19" s="37"/>
      <c r="H19" s="31" t="n">
        <f>H17-H18</f>
        <v>374</v>
      </c>
      <c r="I19" s="31" t="n">
        <f>I17-I18</f>
        <v>2874</v>
      </c>
      <c r="J19" s="31" t="n">
        <f>J17-J18</f>
        <v>2874</v>
      </c>
      <c r="K19" s="31" t="n">
        <f>K17-K18</f>
        <v>2874</v>
      </c>
      <c r="L19" s="31" t="n">
        <f>L17-L18</f>
        <v>2874</v>
      </c>
      <c r="M19" s="31" t="n">
        <f>M17-M18</f>
        <v>2874</v>
      </c>
      <c r="N19" s="31" t="n">
        <f>N17-N18</f>
        <v>2874</v>
      </c>
      <c r="O19" s="31" t="n">
        <f>O17-O18</f>
        <v>2874</v>
      </c>
      <c r="P19" s="31" t="n">
        <f>P17-P18</f>
        <v>2874</v>
      </c>
      <c r="Q19" s="31" t="n">
        <f>Q17-Q18</f>
        <v>2874</v>
      </c>
      <c r="R19" s="31" t="n">
        <f>R17-R18</f>
        <v>2874</v>
      </c>
      <c r="S19" s="31" t="n">
        <f>S17-S18</f>
        <v>2874</v>
      </c>
      <c r="T19" s="31" t="n">
        <f>T17-T18</f>
        <v>3930</v>
      </c>
      <c r="U19" s="31" t="n">
        <f>U17-U18</f>
        <v>3930</v>
      </c>
      <c r="V19" s="31" t="n">
        <f>V17-V18</f>
        <v>3930</v>
      </c>
      <c r="W19" s="31" t="n">
        <f>W17-W18</f>
        <v>3930</v>
      </c>
      <c r="X19" s="31" t="n">
        <f>X17-X18</f>
        <v>3930</v>
      </c>
      <c r="Y19" s="31" t="n">
        <f>Y17-Y18</f>
        <v>3930</v>
      </c>
      <c r="Z19" s="31" t="n">
        <f>Z17-Z18</f>
        <v>3930</v>
      </c>
      <c r="AA19" s="31" t="n">
        <f>AA17-AA18</f>
        <v>3930</v>
      </c>
      <c r="AB19" s="31" t="n">
        <f>AB17-AB18</f>
        <v>3930</v>
      </c>
      <c r="AC19" s="31" t="n">
        <f>AC17-AC18</f>
        <v>3930</v>
      </c>
      <c r="AD19" s="31" t="n">
        <f>AD17-AD18</f>
        <v>3930</v>
      </c>
      <c r="AE19" s="31" t="n">
        <f>AE17-AE18</f>
        <v>3930</v>
      </c>
    </row>
    <row r="20" ht="22" customHeight="1">
      <c r="A20" s="1"/>
      <c r="B20" s="1"/>
      <c r="C20" s="1" t="str">
        <v>Lening begin maand</v>
      </c>
      <c r="D20" s="1"/>
      <c r="E20" s="14" t="n">
        <f>H20</f>
        <v>10000</v>
      </c>
      <c r="F20" s="14" t="n">
        <f>T20</f>
        <v>6666.6666666666715</v>
      </c>
      <c r="G20" s="36"/>
      <c r="H20" s="28" t="n">
        <f>IF(AND(ISNUMBER('Aannames'!$E$46),'Aannames'!$E$46&gt;=0),'Aannames'!$E$46,NA())</f>
        <v>10000</v>
      </c>
      <c r="I20" s="14" t="n">
        <f>H23</f>
        <v>9722.222222222223</v>
      </c>
      <c r="J20" s="14" t="n">
        <f>I23</f>
        <v>9444.444444444445</v>
      </c>
      <c r="K20" s="14" t="n">
        <f>J23</f>
        <v>9166.666666666668</v>
      </c>
      <c r="L20" s="14" t="n">
        <f>K23</f>
        <v>8888.88888888889</v>
      </c>
      <c r="M20" s="14" t="n">
        <f>L23</f>
        <v>8611.111111111113</v>
      </c>
      <c r="N20" s="14" t="n">
        <f>M23</f>
        <v>8333.333333333336</v>
      </c>
      <c r="O20" s="14" t="n">
        <f>N23</f>
        <v>8055.555555555558</v>
      </c>
      <c r="P20" s="14" t="n">
        <f>O23</f>
        <v>7777.777777777781</v>
      </c>
      <c r="Q20" s="14" t="n">
        <f>P23</f>
        <v>7500.000000000004</v>
      </c>
      <c r="R20" s="14" t="n">
        <f>Q23</f>
        <v>7222.222222222226</v>
      </c>
      <c r="S20" s="14" t="n">
        <f>R23</f>
        <v>6944.444444444449</v>
      </c>
      <c r="T20" s="14" t="n">
        <f>S23</f>
        <v>6666.6666666666715</v>
      </c>
      <c r="U20" s="14" t="n">
        <f>T23</f>
        <v>6388.888888888894</v>
      </c>
      <c r="V20" s="14" t="n">
        <f>U23</f>
        <v>6111.111111111117</v>
      </c>
      <c r="W20" s="14" t="n">
        <f>V23</f>
        <v>5833.333333333339</v>
      </c>
      <c r="X20" s="14" t="n">
        <f>W23</f>
        <v>5555.555555555562</v>
      </c>
      <c r="Y20" s="14" t="n">
        <f>X23</f>
        <v>5277.777777777785</v>
      </c>
      <c r="Z20" s="14" t="n">
        <f>Y23</f>
        <v>5000.000000000007</v>
      </c>
      <c r="AA20" s="14" t="n">
        <f>Z23</f>
        <v>4722.22222222223</v>
      </c>
      <c r="AB20" s="14" t="n">
        <f>AA23</f>
        <v>4444.4444444444525</v>
      </c>
      <c r="AC20" s="14" t="n">
        <f>AB23</f>
        <v>4166.666666666675</v>
      </c>
      <c r="AD20" s="14" t="n">
        <f>AC23</f>
        <v>3888.8888888888973</v>
      </c>
      <c r="AE20" s="14" t="n">
        <f>AD23</f>
        <v>3611.1111111111195</v>
      </c>
    </row>
    <row r="21" ht="22" customHeight="1">
      <c r="A21" s="1"/>
      <c r="B21" s="1"/>
      <c r="C21" s="1" t="str">
        <v>Aflossing kapitaal</v>
      </c>
      <c r="D21" s="1"/>
      <c r="E21" s="14" t="n">
        <f>SUM(H21:S21)</f>
        <v>3333.3333333333335</v>
      </c>
      <c r="F21" s="14" t="n">
        <f>SUM(T21:AE21)</f>
        <v>3333.3333333333335</v>
      </c>
      <c r="G21" s="36"/>
      <c r="H21" s="28" t="n">
        <f>MIN(H20,IF(AND(ISNUMBER('Aannames'!$E$46),'Aannames'!$E$46&gt;=0),'Aannames'!$E$46,NA())/IF(AND(ISNUMBER('Aannames'!$E$47),'Aannames'!$E$47&gt;=1,MOD('Aannames'!$E$47,1)=0),'Aannames'!$E$47,NA()))</f>
        <v>277.77777777777777</v>
      </c>
      <c r="I21" s="28" t="n">
        <f>MIN(I20,IF(AND(ISNUMBER('Aannames'!$E$46),'Aannames'!$E$46&gt;=0),'Aannames'!$E$46,NA())/IF(AND(ISNUMBER('Aannames'!$E$47),'Aannames'!$E$47&gt;=1,MOD('Aannames'!$E$47,1)=0),'Aannames'!$E$47,NA()))</f>
        <v>277.77777777777777</v>
      </c>
      <c r="J21" s="28" t="n">
        <f>MIN(J20,IF(AND(ISNUMBER('Aannames'!$E$46),'Aannames'!$E$46&gt;=0),'Aannames'!$E$46,NA())/IF(AND(ISNUMBER('Aannames'!$E$47),'Aannames'!$E$47&gt;=1,MOD('Aannames'!$E$47,1)=0),'Aannames'!$E$47,NA()))</f>
        <v>277.77777777777777</v>
      </c>
      <c r="K21" s="28" t="n">
        <f>MIN(K20,IF(AND(ISNUMBER('Aannames'!$E$46),'Aannames'!$E$46&gt;=0),'Aannames'!$E$46,NA())/IF(AND(ISNUMBER('Aannames'!$E$47),'Aannames'!$E$47&gt;=1,MOD('Aannames'!$E$47,1)=0),'Aannames'!$E$47,NA()))</f>
        <v>277.77777777777777</v>
      </c>
      <c r="L21" s="28" t="n">
        <f>MIN(L20,IF(AND(ISNUMBER('Aannames'!$E$46),'Aannames'!$E$46&gt;=0),'Aannames'!$E$46,NA())/IF(AND(ISNUMBER('Aannames'!$E$47),'Aannames'!$E$47&gt;=1,MOD('Aannames'!$E$47,1)=0),'Aannames'!$E$47,NA()))</f>
        <v>277.77777777777777</v>
      </c>
      <c r="M21" s="28" t="n">
        <f>MIN(M20,IF(AND(ISNUMBER('Aannames'!$E$46),'Aannames'!$E$46&gt;=0),'Aannames'!$E$46,NA())/IF(AND(ISNUMBER('Aannames'!$E$47),'Aannames'!$E$47&gt;=1,MOD('Aannames'!$E$47,1)=0),'Aannames'!$E$47,NA()))</f>
        <v>277.77777777777777</v>
      </c>
      <c r="N21" s="28" t="n">
        <f>MIN(N20,IF(AND(ISNUMBER('Aannames'!$E$46),'Aannames'!$E$46&gt;=0),'Aannames'!$E$46,NA())/IF(AND(ISNUMBER('Aannames'!$E$47),'Aannames'!$E$47&gt;=1,MOD('Aannames'!$E$47,1)=0),'Aannames'!$E$47,NA()))</f>
        <v>277.77777777777777</v>
      </c>
      <c r="O21" s="28" t="n">
        <f>MIN(O20,IF(AND(ISNUMBER('Aannames'!$E$46),'Aannames'!$E$46&gt;=0),'Aannames'!$E$46,NA())/IF(AND(ISNUMBER('Aannames'!$E$47),'Aannames'!$E$47&gt;=1,MOD('Aannames'!$E$47,1)=0),'Aannames'!$E$47,NA()))</f>
        <v>277.77777777777777</v>
      </c>
      <c r="P21" s="28" t="n">
        <f>MIN(P20,IF(AND(ISNUMBER('Aannames'!$E$46),'Aannames'!$E$46&gt;=0),'Aannames'!$E$46,NA())/IF(AND(ISNUMBER('Aannames'!$E$47),'Aannames'!$E$47&gt;=1,MOD('Aannames'!$E$47,1)=0),'Aannames'!$E$47,NA()))</f>
        <v>277.77777777777777</v>
      </c>
      <c r="Q21" s="28" t="n">
        <f>MIN(Q20,IF(AND(ISNUMBER('Aannames'!$E$46),'Aannames'!$E$46&gt;=0),'Aannames'!$E$46,NA())/IF(AND(ISNUMBER('Aannames'!$E$47),'Aannames'!$E$47&gt;=1,MOD('Aannames'!$E$47,1)=0),'Aannames'!$E$47,NA()))</f>
        <v>277.77777777777777</v>
      </c>
      <c r="R21" s="28" t="n">
        <f>MIN(R20,IF(AND(ISNUMBER('Aannames'!$E$46),'Aannames'!$E$46&gt;=0),'Aannames'!$E$46,NA())/IF(AND(ISNUMBER('Aannames'!$E$47),'Aannames'!$E$47&gt;=1,MOD('Aannames'!$E$47,1)=0),'Aannames'!$E$47,NA()))</f>
        <v>277.77777777777777</v>
      </c>
      <c r="S21" s="28" t="n">
        <f>MIN(S20,IF(AND(ISNUMBER('Aannames'!$E$46),'Aannames'!$E$46&gt;=0),'Aannames'!$E$46,NA())/IF(AND(ISNUMBER('Aannames'!$E$47),'Aannames'!$E$47&gt;=1,MOD('Aannames'!$E$47,1)=0),'Aannames'!$E$47,NA()))</f>
        <v>277.77777777777777</v>
      </c>
      <c r="T21" s="28" t="n">
        <f>MIN(T20,IF(AND(ISNUMBER('Aannames'!$E$46),'Aannames'!$E$46&gt;=0),'Aannames'!$E$46,NA())/IF(AND(ISNUMBER('Aannames'!$E$47),'Aannames'!$E$47&gt;=1,MOD('Aannames'!$E$47,1)=0),'Aannames'!$E$47,NA()))</f>
        <v>277.77777777777777</v>
      </c>
      <c r="U21" s="28" t="n">
        <f>MIN(U20,IF(AND(ISNUMBER('Aannames'!$E$46),'Aannames'!$E$46&gt;=0),'Aannames'!$E$46,NA())/IF(AND(ISNUMBER('Aannames'!$E$47),'Aannames'!$E$47&gt;=1,MOD('Aannames'!$E$47,1)=0),'Aannames'!$E$47,NA()))</f>
        <v>277.77777777777777</v>
      </c>
      <c r="V21" s="28" t="n">
        <f>MIN(V20,IF(AND(ISNUMBER('Aannames'!$E$46),'Aannames'!$E$46&gt;=0),'Aannames'!$E$46,NA())/IF(AND(ISNUMBER('Aannames'!$E$47),'Aannames'!$E$47&gt;=1,MOD('Aannames'!$E$47,1)=0),'Aannames'!$E$47,NA()))</f>
        <v>277.77777777777777</v>
      </c>
      <c r="W21" s="28" t="n">
        <f>MIN(W20,IF(AND(ISNUMBER('Aannames'!$E$46),'Aannames'!$E$46&gt;=0),'Aannames'!$E$46,NA())/IF(AND(ISNUMBER('Aannames'!$E$47),'Aannames'!$E$47&gt;=1,MOD('Aannames'!$E$47,1)=0),'Aannames'!$E$47,NA()))</f>
        <v>277.77777777777777</v>
      </c>
      <c r="X21" s="28" t="n">
        <f>MIN(X20,IF(AND(ISNUMBER('Aannames'!$E$46),'Aannames'!$E$46&gt;=0),'Aannames'!$E$46,NA())/IF(AND(ISNUMBER('Aannames'!$E$47),'Aannames'!$E$47&gt;=1,MOD('Aannames'!$E$47,1)=0),'Aannames'!$E$47,NA()))</f>
        <v>277.77777777777777</v>
      </c>
      <c r="Y21" s="28" t="n">
        <f>MIN(Y20,IF(AND(ISNUMBER('Aannames'!$E$46),'Aannames'!$E$46&gt;=0),'Aannames'!$E$46,NA())/IF(AND(ISNUMBER('Aannames'!$E$47),'Aannames'!$E$47&gt;=1,MOD('Aannames'!$E$47,1)=0),'Aannames'!$E$47,NA()))</f>
        <v>277.77777777777777</v>
      </c>
      <c r="Z21" s="28" t="n">
        <f>MIN(Z20,IF(AND(ISNUMBER('Aannames'!$E$46),'Aannames'!$E$46&gt;=0),'Aannames'!$E$46,NA())/IF(AND(ISNUMBER('Aannames'!$E$47),'Aannames'!$E$47&gt;=1,MOD('Aannames'!$E$47,1)=0),'Aannames'!$E$47,NA()))</f>
        <v>277.77777777777777</v>
      </c>
      <c r="AA21" s="28" t="n">
        <f>MIN(AA20,IF(AND(ISNUMBER('Aannames'!$E$46),'Aannames'!$E$46&gt;=0),'Aannames'!$E$46,NA())/IF(AND(ISNUMBER('Aannames'!$E$47),'Aannames'!$E$47&gt;=1,MOD('Aannames'!$E$47,1)=0),'Aannames'!$E$47,NA()))</f>
        <v>277.77777777777777</v>
      </c>
      <c r="AB21" s="28" t="n">
        <f>MIN(AB20,IF(AND(ISNUMBER('Aannames'!$E$46),'Aannames'!$E$46&gt;=0),'Aannames'!$E$46,NA())/IF(AND(ISNUMBER('Aannames'!$E$47),'Aannames'!$E$47&gt;=1,MOD('Aannames'!$E$47,1)=0),'Aannames'!$E$47,NA()))</f>
        <v>277.77777777777777</v>
      </c>
      <c r="AC21" s="28" t="n">
        <f>MIN(AC20,IF(AND(ISNUMBER('Aannames'!$E$46),'Aannames'!$E$46&gt;=0),'Aannames'!$E$46,NA())/IF(AND(ISNUMBER('Aannames'!$E$47),'Aannames'!$E$47&gt;=1,MOD('Aannames'!$E$47,1)=0),'Aannames'!$E$47,NA()))</f>
        <v>277.77777777777777</v>
      </c>
      <c r="AD21" s="28" t="n">
        <f>MIN(AD20,IF(AND(ISNUMBER('Aannames'!$E$46),'Aannames'!$E$46&gt;=0),'Aannames'!$E$46,NA())/IF(AND(ISNUMBER('Aannames'!$E$47),'Aannames'!$E$47&gt;=1,MOD('Aannames'!$E$47,1)=0),'Aannames'!$E$47,NA()))</f>
        <v>277.77777777777777</v>
      </c>
      <c r="AE21" s="28" t="n">
        <f>MIN(AE20,IF(AND(ISNUMBER('Aannames'!$E$46),'Aannames'!$E$46&gt;=0),'Aannames'!$E$46,NA())/IF(AND(ISNUMBER('Aannames'!$E$47),'Aannames'!$E$47&gt;=1,MOD('Aannames'!$E$47,1)=0),'Aannames'!$E$47,NA()))</f>
        <v>277.77777777777777</v>
      </c>
    </row>
    <row r="22" ht="22" customHeight="1">
      <c r="A22" s="1"/>
      <c r="B22" s="1"/>
      <c r="C22" s="1" t="str">
        <v>Rente</v>
      </c>
      <c r="D22" s="1"/>
      <c r="E22" s="14" t="n">
        <f>SUM(H22:S22)</f>
        <v>423.61111111111126</v>
      </c>
      <c r="F22" s="14" t="n">
        <f>SUM(T22:AE22)</f>
        <v>256.9444444444448</v>
      </c>
      <c r="G22" s="36"/>
      <c r="H22" s="28" t="n">
        <f>H20*IF(AND(ISNUMBER('Aannames'!$E$48),'Aannames'!$E$48&gt;=0,'Aannames'!$E$48&lt;=1),'Aannames'!$E$48,NA())/12</f>
        <v>41.666666666666664</v>
      </c>
      <c r="I22" s="28" t="n">
        <f>I20*IF(AND(ISNUMBER('Aannames'!$E$48),'Aannames'!$E$48&gt;=0,'Aannames'!$E$48&lt;=1),'Aannames'!$E$48,NA())/12</f>
        <v>40.50925925925926</v>
      </c>
      <c r="J22" s="28" t="n">
        <f>J20*IF(AND(ISNUMBER('Aannames'!$E$48),'Aannames'!$E$48&gt;=0,'Aannames'!$E$48&lt;=1),'Aannames'!$E$48,NA())/12</f>
        <v>39.351851851851855</v>
      </c>
      <c r="K22" s="28" t="n">
        <f>K20*IF(AND(ISNUMBER('Aannames'!$E$48),'Aannames'!$E$48&gt;=0,'Aannames'!$E$48&lt;=1),'Aannames'!$E$48,NA())/12</f>
        <v>38.19444444444445</v>
      </c>
      <c r="L22" s="28" t="n">
        <f>L20*IF(AND(ISNUMBER('Aannames'!$E$48),'Aannames'!$E$48&gt;=0,'Aannames'!$E$48&lt;=1),'Aannames'!$E$48,NA())/12</f>
        <v>37.037037037037045</v>
      </c>
      <c r="M22" s="28" t="n">
        <f>M20*IF(AND(ISNUMBER('Aannames'!$E$48),'Aannames'!$E$48&gt;=0,'Aannames'!$E$48&lt;=1),'Aannames'!$E$48,NA())/12</f>
        <v>35.87962962962964</v>
      </c>
      <c r="N22" s="28" t="n">
        <f>N20*IF(AND(ISNUMBER('Aannames'!$E$48),'Aannames'!$E$48&gt;=0,'Aannames'!$E$48&lt;=1),'Aannames'!$E$48,NA())/12</f>
        <v>34.722222222222236</v>
      </c>
      <c r="O22" s="28" t="n">
        <f>O20*IF(AND(ISNUMBER('Aannames'!$E$48),'Aannames'!$E$48&gt;=0,'Aannames'!$E$48&lt;=1),'Aannames'!$E$48,NA())/12</f>
        <v>33.56481481481483</v>
      </c>
      <c r="P22" s="28" t="n">
        <f>P20*IF(AND(ISNUMBER('Aannames'!$E$48),'Aannames'!$E$48&gt;=0,'Aannames'!$E$48&lt;=1),'Aannames'!$E$48,NA())/12</f>
        <v>32.407407407407426</v>
      </c>
      <c r="Q22" s="28" t="n">
        <f>Q20*IF(AND(ISNUMBER('Aannames'!$E$48),'Aannames'!$E$48&gt;=0,'Aannames'!$E$48&lt;=1),'Aannames'!$E$48,NA())/12</f>
        <v>31.250000000000018</v>
      </c>
      <c r="R22" s="28" t="n">
        <f>R20*IF(AND(ISNUMBER('Aannames'!$E$48),'Aannames'!$E$48&gt;=0,'Aannames'!$E$48&lt;=1),'Aannames'!$E$48,NA())/12</f>
        <v>30.09259259259261</v>
      </c>
      <c r="S22" s="28" t="n">
        <f>S20*IF(AND(ISNUMBER('Aannames'!$E$48),'Aannames'!$E$48&gt;=0,'Aannames'!$E$48&lt;=1),'Aannames'!$E$48,NA())/12</f>
        <v>28.935185185185205</v>
      </c>
      <c r="T22" s="28" t="n">
        <f>T20*IF(AND(ISNUMBER('Aannames'!$E$48),'Aannames'!$E$48&gt;=0,'Aannames'!$E$48&lt;=1),'Aannames'!$E$48,NA())/12</f>
        <v>27.7777777777778</v>
      </c>
      <c r="U22" s="28" t="n">
        <f>U20*IF(AND(ISNUMBER('Aannames'!$E$48),'Aannames'!$E$48&gt;=0,'Aannames'!$E$48&lt;=1),'Aannames'!$E$48,NA())/12</f>
        <v>26.620370370370395</v>
      </c>
      <c r="V22" s="28" t="n">
        <f>V20*IF(AND(ISNUMBER('Aannames'!$E$48),'Aannames'!$E$48&gt;=0,'Aannames'!$E$48&lt;=1),'Aannames'!$E$48,NA())/12</f>
        <v>25.462962962962987</v>
      </c>
      <c r="W22" s="28" t="n">
        <f>W20*IF(AND(ISNUMBER('Aannames'!$E$48),'Aannames'!$E$48&gt;=0,'Aannames'!$E$48&lt;=1),'Aannames'!$E$48,NA())/12</f>
        <v>24.305555555555582</v>
      </c>
      <c r="X22" s="28" t="n">
        <f>X20*IF(AND(ISNUMBER('Aannames'!$E$48),'Aannames'!$E$48&gt;=0,'Aannames'!$E$48&lt;=1),'Aannames'!$E$48,NA())/12</f>
        <v>23.148148148148177</v>
      </c>
      <c r="Y22" s="28" t="n">
        <f>Y20*IF(AND(ISNUMBER('Aannames'!$E$48),'Aannames'!$E$48&gt;=0,'Aannames'!$E$48&lt;=1),'Aannames'!$E$48,NA())/12</f>
        <v>21.990740740740772</v>
      </c>
      <c r="Z22" s="28" t="n">
        <f>Z20*IF(AND(ISNUMBER('Aannames'!$E$48),'Aannames'!$E$48&gt;=0,'Aannames'!$E$48&lt;=1),'Aannames'!$E$48,NA())/12</f>
        <v>20.833333333333364</v>
      </c>
      <c r="AA22" s="28" t="n">
        <f>AA20*IF(AND(ISNUMBER('Aannames'!$E$48),'Aannames'!$E$48&gt;=0,'Aannames'!$E$48&lt;=1),'Aannames'!$E$48,NA())/12</f>
        <v>19.67592592592596</v>
      </c>
      <c r="AB22" s="28" t="n">
        <f>AB20*IF(AND(ISNUMBER('Aannames'!$E$48),'Aannames'!$E$48&gt;=0,'Aannames'!$E$48&lt;=1),'Aannames'!$E$48,NA())/12</f>
        <v>18.51851851851855</v>
      </c>
      <c r="AC22" s="28" t="n">
        <f>AC20*IF(AND(ISNUMBER('Aannames'!$E$48),'Aannames'!$E$48&gt;=0,'Aannames'!$E$48&lt;=1),'Aannames'!$E$48,NA())/12</f>
        <v>17.361111111111146</v>
      </c>
      <c r="AD22" s="28" t="n">
        <f>AD20*IF(AND(ISNUMBER('Aannames'!$E$48),'Aannames'!$E$48&gt;=0,'Aannames'!$E$48&lt;=1),'Aannames'!$E$48,NA())/12</f>
        <v>16.20370370370374</v>
      </c>
      <c r="AE22" s="28" t="n">
        <f>AE20*IF(AND(ISNUMBER('Aannames'!$E$48),'Aannames'!$E$48&gt;=0,'Aannames'!$E$48&lt;=1),'Aannames'!$E$48,NA())/12</f>
        <v>15.046296296296333</v>
      </c>
    </row>
    <row r="23" ht="22" customHeight="1">
      <c r="A23" s="1"/>
      <c r="B23" s="1"/>
      <c r="C23" s="1" t="str">
        <v>Lening einde maand</v>
      </c>
      <c r="D23" s="1"/>
      <c r="E23" s="14" t="n">
        <f>S23</f>
        <v>6666.6666666666715</v>
      </c>
      <c r="F23" s="14" t="n">
        <f>AE23</f>
        <v>3333.3333333333417</v>
      </c>
      <c r="G23" s="36"/>
      <c r="H23" s="14" t="n">
        <f>H20-H21</f>
        <v>9722.222222222223</v>
      </c>
      <c r="I23" s="14" t="n">
        <f>I20-I21</f>
        <v>9444.444444444445</v>
      </c>
      <c r="J23" s="14" t="n">
        <f>J20-J21</f>
        <v>9166.666666666668</v>
      </c>
      <c r="K23" s="14" t="n">
        <f>K20-K21</f>
        <v>8888.88888888889</v>
      </c>
      <c r="L23" s="14" t="n">
        <f>L20-L21</f>
        <v>8611.111111111113</v>
      </c>
      <c r="M23" s="14" t="n">
        <f>M20-M21</f>
        <v>8333.333333333336</v>
      </c>
      <c r="N23" s="14" t="n">
        <f>N20-N21</f>
        <v>8055.555555555558</v>
      </c>
      <c r="O23" s="14" t="n">
        <f>O20-O21</f>
        <v>7777.777777777781</v>
      </c>
      <c r="P23" s="14" t="n">
        <f>P20-P21</f>
        <v>7500.000000000004</v>
      </c>
      <c r="Q23" s="14" t="n">
        <f>Q20-Q21</f>
        <v>7222.222222222226</v>
      </c>
      <c r="R23" s="14" t="n">
        <f>R20-R21</f>
        <v>6944.444444444449</v>
      </c>
      <c r="S23" s="14" t="n">
        <f>S20-S21</f>
        <v>6666.6666666666715</v>
      </c>
      <c r="T23" s="14" t="n">
        <f>T20-T21</f>
        <v>6388.888888888894</v>
      </c>
      <c r="U23" s="14" t="n">
        <f>U20-U21</f>
        <v>6111.111111111117</v>
      </c>
      <c r="V23" s="14" t="n">
        <f>V20-V21</f>
        <v>5833.333333333339</v>
      </c>
      <c r="W23" s="14" t="n">
        <f>W20-W21</f>
        <v>5555.555555555562</v>
      </c>
      <c r="X23" s="14" t="n">
        <f>X20-X21</f>
        <v>5277.777777777785</v>
      </c>
      <c r="Y23" s="14" t="n">
        <f>Y20-Y21</f>
        <v>5000.000000000007</v>
      </c>
      <c r="Z23" s="14" t="n">
        <f>Z20-Z21</f>
        <v>4722.22222222223</v>
      </c>
      <c r="AA23" s="14" t="n">
        <f>AA20-AA21</f>
        <v>4444.4444444444525</v>
      </c>
      <c r="AB23" s="14" t="n">
        <f>AB20-AB21</f>
        <v>4166.666666666675</v>
      </c>
      <c r="AC23" s="14" t="n">
        <f>AC20-AC21</f>
        <v>3888.8888888888973</v>
      </c>
      <c r="AD23" s="14" t="n">
        <f>AD20-AD21</f>
        <v>3611.1111111111195</v>
      </c>
      <c r="AE23" s="14" t="n">
        <f>AE20-AE21</f>
        <v>3333.3333333333417</v>
      </c>
    </row>
    <row r="24" ht="22" customHeight="1">
      <c r="A24" s="1"/>
      <c r="B24" s="1"/>
      <c r="C24" s="17" t="str">
        <v>Resultaat vóór belasting</v>
      </c>
      <c r="D24" s="17"/>
      <c r="E24" s="31" t="n">
        <f>SUM(H24:S24)</f>
        <v>31564.38888888889</v>
      </c>
      <c r="F24" s="31" t="n">
        <f>SUM(T24:AE24)</f>
        <v>46903.055555555555</v>
      </c>
      <c r="G24" s="37"/>
      <c r="H24" s="31" t="n">
        <f>H19-H22</f>
        <v>332.3333333333333</v>
      </c>
      <c r="I24" s="31" t="n">
        <f>I19-I22</f>
        <v>2833.490740740741</v>
      </c>
      <c r="J24" s="31" t="n">
        <f>J19-J22</f>
        <v>2834.6481481481483</v>
      </c>
      <c r="K24" s="31" t="n">
        <f>K19-K22</f>
        <v>2835.8055555555557</v>
      </c>
      <c r="L24" s="31" t="n">
        <f>L19-L22</f>
        <v>2836.962962962963</v>
      </c>
      <c r="M24" s="31" t="n">
        <f>M19-M22</f>
        <v>2838.1203703703704</v>
      </c>
      <c r="N24" s="31" t="n">
        <f>N19-N22</f>
        <v>2839.277777777778</v>
      </c>
      <c r="O24" s="31" t="n">
        <f>O19-O22</f>
        <v>2840.435185185185</v>
      </c>
      <c r="P24" s="31" t="n">
        <f>P19-P22</f>
        <v>2841.5925925925926</v>
      </c>
      <c r="Q24" s="31" t="n">
        <f>Q19-Q22</f>
        <v>2842.75</v>
      </c>
      <c r="R24" s="31" t="n">
        <f>R19-R22</f>
        <v>2843.9074074074074</v>
      </c>
      <c r="S24" s="31" t="n">
        <f>S19-S22</f>
        <v>2845.064814814815</v>
      </c>
      <c r="T24" s="31" t="n">
        <f>T19-T22</f>
        <v>3902.222222222222</v>
      </c>
      <c r="U24" s="31" t="n">
        <f>U19-U22</f>
        <v>3903.3796296296296</v>
      </c>
      <c r="V24" s="31" t="n">
        <f>V19-V22</f>
        <v>3904.537037037037</v>
      </c>
      <c r="W24" s="31" t="n">
        <f>W19-W22</f>
        <v>3905.6944444444443</v>
      </c>
      <c r="X24" s="31" t="n">
        <f>X19-X22</f>
        <v>3906.8518518518517</v>
      </c>
      <c r="Y24" s="31" t="n">
        <f>Y19-Y22</f>
        <v>3908.009259259259</v>
      </c>
      <c r="Z24" s="31" t="n">
        <f>Z19-Z22</f>
        <v>3909.1666666666665</v>
      </c>
      <c r="AA24" s="31" t="n">
        <f>AA19-AA22</f>
        <v>3910.324074074074</v>
      </c>
      <c r="AB24" s="31" t="n">
        <f>AB19-AB22</f>
        <v>3911.4814814814813</v>
      </c>
      <c r="AC24" s="31" t="n">
        <f>AC19-AC22</f>
        <v>3912.6388888888887</v>
      </c>
      <c r="AD24" s="31" t="n">
        <f>AD19-AD22</f>
        <v>3913.796296296296</v>
      </c>
      <c r="AE24" s="31" t="n">
        <f>AE19-AE22</f>
        <v>3914.9537037037035</v>
      </c>
    </row>
    <row r="25" ht="22" customHeight="1">
      <c r="A25" s="1"/>
      <c r="B25" s="1"/>
      <c r="C25" s="1" t="str">
        <v>Rekenreserve belasting</v>
      </c>
      <c r="D25" s="1"/>
      <c r="E25" s="14" t="n">
        <f>SUM(H25:S25)</f>
        <v>7891.097222222223</v>
      </c>
      <c r="F25" s="14" t="n">
        <f>SUM(T25:AE25)</f>
        <v>11725.763888888889</v>
      </c>
      <c r="G25" s="36"/>
      <c r="H25" s="28" t="n">
        <f>MAX(0,H24)*IF(AND(ISNUMBER('Aannames'!$E$51),'Aannames'!$E$51&gt;=0,'Aannames'!$E$51&lt;=1),'Aannames'!$E$51,NA())</f>
        <v>83.08333333333333</v>
      </c>
      <c r="I25" s="28" t="n">
        <f>MAX(0,I24)*IF(AND(ISNUMBER('Aannames'!$E$51),'Aannames'!$E$51&gt;=0,'Aannames'!$E$51&lt;=1),'Aannames'!$E$51,NA())</f>
        <v>708.3726851851852</v>
      </c>
      <c r="J25" s="28" t="n">
        <f>MAX(0,J24)*IF(AND(ISNUMBER('Aannames'!$E$51),'Aannames'!$E$51&gt;=0,'Aannames'!$E$51&lt;=1),'Aannames'!$E$51,NA())</f>
        <v>708.6620370370371</v>
      </c>
      <c r="K25" s="28" t="n">
        <f>MAX(0,K24)*IF(AND(ISNUMBER('Aannames'!$E$51),'Aannames'!$E$51&gt;=0,'Aannames'!$E$51&lt;=1),'Aannames'!$E$51,NA())</f>
        <v>708.9513888888889</v>
      </c>
      <c r="L25" s="28" t="n">
        <f>MAX(0,L24)*IF(AND(ISNUMBER('Aannames'!$E$51),'Aannames'!$E$51&gt;=0,'Aannames'!$E$51&lt;=1),'Aannames'!$E$51,NA())</f>
        <v>709.2407407407408</v>
      </c>
      <c r="M25" s="28" t="n">
        <f>MAX(0,M24)*IF(AND(ISNUMBER('Aannames'!$E$51),'Aannames'!$E$51&gt;=0,'Aannames'!$E$51&lt;=1),'Aannames'!$E$51,NA())</f>
        <v>709.5300925925926</v>
      </c>
      <c r="N25" s="28" t="n">
        <f>MAX(0,N24)*IF(AND(ISNUMBER('Aannames'!$E$51),'Aannames'!$E$51&gt;=0,'Aannames'!$E$51&lt;=1),'Aannames'!$E$51,NA())</f>
        <v>709.8194444444445</v>
      </c>
      <c r="O25" s="28" t="n">
        <f>MAX(0,O24)*IF(AND(ISNUMBER('Aannames'!$E$51),'Aannames'!$E$51&gt;=0,'Aannames'!$E$51&lt;=1),'Aannames'!$E$51,NA())</f>
        <v>710.1087962962963</v>
      </c>
      <c r="P25" s="28" t="n">
        <f>MAX(0,P24)*IF(AND(ISNUMBER('Aannames'!$E$51),'Aannames'!$E$51&gt;=0,'Aannames'!$E$51&lt;=1),'Aannames'!$E$51,NA())</f>
        <v>710.3981481481482</v>
      </c>
      <c r="Q25" s="28" t="n">
        <f>MAX(0,Q24)*IF(AND(ISNUMBER('Aannames'!$E$51),'Aannames'!$E$51&gt;=0,'Aannames'!$E$51&lt;=1),'Aannames'!$E$51,NA())</f>
        <v>710.6875</v>
      </c>
      <c r="R25" s="28" t="n">
        <f>MAX(0,R24)*IF(AND(ISNUMBER('Aannames'!$E$51),'Aannames'!$E$51&gt;=0,'Aannames'!$E$51&lt;=1),'Aannames'!$E$51,NA())</f>
        <v>710.9768518518518</v>
      </c>
      <c r="S25" s="28" t="n">
        <f>MAX(0,S24)*IF(AND(ISNUMBER('Aannames'!$E$51),'Aannames'!$E$51&gt;=0,'Aannames'!$E$51&lt;=1),'Aannames'!$E$51,NA())</f>
        <v>711.2662037037037</v>
      </c>
      <c r="T25" s="28" t="n">
        <f>MAX(0,T24)*IF(AND(ISNUMBER('Aannames'!$E$51),'Aannames'!$E$51&gt;=0,'Aannames'!$E$51&lt;=1),'Aannames'!$E$51,NA())</f>
        <v>975.5555555555555</v>
      </c>
      <c r="U25" s="28" t="n">
        <f>MAX(0,U24)*IF(AND(ISNUMBER('Aannames'!$E$51),'Aannames'!$E$51&gt;=0,'Aannames'!$E$51&lt;=1),'Aannames'!$E$51,NA())</f>
        <v>975.8449074074074</v>
      </c>
      <c r="V25" s="28" t="n">
        <f>MAX(0,V24)*IF(AND(ISNUMBER('Aannames'!$E$51),'Aannames'!$E$51&gt;=0,'Aannames'!$E$51&lt;=1),'Aannames'!$E$51,NA())</f>
        <v>976.1342592592592</v>
      </c>
      <c r="W25" s="28" t="n">
        <f>MAX(0,W24)*IF(AND(ISNUMBER('Aannames'!$E$51),'Aannames'!$E$51&gt;=0,'Aannames'!$E$51&lt;=1),'Aannames'!$E$51,NA())</f>
        <v>976.4236111111111</v>
      </c>
      <c r="X25" s="28" t="n">
        <f>MAX(0,X24)*IF(AND(ISNUMBER('Aannames'!$E$51),'Aannames'!$E$51&gt;=0,'Aannames'!$E$51&lt;=1),'Aannames'!$E$51,NA())</f>
        <v>976.7129629629629</v>
      </c>
      <c r="Y25" s="28" t="n">
        <f>MAX(0,Y24)*IF(AND(ISNUMBER('Aannames'!$E$51),'Aannames'!$E$51&gt;=0,'Aannames'!$E$51&lt;=1),'Aannames'!$E$51,NA())</f>
        <v>977.0023148148148</v>
      </c>
      <c r="Z25" s="28" t="n">
        <f>MAX(0,Z24)*IF(AND(ISNUMBER('Aannames'!$E$51),'Aannames'!$E$51&gt;=0,'Aannames'!$E$51&lt;=1),'Aannames'!$E$51,NA())</f>
        <v>977.2916666666666</v>
      </c>
      <c r="AA25" s="28" t="n">
        <f>MAX(0,AA24)*IF(AND(ISNUMBER('Aannames'!$E$51),'Aannames'!$E$51&gt;=0,'Aannames'!$E$51&lt;=1),'Aannames'!$E$51,NA())</f>
        <v>977.5810185185185</v>
      </c>
      <c r="AB25" s="28" t="n">
        <f>MAX(0,AB24)*IF(AND(ISNUMBER('Aannames'!$E$51),'Aannames'!$E$51&gt;=0,'Aannames'!$E$51&lt;=1),'Aannames'!$E$51,NA())</f>
        <v>977.8703703703703</v>
      </c>
      <c r="AC25" s="28" t="n">
        <f>MAX(0,AC24)*IF(AND(ISNUMBER('Aannames'!$E$51),'Aannames'!$E$51&gt;=0,'Aannames'!$E$51&lt;=1),'Aannames'!$E$51,NA())</f>
        <v>978.1597222222222</v>
      </c>
      <c r="AD25" s="28" t="n">
        <f>MAX(0,AD24)*IF(AND(ISNUMBER('Aannames'!$E$51),'Aannames'!$E$51&gt;=0,'Aannames'!$E$51&lt;=1),'Aannames'!$E$51,NA())</f>
        <v>978.449074074074</v>
      </c>
      <c r="AE25" s="28" t="n">
        <f>MAX(0,AE24)*IF(AND(ISNUMBER('Aannames'!$E$51),'Aannames'!$E$51&gt;=0,'Aannames'!$E$51&lt;=1),'Aannames'!$E$51,NA())</f>
        <v>978.7384259259259</v>
      </c>
    </row>
    <row r="26" ht="22" customHeight="1">
      <c r="A26" s="1"/>
      <c r="B26" s="1"/>
      <c r="C26" s="17" t="str">
        <v>Resultaat na rekenreserve</v>
      </c>
      <c r="D26" s="17"/>
      <c r="E26" s="31" t="n">
        <f>SUM(H26:S26)</f>
        <v>23673.291666666664</v>
      </c>
      <c r="F26" s="31" t="n">
        <f>SUM(T26:AE26)</f>
        <v>35177.291666666664</v>
      </c>
      <c r="G26" s="37"/>
      <c r="H26" s="31" t="n">
        <f>H24-H25</f>
        <v>249.25</v>
      </c>
      <c r="I26" s="31" t="n">
        <f>I24-I25</f>
        <v>2125.1180555555557</v>
      </c>
      <c r="J26" s="31" t="n">
        <f>J24-J25</f>
        <v>2125.9861111111113</v>
      </c>
      <c r="K26" s="31" t="n">
        <f>K24-K25</f>
        <v>2126.854166666667</v>
      </c>
      <c r="L26" s="31" t="n">
        <f>L24-L25</f>
        <v>2127.722222222222</v>
      </c>
      <c r="M26" s="31" t="n">
        <f>M24-M25</f>
        <v>2128.590277777778</v>
      </c>
      <c r="N26" s="31" t="n">
        <f>N24-N25</f>
        <v>2129.4583333333335</v>
      </c>
      <c r="O26" s="31" t="n">
        <f>O24-O25</f>
        <v>2130.3263888888887</v>
      </c>
      <c r="P26" s="31" t="n">
        <f>P24-P25</f>
        <v>2131.1944444444443</v>
      </c>
      <c r="Q26" s="31" t="n">
        <f>Q24-Q25</f>
        <v>2132.0625</v>
      </c>
      <c r="R26" s="31" t="n">
        <f>R24-R25</f>
        <v>2132.9305555555557</v>
      </c>
      <c r="S26" s="31" t="n">
        <f>S24-S25</f>
        <v>2133.7986111111113</v>
      </c>
      <c r="T26" s="31" t="n">
        <f>T24-T25</f>
        <v>2926.6666666666665</v>
      </c>
      <c r="U26" s="31" t="n">
        <f>U24-U25</f>
        <v>2927.534722222222</v>
      </c>
      <c r="V26" s="31" t="n">
        <f>V24-V25</f>
        <v>2928.402777777778</v>
      </c>
      <c r="W26" s="31" t="n">
        <f>W24-W25</f>
        <v>2929.270833333333</v>
      </c>
      <c r="X26" s="31" t="n">
        <f>X24-X25</f>
        <v>2930.1388888888887</v>
      </c>
      <c r="Y26" s="31" t="n">
        <f>Y24-Y25</f>
        <v>2931.0069444444443</v>
      </c>
      <c r="Z26" s="31" t="n">
        <f>Z24-Z25</f>
        <v>2931.875</v>
      </c>
      <c r="AA26" s="31" t="n">
        <f>AA24-AA25</f>
        <v>2932.7430555555557</v>
      </c>
      <c r="AB26" s="31" t="n">
        <f>AB24-AB25</f>
        <v>2933.611111111111</v>
      </c>
      <c r="AC26" s="31" t="n">
        <f>AC24-AC25</f>
        <v>2934.4791666666665</v>
      </c>
      <c r="AD26" s="31" t="n">
        <f>AD24-AD25</f>
        <v>2935.347222222222</v>
      </c>
      <c r="AE26" s="31" t="n">
        <f>AE24-AE25</f>
        <v>2936.2152777777774</v>
      </c>
    </row>
    <row r="27" ht="22" customHeight="1">
      <c r="A27" s="1"/>
      <c r="B27" s="1"/>
      <c r="C27" s="1"/>
      <c r="D27" s="1"/>
      <c r="E27" s="14"/>
      <c r="F27" s="14"/>
      <c r="G27" s="36"/>
      <c r="H27" s="14"/>
      <c r="I27" s="14"/>
      <c r="J27" s="14"/>
      <c r="K27" s="14"/>
      <c r="L27" s="14"/>
      <c r="M27" s="14"/>
      <c r="N27" s="14"/>
      <c r="O27" s="14"/>
      <c r="P27" s="14"/>
      <c r="Q27" s="14"/>
      <c r="R27" s="14"/>
      <c r="S27" s="14"/>
      <c r="T27" s="14"/>
      <c r="U27" s="14"/>
      <c r="V27" s="14"/>
      <c r="W27" s="14"/>
      <c r="X27" s="14"/>
      <c r="Y27" s="14"/>
      <c r="Z27" s="14"/>
      <c r="AA27" s="14"/>
      <c r="AB27" s="14"/>
      <c r="AC27" s="14"/>
      <c r="AD27" s="14"/>
      <c r="AE27" s="14"/>
    </row>
    <row r="28" ht="22" customHeight="1">
      <c r="A28" s="1"/>
      <c r="B28" s="1"/>
      <c r="C28" s="1" t="str">
        <v>Investeringen excl. btw</v>
      </c>
      <c r="D28" s="1"/>
      <c r="E28" s="14" t="n">
        <f>SUM(H28:S28)</f>
        <v>9000</v>
      </c>
      <c r="F28" s="14" t="n">
        <f>SUM(T28:AE28)</f>
        <v>0</v>
      </c>
      <c r="G28" s="36"/>
      <c r="H28" s="28" t="n">
        <f>IF(H$7=1,IF(AND(ISNUMBER('Aannames'!$E$43),'Aannames'!$E$43&gt;=0),'Aannames'!$E$43,NA()),0)</f>
        <v>9000</v>
      </c>
      <c r="I28" s="28" t="n">
        <f>IF(I$7=1,IF(AND(ISNUMBER('Aannames'!$E$43),'Aannames'!$E$43&gt;=0),'Aannames'!$E$43,NA()),0)</f>
        <v>0</v>
      </c>
      <c r="J28" s="28" t="n">
        <f>IF(J$7=1,IF(AND(ISNUMBER('Aannames'!$E$43),'Aannames'!$E$43&gt;=0),'Aannames'!$E$43,NA()),0)</f>
        <v>0</v>
      </c>
      <c r="K28" s="28" t="n">
        <f>IF(K$7=1,IF(AND(ISNUMBER('Aannames'!$E$43),'Aannames'!$E$43&gt;=0),'Aannames'!$E$43,NA()),0)</f>
        <v>0</v>
      </c>
      <c r="L28" s="28" t="n">
        <f>IF(L$7=1,IF(AND(ISNUMBER('Aannames'!$E$43),'Aannames'!$E$43&gt;=0),'Aannames'!$E$43,NA()),0)</f>
        <v>0</v>
      </c>
      <c r="M28" s="28" t="n">
        <f>IF(M$7=1,IF(AND(ISNUMBER('Aannames'!$E$43),'Aannames'!$E$43&gt;=0),'Aannames'!$E$43,NA()),0)</f>
        <v>0</v>
      </c>
      <c r="N28" s="28" t="n">
        <f>IF(N$7=1,IF(AND(ISNUMBER('Aannames'!$E$43),'Aannames'!$E$43&gt;=0),'Aannames'!$E$43,NA()),0)</f>
        <v>0</v>
      </c>
      <c r="O28" s="28" t="n">
        <f>IF(O$7=1,IF(AND(ISNUMBER('Aannames'!$E$43),'Aannames'!$E$43&gt;=0),'Aannames'!$E$43,NA()),0)</f>
        <v>0</v>
      </c>
      <c r="P28" s="28" t="n">
        <f>IF(P$7=1,IF(AND(ISNUMBER('Aannames'!$E$43),'Aannames'!$E$43&gt;=0),'Aannames'!$E$43,NA()),0)</f>
        <v>0</v>
      </c>
      <c r="Q28" s="28" t="n">
        <f>IF(Q$7=1,IF(AND(ISNUMBER('Aannames'!$E$43),'Aannames'!$E$43&gt;=0),'Aannames'!$E$43,NA()),0)</f>
        <v>0</v>
      </c>
      <c r="R28" s="28" t="n">
        <f>IF(R$7=1,IF(AND(ISNUMBER('Aannames'!$E$43),'Aannames'!$E$43&gt;=0),'Aannames'!$E$43,NA()),0)</f>
        <v>0</v>
      </c>
      <c r="S28" s="28" t="n">
        <f>IF(S$7=1,IF(AND(ISNUMBER('Aannames'!$E$43),'Aannames'!$E$43&gt;=0),'Aannames'!$E$43,NA()),0)</f>
        <v>0</v>
      </c>
      <c r="T28" s="28" t="n">
        <f>IF(T$7=1,IF(AND(ISNUMBER('Aannames'!$E$43),'Aannames'!$E$43&gt;=0),'Aannames'!$E$43,NA()),0)</f>
        <v>0</v>
      </c>
      <c r="U28" s="28" t="n">
        <f>IF(U$7=1,IF(AND(ISNUMBER('Aannames'!$E$43),'Aannames'!$E$43&gt;=0),'Aannames'!$E$43,NA()),0)</f>
        <v>0</v>
      </c>
      <c r="V28" s="28" t="n">
        <f>IF(V$7=1,IF(AND(ISNUMBER('Aannames'!$E$43),'Aannames'!$E$43&gt;=0),'Aannames'!$E$43,NA()),0)</f>
        <v>0</v>
      </c>
      <c r="W28" s="28" t="n">
        <f>IF(W$7=1,IF(AND(ISNUMBER('Aannames'!$E$43),'Aannames'!$E$43&gt;=0),'Aannames'!$E$43,NA()),0)</f>
        <v>0</v>
      </c>
      <c r="X28" s="28" t="n">
        <f>IF(X$7=1,IF(AND(ISNUMBER('Aannames'!$E$43),'Aannames'!$E$43&gt;=0),'Aannames'!$E$43,NA()),0)</f>
        <v>0</v>
      </c>
      <c r="Y28" s="28" t="n">
        <f>IF(Y$7=1,IF(AND(ISNUMBER('Aannames'!$E$43),'Aannames'!$E$43&gt;=0),'Aannames'!$E$43,NA()),0)</f>
        <v>0</v>
      </c>
      <c r="Z28" s="28" t="n">
        <f>IF(Z$7=1,IF(AND(ISNUMBER('Aannames'!$E$43),'Aannames'!$E$43&gt;=0),'Aannames'!$E$43,NA()),0)</f>
        <v>0</v>
      </c>
      <c r="AA28" s="28" t="n">
        <f>IF(AA$7=1,IF(AND(ISNUMBER('Aannames'!$E$43),'Aannames'!$E$43&gt;=0),'Aannames'!$E$43,NA()),0)</f>
        <v>0</v>
      </c>
      <c r="AB28" s="28" t="n">
        <f>IF(AB$7=1,IF(AND(ISNUMBER('Aannames'!$E$43),'Aannames'!$E$43&gt;=0),'Aannames'!$E$43,NA()),0)</f>
        <v>0</v>
      </c>
      <c r="AC28" s="28" t="n">
        <f>IF(AC$7=1,IF(AND(ISNUMBER('Aannames'!$E$43),'Aannames'!$E$43&gt;=0),'Aannames'!$E$43,NA()),0)</f>
        <v>0</v>
      </c>
      <c r="AD28" s="28" t="n">
        <f>IF(AD$7=1,IF(AND(ISNUMBER('Aannames'!$E$43),'Aannames'!$E$43&gt;=0),'Aannames'!$E$43,NA()),0)</f>
        <v>0</v>
      </c>
      <c r="AE28" s="28" t="n">
        <f>IF(AE$7=1,IF(AND(ISNUMBER('Aannames'!$E$43),'Aannames'!$E$43&gt;=0),'Aannames'!$E$43,NA()),0)</f>
        <v>0</v>
      </c>
    </row>
    <row r="29" ht="22" customHeight="1">
      <c r="A29" s="1"/>
      <c r="B29" s="1"/>
      <c r="C29" s="1" t="str">
        <v>Boekwaarde begin maand</v>
      </c>
      <c r="D29" s="1"/>
      <c r="E29" s="14" t="n">
        <f>H29</f>
        <v>0</v>
      </c>
      <c r="F29" s="14" t="n">
        <f>T29</f>
        <v>6000</v>
      </c>
      <c r="G29" s="36"/>
      <c r="H29" s="14" t="n">
        <f>0</f>
        <v>0</v>
      </c>
      <c r="I29" s="14" t="n">
        <f>H30</f>
        <v>8750</v>
      </c>
      <c r="J29" s="14" t="n">
        <f>I30</f>
        <v>8500</v>
      </c>
      <c r="K29" s="14" t="n">
        <f>J30</f>
        <v>8250</v>
      </c>
      <c r="L29" s="14" t="n">
        <f>K30</f>
        <v>8000</v>
      </c>
      <c r="M29" s="14" t="n">
        <f>L30</f>
        <v>7750</v>
      </c>
      <c r="N29" s="14" t="n">
        <f>M30</f>
        <v>7500</v>
      </c>
      <c r="O29" s="14" t="n">
        <f>N30</f>
        <v>7250</v>
      </c>
      <c r="P29" s="14" t="n">
        <f>O30</f>
        <v>7000</v>
      </c>
      <c r="Q29" s="14" t="n">
        <f>P30</f>
        <v>6750</v>
      </c>
      <c r="R29" s="14" t="n">
        <f>Q30</f>
        <v>6500</v>
      </c>
      <c r="S29" s="14" t="n">
        <f>R30</f>
        <v>6250</v>
      </c>
      <c r="T29" s="14" t="n">
        <f>S30</f>
        <v>6000</v>
      </c>
      <c r="U29" s="14" t="n">
        <f>T30</f>
        <v>5750</v>
      </c>
      <c r="V29" s="14" t="n">
        <f>U30</f>
        <v>5500</v>
      </c>
      <c r="W29" s="14" t="n">
        <f>V30</f>
        <v>5250</v>
      </c>
      <c r="X29" s="14" t="n">
        <f>W30</f>
        <v>5000</v>
      </c>
      <c r="Y29" s="14" t="n">
        <f>X30</f>
        <v>4750</v>
      </c>
      <c r="Z29" s="14" t="n">
        <f>Y30</f>
        <v>4500</v>
      </c>
      <c r="AA29" s="14" t="n">
        <f>Z30</f>
        <v>4250</v>
      </c>
      <c r="AB29" s="14" t="n">
        <f>AA30</f>
        <v>4000</v>
      </c>
      <c r="AC29" s="14" t="n">
        <f>AB30</f>
        <v>3750</v>
      </c>
      <c r="AD29" s="14" t="n">
        <f>AC30</f>
        <v>3500</v>
      </c>
      <c r="AE29" s="14" t="n">
        <f>AD30</f>
        <v>3250</v>
      </c>
    </row>
    <row r="30" ht="22" customHeight="1">
      <c r="A30" s="1"/>
      <c r="B30" s="1"/>
      <c r="C30" s="17" t="str">
        <v>Boekwaarde einde maand</v>
      </c>
      <c r="D30" s="17"/>
      <c r="E30" s="31" t="n">
        <f>S30</f>
        <v>6000</v>
      </c>
      <c r="F30" s="31" t="n">
        <f>AE30</f>
        <v>3000</v>
      </c>
      <c r="G30" s="37"/>
      <c r="H30" s="31" t="n">
        <f>H29+H28-H18</f>
        <v>8750</v>
      </c>
      <c r="I30" s="31" t="n">
        <f>I29+I28-I18</f>
        <v>8500</v>
      </c>
      <c r="J30" s="31" t="n">
        <f>J29+J28-J18</f>
        <v>8250</v>
      </c>
      <c r="K30" s="31" t="n">
        <f>K29+K28-K18</f>
        <v>8000</v>
      </c>
      <c r="L30" s="31" t="n">
        <f>L29+L28-L18</f>
        <v>7750</v>
      </c>
      <c r="M30" s="31" t="n">
        <f>M29+M28-M18</f>
        <v>7500</v>
      </c>
      <c r="N30" s="31" t="n">
        <f>N29+N28-N18</f>
        <v>7250</v>
      </c>
      <c r="O30" s="31" t="n">
        <f>O29+O28-O18</f>
        <v>7000</v>
      </c>
      <c r="P30" s="31" t="n">
        <f>P29+P28-P18</f>
        <v>6750</v>
      </c>
      <c r="Q30" s="31" t="n">
        <f>Q29+Q28-Q18</f>
        <v>6500</v>
      </c>
      <c r="R30" s="31" t="n">
        <f>R29+R28-R18</f>
        <v>6250</v>
      </c>
      <c r="S30" s="31" t="n">
        <f>S29+S28-S18</f>
        <v>6000</v>
      </c>
      <c r="T30" s="31" t="n">
        <f>T29+T28-T18</f>
        <v>5750</v>
      </c>
      <c r="U30" s="31" t="n">
        <f>U29+U28-U18</f>
        <v>5500</v>
      </c>
      <c r="V30" s="31" t="n">
        <f>V29+V28-V18</f>
        <v>5250</v>
      </c>
      <c r="W30" s="31" t="n">
        <f>W29+W28-W18</f>
        <v>5000</v>
      </c>
      <c r="X30" s="31" t="n">
        <f>X29+X28-X18</f>
        <v>4750</v>
      </c>
      <c r="Y30" s="31" t="n">
        <f>Y29+Y28-Y18</f>
        <v>4500</v>
      </c>
      <c r="Z30" s="31" t="n">
        <f>Z29+Z28-Z18</f>
        <v>4250</v>
      </c>
      <c r="AA30" s="31" t="n">
        <f>AA29+AA28-AA18</f>
        <v>4000</v>
      </c>
      <c r="AB30" s="31" t="n">
        <f>AB29+AB28-AB18</f>
        <v>3750</v>
      </c>
      <c r="AC30" s="31" t="n">
        <f>AC29+AC28-AC18</f>
        <v>3500</v>
      </c>
      <c r="AD30" s="31" t="n">
        <f>AD29+AD28-AD18</f>
        <v>3250</v>
      </c>
      <c r="AE30" s="31" t="n">
        <f>AE29+AE28-AE18</f>
        <v>3000</v>
      </c>
    </row>
    <row r="31" ht="22" customHeight="1">
      <c r="A31" s="1"/>
      <c r="B31" s="1"/>
      <c r="C31" s="1"/>
      <c r="D31" s="1"/>
      <c r="E31" s="14"/>
      <c r="F31" s="14"/>
      <c r="G31" s="36"/>
      <c r="H31" s="14"/>
      <c r="I31" s="14"/>
      <c r="J31" s="14"/>
      <c r="K31" s="14"/>
      <c r="L31" s="14"/>
      <c r="M31" s="14"/>
      <c r="N31" s="14"/>
      <c r="O31" s="14"/>
      <c r="P31" s="14"/>
      <c r="Q31" s="14"/>
      <c r="R31" s="14"/>
      <c r="S31" s="14"/>
      <c r="T31" s="14"/>
      <c r="U31" s="14"/>
      <c r="V31" s="14"/>
      <c r="W31" s="14"/>
      <c r="X31" s="14"/>
      <c r="Y31" s="14"/>
      <c r="Z31" s="14"/>
      <c r="AA31" s="14"/>
      <c r="AB31" s="14"/>
      <c r="AC31" s="14"/>
      <c r="AD31" s="14"/>
      <c r="AE31" s="14"/>
    </row>
    <row r="32" ht="22" customHeight="1">
      <c r="A32" s="1"/>
      <c r="B32" s="1"/>
      <c r="C32" s="1" t="str">
        <v>Facturen inclusief btw</v>
      </c>
      <c r="D32" s="1"/>
      <c r="E32" s="14" t="n">
        <f>SUM(H32:S32)</f>
        <v>122694</v>
      </c>
      <c r="F32" s="14" t="n">
        <f>SUM(T32:AE32)</f>
        <v>147015</v>
      </c>
      <c r="G32" s="36"/>
      <c r="H32" s="28" t="n">
        <f>H11*(1+IF(AND(ISNUMBER('Aannames'!$E$49),'Aannames'!$E$49&gt;=0,'Aannames'!$E$49&lt;=1),'Aannames'!$E$49,NA()))</f>
        <v>10224.5</v>
      </c>
      <c r="I32" s="28" t="n">
        <f>I11*(1+IF(AND(ISNUMBER('Aannames'!$E$49),'Aannames'!$E$49&gt;=0,'Aannames'!$E$49&lt;=1),'Aannames'!$E$49,NA()))</f>
        <v>10224.5</v>
      </c>
      <c r="J32" s="28" t="n">
        <f>J11*(1+IF(AND(ISNUMBER('Aannames'!$E$49),'Aannames'!$E$49&gt;=0,'Aannames'!$E$49&lt;=1),'Aannames'!$E$49,NA()))</f>
        <v>10224.5</v>
      </c>
      <c r="K32" s="28" t="n">
        <f>K11*(1+IF(AND(ISNUMBER('Aannames'!$E$49),'Aannames'!$E$49&gt;=0,'Aannames'!$E$49&lt;=1),'Aannames'!$E$49,NA()))</f>
        <v>10224.5</v>
      </c>
      <c r="L32" s="28" t="n">
        <f>L11*(1+IF(AND(ISNUMBER('Aannames'!$E$49),'Aannames'!$E$49&gt;=0,'Aannames'!$E$49&lt;=1),'Aannames'!$E$49,NA()))</f>
        <v>10224.5</v>
      </c>
      <c r="M32" s="28" t="n">
        <f>M11*(1+IF(AND(ISNUMBER('Aannames'!$E$49),'Aannames'!$E$49&gt;=0,'Aannames'!$E$49&lt;=1),'Aannames'!$E$49,NA()))</f>
        <v>10224.5</v>
      </c>
      <c r="N32" s="28" t="n">
        <f>N11*(1+IF(AND(ISNUMBER('Aannames'!$E$49),'Aannames'!$E$49&gt;=0,'Aannames'!$E$49&lt;=1),'Aannames'!$E$49,NA()))</f>
        <v>10224.5</v>
      </c>
      <c r="O32" s="28" t="n">
        <f>O11*(1+IF(AND(ISNUMBER('Aannames'!$E$49),'Aannames'!$E$49&gt;=0,'Aannames'!$E$49&lt;=1),'Aannames'!$E$49,NA()))</f>
        <v>10224.5</v>
      </c>
      <c r="P32" s="28" t="n">
        <f>P11*(1+IF(AND(ISNUMBER('Aannames'!$E$49),'Aannames'!$E$49&gt;=0,'Aannames'!$E$49&lt;=1),'Aannames'!$E$49,NA()))</f>
        <v>10224.5</v>
      </c>
      <c r="Q32" s="28" t="n">
        <f>Q11*(1+IF(AND(ISNUMBER('Aannames'!$E$49),'Aannames'!$E$49&gt;=0,'Aannames'!$E$49&lt;=1),'Aannames'!$E$49,NA()))</f>
        <v>10224.5</v>
      </c>
      <c r="R32" s="28" t="n">
        <f>R11*(1+IF(AND(ISNUMBER('Aannames'!$E$49),'Aannames'!$E$49&gt;=0,'Aannames'!$E$49&lt;=1),'Aannames'!$E$49,NA()))</f>
        <v>10224.5</v>
      </c>
      <c r="S32" s="28" t="n">
        <f>S11*(1+IF(AND(ISNUMBER('Aannames'!$E$49),'Aannames'!$E$49&gt;=0,'Aannames'!$E$49&lt;=1),'Aannames'!$E$49,NA()))</f>
        <v>10224.5</v>
      </c>
      <c r="T32" s="28" t="n">
        <f>T11*(1+IF(AND(ISNUMBER('Aannames'!$E$49),'Aannames'!$E$49&gt;=0,'Aannames'!$E$49&lt;=1),'Aannames'!$E$49,NA()))</f>
        <v>12251.25</v>
      </c>
      <c r="U32" s="28" t="n">
        <f>U11*(1+IF(AND(ISNUMBER('Aannames'!$E$49),'Aannames'!$E$49&gt;=0,'Aannames'!$E$49&lt;=1),'Aannames'!$E$49,NA()))</f>
        <v>12251.25</v>
      </c>
      <c r="V32" s="28" t="n">
        <f>V11*(1+IF(AND(ISNUMBER('Aannames'!$E$49),'Aannames'!$E$49&gt;=0,'Aannames'!$E$49&lt;=1),'Aannames'!$E$49,NA()))</f>
        <v>12251.25</v>
      </c>
      <c r="W32" s="28" t="n">
        <f>W11*(1+IF(AND(ISNUMBER('Aannames'!$E$49),'Aannames'!$E$49&gt;=0,'Aannames'!$E$49&lt;=1),'Aannames'!$E$49,NA()))</f>
        <v>12251.25</v>
      </c>
      <c r="X32" s="28" t="n">
        <f>X11*(1+IF(AND(ISNUMBER('Aannames'!$E$49),'Aannames'!$E$49&gt;=0,'Aannames'!$E$49&lt;=1),'Aannames'!$E$49,NA()))</f>
        <v>12251.25</v>
      </c>
      <c r="Y32" s="28" t="n">
        <f>Y11*(1+IF(AND(ISNUMBER('Aannames'!$E$49),'Aannames'!$E$49&gt;=0,'Aannames'!$E$49&lt;=1),'Aannames'!$E$49,NA()))</f>
        <v>12251.25</v>
      </c>
      <c r="Z32" s="28" t="n">
        <f>Z11*(1+IF(AND(ISNUMBER('Aannames'!$E$49),'Aannames'!$E$49&gt;=0,'Aannames'!$E$49&lt;=1),'Aannames'!$E$49,NA()))</f>
        <v>12251.25</v>
      </c>
      <c r="AA32" s="28" t="n">
        <f>AA11*(1+IF(AND(ISNUMBER('Aannames'!$E$49),'Aannames'!$E$49&gt;=0,'Aannames'!$E$49&lt;=1),'Aannames'!$E$49,NA()))</f>
        <v>12251.25</v>
      </c>
      <c r="AB32" s="28" t="n">
        <f>AB11*(1+IF(AND(ISNUMBER('Aannames'!$E$49),'Aannames'!$E$49&gt;=0,'Aannames'!$E$49&lt;=1),'Aannames'!$E$49,NA()))</f>
        <v>12251.25</v>
      </c>
      <c r="AC32" s="28" t="n">
        <f>AC11*(1+IF(AND(ISNUMBER('Aannames'!$E$49),'Aannames'!$E$49&gt;=0,'Aannames'!$E$49&lt;=1),'Aannames'!$E$49,NA()))</f>
        <v>12251.25</v>
      </c>
      <c r="AD32" s="28" t="n">
        <f>AD11*(1+IF(AND(ISNUMBER('Aannames'!$E$49),'Aannames'!$E$49&gt;=0,'Aannames'!$E$49&lt;=1),'Aannames'!$E$49,NA()))</f>
        <v>12251.25</v>
      </c>
      <c r="AE32" s="28" t="n">
        <f>AE11*(1+IF(AND(ISNUMBER('Aannames'!$E$49),'Aannames'!$E$49&gt;=0,'Aannames'!$E$49&lt;=1),'Aannames'!$E$49,NA()))</f>
        <v>12251.25</v>
      </c>
    </row>
    <row r="33" ht="22" customHeight="1">
      <c r="A33" s="1"/>
      <c r="B33" s="1"/>
      <c r="C33" s="1" t="str">
        <v>Ontvangsten van klanten</v>
      </c>
      <c r="D33" s="1"/>
      <c r="E33" s="14" t="n">
        <f>SUM(H33:S33)</f>
        <v>112469.5</v>
      </c>
      <c r="F33" s="14" t="n">
        <f>SUM(T33:AE33)</f>
        <v>144988.25</v>
      </c>
      <c r="G33" s="36"/>
      <c r="H33" s="14" t="n">
        <f>IF(H67=0,H32,0)</f>
        <v>0</v>
      </c>
      <c r="I33" s="14" t="n">
        <f>IF(I67=0,I32,0)+IF(H67=1,H32,0)</f>
        <v>10224.5</v>
      </c>
      <c r="J33" s="14" t="n">
        <f>IF(J67=0,J32,0)+IF(I67=1,I32,0)+IF(H67=2,H32,0)</f>
        <v>10224.5</v>
      </c>
      <c r="K33" s="14" t="n">
        <f>IF(K67=0,K32,0)+IF(J67=1,J32,0)+IF(I67=2,I32,0)</f>
        <v>10224.5</v>
      </c>
      <c r="L33" s="14" t="n">
        <f>IF(L67=0,L32,0)+IF(K67=1,K32,0)+IF(J67=2,J32,0)</f>
        <v>10224.5</v>
      </c>
      <c r="M33" s="14" t="n">
        <f>IF(M67=0,M32,0)+IF(L67=1,L32,0)+IF(K67=2,K32,0)</f>
        <v>10224.5</v>
      </c>
      <c r="N33" s="14" t="n">
        <f>IF(N67=0,N32,0)+IF(M67=1,M32,0)+IF(L67=2,L32,0)</f>
        <v>10224.5</v>
      </c>
      <c r="O33" s="14" t="n">
        <f>IF(O67=0,O32,0)+IF(N67=1,N32,0)+IF(M67=2,M32,0)</f>
        <v>10224.5</v>
      </c>
      <c r="P33" s="14" t="n">
        <f>IF(P67=0,P32,0)+IF(O67=1,O32,0)+IF(N67=2,N32,0)</f>
        <v>10224.5</v>
      </c>
      <c r="Q33" s="14" t="n">
        <f>IF(Q67=0,Q32,0)+IF(P67=1,P32,0)+IF(O67=2,O32,0)</f>
        <v>10224.5</v>
      </c>
      <c r="R33" s="14" t="n">
        <f>IF(R67=0,R32,0)+IF(Q67=1,Q32,0)+IF(P67=2,P32,0)</f>
        <v>10224.5</v>
      </c>
      <c r="S33" s="14" t="n">
        <f>IF(S67=0,S32,0)+IF(R67=1,R32,0)+IF(Q67=2,Q32,0)</f>
        <v>10224.5</v>
      </c>
      <c r="T33" s="14" t="n">
        <f>IF(T67=0,T32,0)+IF(S67=1,S32,0)+IF(R67=2,R32,0)</f>
        <v>10224.5</v>
      </c>
      <c r="U33" s="14" t="n">
        <f>IF(U67=0,U32,0)+IF(T67=1,T32,0)+IF(S67=2,S32,0)</f>
        <v>12251.25</v>
      </c>
      <c r="V33" s="14" t="n">
        <f>IF(V67=0,V32,0)+IF(U67=1,U32,0)+IF(T67=2,T32,0)</f>
        <v>12251.25</v>
      </c>
      <c r="W33" s="14" t="n">
        <f>IF(W67=0,W32,0)+IF(V67=1,V32,0)+IF(U67=2,U32,0)</f>
        <v>12251.25</v>
      </c>
      <c r="X33" s="14" t="n">
        <f>IF(X67=0,X32,0)+IF(W67=1,W32,0)+IF(V67=2,V32,0)</f>
        <v>12251.25</v>
      </c>
      <c r="Y33" s="14" t="n">
        <f>IF(Y67=0,Y32,0)+IF(X67=1,X32,0)+IF(W67=2,W32,0)</f>
        <v>12251.25</v>
      </c>
      <c r="Z33" s="14" t="n">
        <f>IF(Z67=0,Z32,0)+IF(Y67=1,Y32,0)+IF(X67=2,X32,0)</f>
        <v>12251.25</v>
      </c>
      <c r="AA33" s="14" t="n">
        <f>IF(AA67=0,AA32,0)+IF(Z67=1,Z32,0)+IF(Y67=2,Y32,0)</f>
        <v>12251.25</v>
      </c>
      <c r="AB33" s="14" t="n">
        <f>IF(AB67=0,AB32,0)+IF(AA67=1,AA32,0)+IF(Z67=2,Z32,0)</f>
        <v>12251.25</v>
      </c>
      <c r="AC33" s="14" t="n">
        <f>IF(AC67=0,AC32,0)+IF(AB67=1,AB32,0)+IF(AA67=2,AA32,0)</f>
        <v>12251.25</v>
      </c>
      <c r="AD33" s="14" t="n">
        <f>IF(AD67=0,AD32,0)+IF(AC67=1,AC32,0)+IF(AB67=2,AB32,0)</f>
        <v>12251.25</v>
      </c>
      <c r="AE33" s="14" t="n">
        <f>IF(AE67=0,AE32,0)+IF(AD67=1,AD32,0)+IF(AC67=2,AC32,0)</f>
        <v>12251.25</v>
      </c>
    </row>
    <row r="34" ht="22" customHeight="1">
      <c r="A34" s="1"/>
      <c r="B34" s="1"/>
      <c r="C34" s="17" t="str">
        <v>Openstaande klanten incl. btw</v>
      </c>
      <c r="D34" s="17"/>
      <c r="E34" s="31" t="n">
        <f>S34</f>
        <v>10224.5</v>
      </c>
      <c r="F34" s="31" t="n">
        <f>AE34</f>
        <v>12251.25</v>
      </c>
      <c r="G34" s="37"/>
      <c r="H34" s="31" t="n">
        <f>H32-H33</f>
        <v>10224.5</v>
      </c>
      <c r="I34" s="31" t="n">
        <f>H34+I32-I33</f>
        <v>10224.5</v>
      </c>
      <c r="J34" s="31" t="n">
        <f>I34+J32-J33</f>
        <v>10224.5</v>
      </c>
      <c r="K34" s="31" t="n">
        <f>J34+K32-K33</f>
        <v>10224.5</v>
      </c>
      <c r="L34" s="31" t="n">
        <f>K34+L32-L33</f>
        <v>10224.5</v>
      </c>
      <c r="M34" s="31" t="n">
        <f>L34+M32-M33</f>
        <v>10224.5</v>
      </c>
      <c r="N34" s="31" t="n">
        <f>M34+N32-N33</f>
        <v>10224.5</v>
      </c>
      <c r="O34" s="31" t="n">
        <f>N34+O32-O33</f>
        <v>10224.5</v>
      </c>
      <c r="P34" s="31" t="n">
        <f>O34+P32-P33</f>
        <v>10224.5</v>
      </c>
      <c r="Q34" s="31" t="n">
        <f>P34+Q32-Q33</f>
        <v>10224.5</v>
      </c>
      <c r="R34" s="31" t="n">
        <f>Q34+R32-R33</f>
        <v>10224.5</v>
      </c>
      <c r="S34" s="31" t="n">
        <f>R34+S32-S33</f>
        <v>10224.5</v>
      </c>
      <c r="T34" s="31" t="n">
        <f>S34+T32-T33</f>
        <v>12251.25</v>
      </c>
      <c r="U34" s="31" t="n">
        <f>T34+U32-U33</f>
        <v>12251.25</v>
      </c>
      <c r="V34" s="31" t="n">
        <f>U34+V32-V33</f>
        <v>12251.25</v>
      </c>
      <c r="W34" s="31" t="n">
        <f>V34+W32-W33</f>
        <v>12251.25</v>
      </c>
      <c r="X34" s="31" t="n">
        <f>W34+X32-X33</f>
        <v>12251.25</v>
      </c>
      <c r="Y34" s="31" t="n">
        <f>X34+Y32-Y33</f>
        <v>12251.25</v>
      </c>
      <c r="Z34" s="31" t="n">
        <f>Y34+Z32-Z33</f>
        <v>12251.25</v>
      </c>
      <c r="AA34" s="31" t="n">
        <f>Z34+AA32-AA33</f>
        <v>12251.25</v>
      </c>
      <c r="AB34" s="31" t="n">
        <f>AA34+AB32-AB33</f>
        <v>12251.25</v>
      </c>
      <c r="AC34" s="31" t="n">
        <f>AB34+AC32-AC33</f>
        <v>12251.25</v>
      </c>
      <c r="AD34" s="31" t="n">
        <f>AC34+AD32-AD33</f>
        <v>12251.25</v>
      </c>
      <c r="AE34" s="31" t="n">
        <f>AD34+AE32-AE33</f>
        <v>12251.25</v>
      </c>
    </row>
    <row r="35" ht="22" customHeight="1">
      <c r="A35" s="1"/>
      <c r="B35" s="1"/>
      <c r="C35" s="1"/>
      <c r="D35" s="1"/>
      <c r="E35" s="14"/>
      <c r="F35" s="14"/>
      <c r="G35" s="36"/>
      <c r="H35" s="14"/>
      <c r="I35" s="14"/>
      <c r="J35" s="14"/>
      <c r="K35" s="14"/>
      <c r="L35" s="14"/>
      <c r="M35" s="14"/>
      <c r="N35" s="14"/>
      <c r="O35" s="14"/>
      <c r="P35" s="14"/>
      <c r="Q35" s="14"/>
      <c r="R35" s="14"/>
      <c r="S35" s="14"/>
      <c r="T35" s="14"/>
      <c r="U35" s="14"/>
      <c r="V35" s="14"/>
      <c r="W35" s="14"/>
      <c r="X35" s="14"/>
      <c r="Y35" s="14"/>
      <c r="Z35" s="14"/>
      <c r="AA35" s="14"/>
      <c r="AB35" s="14"/>
      <c r="AC35" s="14"/>
      <c r="AD35" s="14"/>
      <c r="AE35" s="14"/>
    </row>
    <row r="36" ht="22" customHeight="1">
      <c r="A36" s="1"/>
      <c r="B36" s="1"/>
      <c r="C36" s="1" t="str">
        <v>Btw op omzet</v>
      </c>
      <c r="D36" s="1"/>
      <c r="E36" s="14" t="n">
        <f>SUM(H36:S36)</f>
        <v>21294</v>
      </c>
      <c r="F36" s="14" t="n">
        <f>SUM(T36:AE36)</f>
        <v>25515</v>
      </c>
      <c r="G36" s="36"/>
      <c r="H36" s="28" t="n">
        <f>H11*IF(AND(ISNUMBER('Aannames'!$E$49),'Aannames'!$E$49&gt;=0,'Aannames'!$E$49&lt;=1),'Aannames'!$E$49,NA())</f>
        <v>1774.5</v>
      </c>
      <c r="I36" s="28" t="n">
        <f>I11*IF(AND(ISNUMBER('Aannames'!$E$49),'Aannames'!$E$49&gt;=0,'Aannames'!$E$49&lt;=1),'Aannames'!$E$49,NA())</f>
        <v>1774.5</v>
      </c>
      <c r="J36" s="28" t="n">
        <f>J11*IF(AND(ISNUMBER('Aannames'!$E$49),'Aannames'!$E$49&gt;=0,'Aannames'!$E$49&lt;=1),'Aannames'!$E$49,NA())</f>
        <v>1774.5</v>
      </c>
      <c r="K36" s="28" t="n">
        <f>K11*IF(AND(ISNUMBER('Aannames'!$E$49),'Aannames'!$E$49&gt;=0,'Aannames'!$E$49&lt;=1),'Aannames'!$E$49,NA())</f>
        <v>1774.5</v>
      </c>
      <c r="L36" s="28" t="n">
        <f>L11*IF(AND(ISNUMBER('Aannames'!$E$49),'Aannames'!$E$49&gt;=0,'Aannames'!$E$49&lt;=1),'Aannames'!$E$49,NA())</f>
        <v>1774.5</v>
      </c>
      <c r="M36" s="28" t="n">
        <f>M11*IF(AND(ISNUMBER('Aannames'!$E$49),'Aannames'!$E$49&gt;=0,'Aannames'!$E$49&lt;=1),'Aannames'!$E$49,NA())</f>
        <v>1774.5</v>
      </c>
      <c r="N36" s="28" t="n">
        <f>N11*IF(AND(ISNUMBER('Aannames'!$E$49),'Aannames'!$E$49&gt;=0,'Aannames'!$E$49&lt;=1),'Aannames'!$E$49,NA())</f>
        <v>1774.5</v>
      </c>
      <c r="O36" s="28" t="n">
        <f>O11*IF(AND(ISNUMBER('Aannames'!$E$49),'Aannames'!$E$49&gt;=0,'Aannames'!$E$49&lt;=1),'Aannames'!$E$49,NA())</f>
        <v>1774.5</v>
      </c>
      <c r="P36" s="28" t="n">
        <f>P11*IF(AND(ISNUMBER('Aannames'!$E$49),'Aannames'!$E$49&gt;=0,'Aannames'!$E$49&lt;=1),'Aannames'!$E$49,NA())</f>
        <v>1774.5</v>
      </c>
      <c r="Q36" s="28" t="n">
        <f>Q11*IF(AND(ISNUMBER('Aannames'!$E$49),'Aannames'!$E$49&gt;=0,'Aannames'!$E$49&lt;=1),'Aannames'!$E$49,NA())</f>
        <v>1774.5</v>
      </c>
      <c r="R36" s="28" t="n">
        <f>R11*IF(AND(ISNUMBER('Aannames'!$E$49),'Aannames'!$E$49&gt;=0,'Aannames'!$E$49&lt;=1),'Aannames'!$E$49,NA())</f>
        <v>1774.5</v>
      </c>
      <c r="S36" s="28" t="n">
        <f>S11*IF(AND(ISNUMBER('Aannames'!$E$49),'Aannames'!$E$49&gt;=0,'Aannames'!$E$49&lt;=1),'Aannames'!$E$49,NA())</f>
        <v>1774.5</v>
      </c>
      <c r="T36" s="28" t="n">
        <f>T11*IF(AND(ISNUMBER('Aannames'!$E$49),'Aannames'!$E$49&gt;=0,'Aannames'!$E$49&lt;=1),'Aannames'!$E$49,NA())</f>
        <v>2126.25</v>
      </c>
      <c r="U36" s="28" t="n">
        <f>U11*IF(AND(ISNUMBER('Aannames'!$E$49),'Aannames'!$E$49&gt;=0,'Aannames'!$E$49&lt;=1),'Aannames'!$E$49,NA())</f>
        <v>2126.25</v>
      </c>
      <c r="V36" s="28" t="n">
        <f>V11*IF(AND(ISNUMBER('Aannames'!$E$49),'Aannames'!$E$49&gt;=0,'Aannames'!$E$49&lt;=1),'Aannames'!$E$49,NA())</f>
        <v>2126.25</v>
      </c>
      <c r="W36" s="28" t="n">
        <f>W11*IF(AND(ISNUMBER('Aannames'!$E$49),'Aannames'!$E$49&gt;=0,'Aannames'!$E$49&lt;=1),'Aannames'!$E$49,NA())</f>
        <v>2126.25</v>
      </c>
      <c r="X36" s="28" t="n">
        <f>X11*IF(AND(ISNUMBER('Aannames'!$E$49),'Aannames'!$E$49&gt;=0,'Aannames'!$E$49&lt;=1),'Aannames'!$E$49,NA())</f>
        <v>2126.25</v>
      </c>
      <c r="Y36" s="28" t="n">
        <f>Y11*IF(AND(ISNUMBER('Aannames'!$E$49),'Aannames'!$E$49&gt;=0,'Aannames'!$E$49&lt;=1),'Aannames'!$E$49,NA())</f>
        <v>2126.25</v>
      </c>
      <c r="Z36" s="28" t="n">
        <f>Z11*IF(AND(ISNUMBER('Aannames'!$E$49),'Aannames'!$E$49&gt;=0,'Aannames'!$E$49&lt;=1),'Aannames'!$E$49,NA())</f>
        <v>2126.25</v>
      </c>
      <c r="AA36" s="28" t="n">
        <f>AA11*IF(AND(ISNUMBER('Aannames'!$E$49),'Aannames'!$E$49&gt;=0,'Aannames'!$E$49&lt;=1),'Aannames'!$E$49,NA())</f>
        <v>2126.25</v>
      </c>
      <c r="AB36" s="28" t="n">
        <f>AB11*IF(AND(ISNUMBER('Aannames'!$E$49),'Aannames'!$E$49&gt;=0,'Aannames'!$E$49&lt;=1),'Aannames'!$E$49,NA())</f>
        <v>2126.25</v>
      </c>
      <c r="AC36" s="28" t="n">
        <f>AC11*IF(AND(ISNUMBER('Aannames'!$E$49),'Aannames'!$E$49&gt;=0,'Aannames'!$E$49&lt;=1),'Aannames'!$E$49,NA())</f>
        <v>2126.25</v>
      </c>
      <c r="AD36" s="28" t="n">
        <f>AD11*IF(AND(ISNUMBER('Aannames'!$E$49),'Aannames'!$E$49&gt;=0,'Aannames'!$E$49&lt;=1),'Aannames'!$E$49,NA())</f>
        <v>2126.25</v>
      </c>
      <c r="AE36" s="28" t="n">
        <f>AE11*IF(AND(ISNUMBER('Aannames'!$E$49),'Aannames'!$E$49&gt;=0,'Aannames'!$E$49&lt;=1),'Aannames'!$E$49,NA())</f>
        <v>2126.25</v>
      </c>
    </row>
    <row r="37" ht="22" customHeight="1">
      <c r="A37" s="1"/>
      <c r="B37" s="1"/>
      <c r="C37" s="1" t="str">
        <v>Aftrekbare btw op aankopen</v>
      </c>
      <c r="D37" s="1"/>
      <c r="E37" s="14" t="n">
        <f>SUM(H37:S37)</f>
        <v>6919.919999999998</v>
      </c>
      <c r="F37" s="14" t="n">
        <f>SUM(T37:AE37)</f>
        <v>5740.56</v>
      </c>
      <c r="G37" s="36"/>
      <c r="H37" s="28" t="n">
        <f>(H13+H14*IF(AND(ISNUMBER('Aannames'!$E$50),'Aannames'!$E$50&gt;=0,'Aannames'!$E$50&lt;=1),'Aannames'!$E$50,NA())+H28)*IF(AND(ISNUMBER('Aannames'!$E$49),'Aannames'!$E$49&gt;=0,'Aannames'!$E$49&lt;=1),'Aannames'!$E$49,NA())</f>
        <v>2309.16</v>
      </c>
      <c r="I37" s="28" t="n">
        <f>(I13+I14*IF(AND(ISNUMBER('Aannames'!$E$50),'Aannames'!$E$50&gt;=0,'Aannames'!$E$50&lt;=1),'Aannames'!$E$50,NA())+I28)*IF(AND(ISNUMBER('Aannames'!$E$49),'Aannames'!$E$49&gt;=0,'Aannames'!$E$49&lt;=1),'Aannames'!$E$49,NA())</f>
        <v>419.15999999999997</v>
      </c>
      <c r="J37" s="28" t="n">
        <f>(J13+J14*IF(AND(ISNUMBER('Aannames'!$E$50),'Aannames'!$E$50&gt;=0,'Aannames'!$E$50&lt;=1),'Aannames'!$E$50,NA())+J28)*IF(AND(ISNUMBER('Aannames'!$E$49),'Aannames'!$E$49&gt;=0,'Aannames'!$E$49&lt;=1),'Aannames'!$E$49,NA())</f>
        <v>419.15999999999997</v>
      </c>
      <c r="K37" s="28" t="n">
        <f>(K13+K14*IF(AND(ISNUMBER('Aannames'!$E$50),'Aannames'!$E$50&gt;=0,'Aannames'!$E$50&lt;=1),'Aannames'!$E$50,NA())+K28)*IF(AND(ISNUMBER('Aannames'!$E$49),'Aannames'!$E$49&gt;=0,'Aannames'!$E$49&lt;=1),'Aannames'!$E$49,NA())</f>
        <v>419.15999999999997</v>
      </c>
      <c r="L37" s="28" t="n">
        <f>(L13+L14*IF(AND(ISNUMBER('Aannames'!$E$50),'Aannames'!$E$50&gt;=0,'Aannames'!$E$50&lt;=1),'Aannames'!$E$50,NA())+L28)*IF(AND(ISNUMBER('Aannames'!$E$49),'Aannames'!$E$49&gt;=0,'Aannames'!$E$49&lt;=1),'Aannames'!$E$49,NA())</f>
        <v>419.15999999999997</v>
      </c>
      <c r="M37" s="28" t="n">
        <f>(M13+M14*IF(AND(ISNUMBER('Aannames'!$E$50),'Aannames'!$E$50&gt;=0,'Aannames'!$E$50&lt;=1),'Aannames'!$E$50,NA())+M28)*IF(AND(ISNUMBER('Aannames'!$E$49),'Aannames'!$E$49&gt;=0,'Aannames'!$E$49&lt;=1),'Aannames'!$E$49,NA())</f>
        <v>419.15999999999997</v>
      </c>
      <c r="N37" s="28" t="n">
        <f>(N13+N14*IF(AND(ISNUMBER('Aannames'!$E$50),'Aannames'!$E$50&gt;=0,'Aannames'!$E$50&lt;=1),'Aannames'!$E$50,NA())+N28)*IF(AND(ISNUMBER('Aannames'!$E$49),'Aannames'!$E$49&gt;=0,'Aannames'!$E$49&lt;=1),'Aannames'!$E$49,NA())</f>
        <v>419.15999999999997</v>
      </c>
      <c r="O37" s="28" t="n">
        <f>(O13+O14*IF(AND(ISNUMBER('Aannames'!$E$50),'Aannames'!$E$50&gt;=0,'Aannames'!$E$50&lt;=1),'Aannames'!$E$50,NA())+O28)*IF(AND(ISNUMBER('Aannames'!$E$49),'Aannames'!$E$49&gt;=0,'Aannames'!$E$49&lt;=1),'Aannames'!$E$49,NA())</f>
        <v>419.15999999999997</v>
      </c>
      <c r="P37" s="28" t="n">
        <f>(P13+P14*IF(AND(ISNUMBER('Aannames'!$E$50),'Aannames'!$E$50&gt;=0,'Aannames'!$E$50&lt;=1),'Aannames'!$E$50,NA())+P28)*IF(AND(ISNUMBER('Aannames'!$E$49),'Aannames'!$E$49&gt;=0,'Aannames'!$E$49&lt;=1),'Aannames'!$E$49,NA())</f>
        <v>419.15999999999997</v>
      </c>
      <c r="Q37" s="28" t="n">
        <f>(Q13+Q14*IF(AND(ISNUMBER('Aannames'!$E$50),'Aannames'!$E$50&gt;=0,'Aannames'!$E$50&lt;=1),'Aannames'!$E$50,NA())+Q28)*IF(AND(ISNUMBER('Aannames'!$E$49),'Aannames'!$E$49&gt;=0,'Aannames'!$E$49&lt;=1),'Aannames'!$E$49,NA())</f>
        <v>419.15999999999997</v>
      </c>
      <c r="R37" s="28" t="n">
        <f>(R13+R14*IF(AND(ISNUMBER('Aannames'!$E$50),'Aannames'!$E$50&gt;=0,'Aannames'!$E$50&lt;=1),'Aannames'!$E$50,NA())+R28)*IF(AND(ISNUMBER('Aannames'!$E$49),'Aannames'!$E$49&gt;=0,'Aannames'!$E$49&lt;=1),'Aannames'!$E$49,NA())</f>
        <v>419.15999999999997</v>
      </c>
      <c r="S37" s="28" t="n">
        <f>(S13+S14*IF(AND(ISNUMBER('Aannames'!$E$50),'Aannames'!$E$50&gt;=0,'Aannames'!$E$50&lt;=1),'Aannames'!$E$50,NA())+S28)*IF(AND(ISNUMBER('Aannames'!$E$49),'Aannames'!$E$49&gt;=0,'Aannames'!$E$49&lt;=1),'Aannames'!$E$49,NA())</f>
        <v>419.15999999999997</v>
      </c>
      <c r="T37" s="28" t="n">
        <f>(T13+T14*IF(AND(ISNUMBER('Aannames'!$E$50),'Aannames'!$E$50&gt;=0,'Aannames'!$E$50&lt;=1),'Aannames'!$E$50,NA())+T28)*IF(AND(ISNUMBER('Aannames'!$E$49),'Aannames'!$E$49&gt;=0,'Aannames'!$E$49&lt;=1),'Aannames'!$E$49,NA())</f>
        <v>478.38</v>
      </c>
      <c r="U37" s="28" t="n">
        <f>(U13+U14*IF(AND(ISNUMBER('Aannames'!$E$50),'Aannames'!$E$50&gt;=0,'Aannames'!$E$50&lt;=1),'Aannames'!$E$50,NA())+U28)*IF(AND(ISNUMBER('Aannames'!$E$49),'Aannames'!$E$49&gt;=0,'Aannames'!$E$49&lt;=1),'Aannames'!$E$49,NA())</f>
        <v>478.38</v>
      </c>
      <c r="V37" s="28" t="n">
        <f>(V13+V14*IF(AND(ISNUMBER('Aannames'!$E$50),'Aannames'!$E$50&gt;=0,'Aannames'!$E$50&lt;=1),'Aannames'!$E$50,NA())+V28)*IF(AND(ISNUMBER('Aannames'!$E$49),'Aannames'!$E$49&gt;=0,'Aannames'!$E$49&lt;=1),'Aannames'!$E$49,NA())</f>
        <v>478.38</v>
      </c>
      <c r="W37" s="28" t="n">
        <f>(W13+W14*IF(AND(ISNUMBER('Aannames'!$E$50),'Aannames'!$E$50&gt;=0,'Aannames'!$E$50&lt;=1),'Aannames'!$E$50,NA())+W28)*IF(AND(ISNUMBER('Aannames'!$E$49),'Aannames'!$E$49&gt;=0,'Aannames'!$E$49&lt;=1),'Aannames'!$E$49,NA())</f>
        <v>478.38</v>
      </c>
      <c r="X37" s="28" t="n">
        <f>(X13+X14*IF(AND(ISNUMBER('Aannames'!$E$50),'Aannames'!$E$50&gt;=0,'Aannames'!$E$50&lt;=1),'Aannames'!$E$50,NA())+X28)*IF(AND(ISNUMBER('Aannames'!$E$49),'Aannames'!$E$49&gt;=0,'Aannames'!$E$49&lt;=1),'Aannames'!$E$49,NA())</f>
        <v>478.38</v>
      </c>
      <c r="Y37" s="28" t="n">
        <f>(Y13+Y14*IF(AND(ISNUMBER('Aannames'!$E$50),'Aannames'!$E$50&gt;=0,'Aannames'!$E$50&lt;=1),'Aannames'!$E$50,NA())+Y28)*IF(AND(ISNUMBER('Aannames'!$E$49),'Aannames'!$E$49&gt;=0,'Aannames'!$E$49&lt;=1),'Aannames'!$E$49,NA())</f>
        <v>478.38</v>
      </c>
      <c r="Z37" s="28" t="n">
        <f>(Z13+Z14*IF(AND(ISNUMBER('Aannames'!$E$50),'Aannames'!$E$50&gt;=0,'Aannames'!$E$50&lt;=1),'Aannames'!$E$50,NA())+Z28)*IF(AND(ISNUMBER('Aannames'!$E$49),'Aannames'!$E$49&gt;=0,'Aannames'!$E$49&lt;=1),'Aannames'!$E$49,NA())</f>
        <v>478.38</v>
      </c>
      <c r="AA37" s="28" t="n">
        <f>(AA13+AA14*IF(AND(ISNUMBER('Aannames'!$E$50),'Aannames'!$E$50&gt;=0,'Aannames'!$E$50&lt;=1),'Aannames'!$E$50,NA())+AA28)*IF(AND(ISNUMBER('Aannames'!$E$49),'Aannames'!$E$49&gt;=0,'Aannames'!$E$49&lt;=1),'Aannames'!$E$49,NA())</f>
        <v>478.38</v>
      </c>
      <c r="AB37" s="28" t="n">
        <f>(AB13+AB14*IF(AND(ISNUMBER('Aannames'!$E$50),'Aannames'!$E$50&gt;=0,'Aannames'!$E$50&lt;=1),'Aannames'!$E$50,NA())+AB28)*IF(AND(ISNUMBER('Aannames'!$E$49),'Aannames'!$E$49&gt;=0,'Aannames'!$E$49&lt;=1),'Aannames'!$E$49,NA())</f>
        <v>478.38</v>
      </c>
      <c r="AC37" s="28" t="n">
        <f>(AC13+AC14*IF(AND(ISNUMBER('Aannames'!$E$50),'Aannames'!$E$50&gt;=0,'Aannames'!$E$50&lt;=1),'Aannames'!$E$50,NA())+AC28)*IF(AND(ISNUMBER('Aannames'!$E$49),'Aannames'!$E$49&gt;=0,'Aannames'!$E$49&lt;=1),'Aannames'!$E$49,NA())</f>
        <v>478.38</v>
      </c>
      <c r="AD37" s="28" t="n">
        <f>(AD13+AD14*IF(AND(ISNUMBER('Aannames'!$E$50),'Aannames'!$E$50&gt;=0,'Aannames'!$E$50&lt;=1),'Aannames'!$E$50,NA())+AD28)*IF(AND(ISNUMBER('Aannames'!$E$49),'Aannames'!$E$49&gt;=0,'Aannames'!$E$49&lt;=1),'Aannames'!$E$49,NA())</f>
        <v>478.38</v>
      </c>
      <c r="AE37" s="28" t="n">
        <f>(AE13+AE14*IF(AND(ISNUMBER('Aannames'!$E$50),'Aannames'!$E$50&gt;=0,'Aannames'!$E$50&lt;=1),'Aannames'!$E$50,NA())+AE28)*IF(AND(ISNUMBER('Aannames'!$E$49),'Aannames'!$E$49&gt;=0,'Aannames'!$E$49&lt;=1),'Aannames'!$E$49,NA())</f>
        <v>478.38</v>
      </c>
    </row>
    <row r="38" ht="22" customHeight="1">
      <c r="A38" s="1"/>
      <c r="B38" s="1"/>
      <c r="C38" s="1" t="str">
        <v>Btw-saldo begin maand</v>
      </c>
      <c r="D38" s="1"/>
      <c r="E38" s="14" t="n">
        <f>H38</f>
        <v>0</v>
      </c>
      <c r="F38" s="14" t="n">
        <f>T38</f>
        <v>4066.0200000000004</v>
      </c>
      <c r="G38" s="36"/>
      <c r="H38" s="14" t="n">
        <f>0</f>
        <v>0</v>
      </c>
      <c r="I38" s="14" t="n">
        <f>H40</f>
        <v>-534.6599999999999</v>
      </c>
      <c r="J38" s="14" t="n">
        <f>I40</f>
        <v>820.6800000000002</v>
      </c>
      <c r="K38" s="14" t="n">
        <f>J40</f>
        <v>2176.0200000000004</v>
      </c>
      <c r="L38" s="14" t="n">
        <f>K40</f>
        <v>1355.3400000000001</v>
      </c>
      <c r="M38" s="14" t="n">
        <f>L40</f>
        <v>2710.6800000000003</v>
      </c>
      <c r="N38" s="14" t="n">
        <f>M40</f>
        <v>4066.0200000000004</v>
      </c>
      <c r="O38" s="14" t="n">
        <f>N40</f>
        <v>1355.3400000000001</v>
      </c>
      <c r="P38" s="14" t="n">
        <f>O40</f>
        <v>2710.6800000000003</v>
      </c>
      <c r="Q38" s="14" t="n">
        <f>P40</f>
        <v>4066.0200000000004</v>
      </c>
      <c r="R38" s="14" t="n">
        <f>Q40</f>
        <v>1355.3400000000001</v>
      </c>
      <c r="S38" s="14" t="n">
        <f>R40</f>
        <v>2710.6800000000003</v>
      </c>
      <c r="T38" s="14" t="n">
        <f>S40</f>
        <v>4066.0200000000004</v>
      </c>
      <c r="U38" s="14" t="n">
        <f>T40</f>
        <v>1647.87</v>
      </c>
      <c r="V38" s="14" t="n">
        <f>U40</f>
        <v>3295.74</v>
      </c>
      <c r="W38" s="14" t="n">
        <f>V40</f>
        <v>4943.61</v>
      </c>
      <c r="X38" s="14" t="n">
        <f>W40</f>
        <v>1647.87</v>
      </c>
      <c r="Y38" s="14" t="n">
        <f>X40</f>
        <v>3295.74</v>
      </c>
      <c r="Z38" s="14" t="n">
        <f>Y40</f>
        <v>4943.61</v>
      </c>
      <c r="AA38" s="14" t="n">
        <f>Z40</f>
        <v>1647.87</v>
      </c>
      <c r="AB38" s="14" t="n">
        <f>AA40</f>
        <v>3295.74</v>
      </c>
      <c r="AC38" s="14" t="n">
        <f>AB40</f>
        <v>4943.61</v>
      </c>
      <c r="AD38" s="14" t="n">
        <f>AC40</f>
        <v>1647.87</v>
      </c>
      <c r="AE38" s="14" t="n">
        <f>AD40</f>
        <v>3295.74</v>
      </c>
    </row>
    <row r="39" ht="22" customHeight="1">
      <c r="A39" s="1"/>
      <c r="B39" s="1"/>
      <c r="C39" s="1" t="str">
        <v>Btw cash betaald</v>
      </c>
      <c r="D39" s="1"/>
      <c r="E39" s="14" t="n">
        <f>SUM(H39:S39)</f>
        <v>10308.060000000001</v>
      </c>
      <c r="F39" s="14" t="n">
        <f>SUM(T39:AE39)</f>
        <v>18896.850000000002</v>
      </c>
      <c r="G39" s="36"/>
      <c r="H39" s="14" t="n">
        <f>IF(AND(MOD(MONTH(H$6),3)=1,H$7&gt;1),MAX(0,H38),0)</f>
        <v>0</v>
      </c>
      <c r="I39" s="14" t="n">
        <f>IF(AND(MOD(MONTH(I$6),3)=1,I$7&gt;1),MAX(0,I38),0)</f>
        <v>0</v>
      </c>
      <c r="J39" s="14" t="n">
        <f>IF(AND(MOD(MONTH(J$6),3)=1,J$7&gt;1),MAX(0,J38),0)</f>
        <v>0</v>
      </c>
      <c r="K39" s="14" t="n">
        <f>IF(AND(MOD(MONTH(K$6),3)=1,K$7&gt;1),MAX(0,K38),0)</f>
        <v>2176.0200000000004</v>
      </c>
      <c r="L39" s="14" t="n">
        <f>IF(AND(MOD(MONTH(L$6),3)=1,L$7&gt;1),MAX(0,L38),0)</f>
        <v>0</v>
      </c>
      <c r="M39" s="14" t="n">
        <f>IF(AND(MOD(MONTH(M$6),3)=1,M$7&gt;1),MAX(0,M38),0)</f>
        <v>0</v>
      </c>
      <c r="N39" s="14" t="n">
        <f>IF(AND(MOD(MONTH(N$6),3)=1,N$7&gt;1),MAX(0,N38),0)</f>
        <v>4066.0200000000004</v>
      </c>
      <c r="O39" s="14" t="n">
        <f>IF(AND(MOD(MONTH(O$6),3)=1,O$7&gt;1),MAX(0,O38),0)</f>
        <v>0</v>
      </c>
      <c r="P39" s="14" t="n">
        <f>IF(AND(MOD(MONTH(P$6),3)=1,P$7&gt;1),MAX(0,P38),0)</f>
        <v>0</v>
      </c>
      <c r="Q39" s="14" t="n">
        <f>IF(AND(MOD(MONTH(Q$6),3)=1,Q$7&gt;1),MAX(0,Q38),0)</f>
        <v>4066.0200000000004</v>
      </c>
      <c r="R39" s="14" t="n">
        <f>IF(AND(MOD(MONTH(R$6),3)=1,R$7&gt;1),MAX(0,R38),0)</f>
        <v>0</v>
      </c>
      <c r="S39" s="14" t="n">
        <f>IF(AND(MOD(MONTH(S$6),3)=1,S$7&gt;1),MAX(0,S38),0)</f>
        <v>0</v>
      </c>
      <c r="T39" s="14" t="n">
        <f>IF(AND(MOD(MONTH(T$6),3)=1,T$7&gt;1),MAX(0,T38),0)</f>
        <v>4066.0200000000004</v>
      </c>
      <c r="U39" s="14" t="n">
        <f>IF(AND(MOD(MONTH(U$6),3)=1,U$7&gt;1),MAX(0,U38),0)</f>
        <v>0</v>
      </c>
      <c r="V39" s="14" t="n">
        <f>IF(AND(MOD(MONTH(V$6),3)=1,V$7&gt;1),MAX(0,V38),0)</f>
        <v>0</v>
      </c>
      <c r="W39" s="14" t="n">
        <f>IF(AND(MOD(MONTH(W$6),3)=1,W$7&gt;1),MAX(0,W38),0)</f>
        <v>4943.61</v>
      </c>
      <c r="X39" s="14" t="n">
        <f>IF(AND(MOD(MONTH(X$6),3)=1,X$7&gt;1),MAX(0,X38),0)</f>
        <v>0</v>
      </c>
      <c r="Y39" s="14" t="n">
        <f>IF(AND(MOD(MONTH(Y$6),3)=1,Y$7&gt;1),MAX(0,Y38),0)</f>
        <v>0</v>
      </c>
      <c r="Z39" s="14" t="n">
        <f>IF(AND(MOD(MONTH(Z$6),3)=1,Z$7&gt;1),MAX(0,Z38),0)</f>
        <v>4943.61</v>
      </c>
      <c r="AA39" s="14" t="n">
        <f>IF(AND(MOD(MONTH(AA$6),3)=1,AA$7&gt;1),MAX(0,AA38),0)</f>
        <v>0</v>
      </c>
      <c r="AB39" s="14" t="n">
        <f>IF(AND(MOD(MONTH(AB$6),3)=1,AB$7&gt;1),MAX(0,AB38),0)</f>
        <v>0</v>
      </c>
      <c r="AC39" s="14" t="n">
        <f>IF(AND(MOD(MONTH(AC$6),3)=1,AC$7&gt;1),MAX(0,AC38),0)</f>
        <v>4943.61</v>
      </c>
      <c r="AD39" s="14" t="n">
        <f>IF(AND(MOD(MONTH(AD$6),3)=1,AD$7&gt;1),MAX(0,AD38),0)</f>
        <v>0</v>
      </c>
      <c r="AE39" s="14" t="n">
        <f>IF(AND(MOD(MONTH(AE$6),3)=1,AE$7&gt;1),MAX(0,AE38),0)</f>
        <v>0</v>
      </c>
    </row>
    <row r="40" ht="22" customHeight="1">
      <c r="A40" s="1"/>
      <c r="B40" s="1"/>
      <c r="C40" s="17" t="str">
        <v>Btw-saldo einde maand</v>
      </c>
      <c r="D40" s="17"/>
      <c r="E40" s="31" t="n">
        <f>S40</f>
        <v>4066.0200000000004</v>
      </c>
      <c r="F40" s="31" t="n">
        <f>AE40</f>
        <v>4943.61</v>
      </c>
      <c r="G40" s="37"/>
      <c r="H40" s="31" t="n">
        <f>H38+H36-H37-H39</f>
        <v>-534.6599999999999</v>
      </c>
      <c r="I40" s="31" t="n">
        <f>I38+I36-I37-I39</f>
        <v>820.6800000000002</v>
      </c>
      <c r="J40" s="31" t="n">
        <f>J38+J36-J37-J39</f>
        <v>2176.0200000000004</v>
      </c>
      <c r="K40" s="31" t="n">
        <f>K38+K36-K37-K39</f>
        <v>1355.3400000000001</v>
      </c>
      <c r="L40" s="31" t="n">
        <f>L38+L36-L37-L39</f>
        <v>2710.6800000000003</v>
      </c>
      <c r="M40" s="31" t="n">
        <f>M38+M36-M37-M39</f>
        <v>4066.0200000000004</v>
      </c>
      <c r="N40" s="31" t="n">
        <f>N38+N36-N37-N39</f>
        <v>1355.3400000000001</v>
      </c>
      <c r="O40" s="31" t="n">
        <f>O38+O36-O37-O39</f>
        <v>2710.6800000000003</v>
      </c>
      <c r="P40" s="31" t="n">
        <f>P38+P36-P37-P39</f>
        <v>4066.0200000000004</v>
      </c>
      <c r="Q40" s="31" t="n">
        <f>Q38+Q36-Q37-Q39</f>
        <v>1355.3400000000001</v>
      </c>
      <c r="R40" s="31" t="n">
        <f>R38+R36-R37-R39</f>
        <v>2710.6800000000003</v>
      </c>
      <c r="S40" s="31" t="n">
        <f>S38+S36-S37-S39</f>
        <v>4066.0200000000004</v>
      </c>
      <c r="T40" s="31" t="n">
        <f>T38+T36-T37-T39</f>
        <v>1647.87</v>
      </c>
      <c r="U40" s="31" t="n">
        <f>U38+U36-U37-U39</f>
        <v>3295.74</v>
      </c>
      <c r="V40" s="31" t="n">
        <f>V38+V36-V37-V39</f>
        <v>4943.61</v>
      </c>
      <c r="W40" s="31" t="n">
        <f>W38+W36-W37-W39</f>
        <v>1647.87</v>
      </c>
      <c r="X40" s="31" t="n">
        <f>X38+X36-X37-X39</f>
        <v>3295.74</v>
      </c>
      <c r="Y40" s="31" t="n">
        <f>Y38+Y36-Y37-Y39</f>
        <v>4943.61</v>
      </c>
      <c r="Z40" s="31" t="n">
        <f>Z38+Z36-Z37-Z39</f>
        <v>1647.87</v>
      </c>
      <c r="AA40" s="31" t="n">
        <f>AA38+AA36-AA37-AA39</f>
        <v>3295.74</v>
      </c>
      <c r="AB40" s="31" t="n">
        <f>AB38+AB36-AB37-AB39</f>
        <v>4943.61</v>
      </c>
      <c r="AC40" s="31" t="n">
        <f>AC38+AC36-AC37-AC39</f>
        <v>1647.87</v>
      </c>
      <c r="AD40" s="31" t="n">
        <f>AD38+AD36-AD37-AD39</f>
        <v>3295.74</v>
      </c>
      <c r="AE40" s="31" t="n">
        <f>AE38+AE36-AE37-AE39</f>
        <v>4943.61</v>
      </c>
    </row>
    <row r="41" ht="22" customHeight="1">
      <c r="A41" s="1"/>
      <c r="B41" s="1"/>
      <c r="C41" s="1"/>
      <c r="D41" s="1"/>
      <c r="E41" s="14"/>
      <c r="F41" s="14"/>
      <c r="G41" s="36"/>
      <c r="H41" s="14"/>
      <c r="I41" s="14"/>
      <c r="J41" s="14"/>
      <c r="K41" s="14"/>
      <c r="L41" s="14"/>
      <c r="M41" s="14"/>
      <c r="N41" s="14"/>
      <c r="O41" s="14"/>
      <c r="P41" s="14"/>
      <c r="Q41" s="14"/>
      <c r="R41" s="14"/>
      <c r="S41" s="14"/>
      <c r="T41" s="14"/>
      <c r="U41" s="14"/>
      <c r="V41" s="14"/>
      <c r="W41" s="14"/>
      <c r="X41" s="14"/>
      <c r="Y41" s="14"/>
      <c r="Z41" s="14"/>
      <c r="AA41" s="14"/>
      <c r="AB41" s="14"/>
      <c r="AC41" s="14"/>
      <c r="AD41" s="14"/>
      <c r="AE41" s="14"/>
    </row>
    <row r="42" ht="22" customHeight="1">
      <c r="A42" s="1"/>
      <c r="B42" s="1"/>
      <c r="C42" s="1" t="str">
        <v>Belastingreserve begin maand</v>
      </c>
      <c r="D42" s="1"/>
      <c r="E42" s="14" t="n">
        <f>H42</f>
        <v>0</v>
      </c>
      <c r="F42" s="14" t="n">
        <f>T42</f>
        <v>0</v>
      </c>
      <c r="G42" s="36"/>
      <c r="H42" s="14" t="n">
        <f>0</f>
        <v>0</v>
      </c>
      <c r="I42" s="14" t="n">
        <f>H44</f>
        <v>83.08333333333333</v>
      </c>
      <c r="J42" s="14" t="n">
        <f>I44</f>
        <v>791.4560185185186</v>
      </c>
      <c r="K42" s="14" t="n">
        <f>J44</f>
        <v>0</v>
      </c>
      <c r="L42" s="14" t="n">
        <f>K44</f>
        <v>708.9513888888889</v>
      </c>
      <c r="M42" s="14" t="n">
        <f>L44</f>
        <v>1418.1921296296296</v>
      </c>
      <c r="N42" s="14" t="n">
        <f>M44</f>
        <v>0</v>
      </c>
      <c r="O42" s="14" t="n">
        <f>N44</f>
        <v>709.8194444444445</v>
      </c>
      <c r="P42" s="14" t="n">
        <f>O44</f>
        <v>1419.9282407407409</v>
      </c>
      <c r="Q42" s="14" t="n">
        <f>P44</f>
        <v>0</v>
      </c>
      <c r="R42" s="14" t="n">
        <f>Q44</f>
        <v>710.6875</v>
      </c>
      <c r="S42" s="14" t="n">
        <f>R44</f>
        <v>1421.6643518518517</v>
      </c>
      <c r="T42" s="14" t="n">
        <f>S44</f>
        <v>0</v>
      </c>
      <c r="U42" s="14" t="n">
        <f>T44</f>
        <v>975.5555555555555</v>
      </c>
      <c r="V42" s="14" t="n">
        <f>U44</f>
        <v>1951.400462962963</v>
      </c>
      <c r="W42" s="14" t="n">
        <f>V44</f>
        <v>0</v>
      </c>
      <c r="X42" s="14" t="n">
        <f>W44</f>
        <v>976.4236111111111</v>
      </c>
      <c r="Y42" s="14" t="n">
        <f>X44</f>
        <v>1953.136574074074</v>
      </c>
      <c r="Z42" s="14" t="n">
        <f>Y44</f>
        <v>0</v>
      </c>
      <c r="AA42" s="14" t="n">
        <f>Z44</f>
        <v>977.2916666666666</v>
      </c>
      <c r="AB42" s="14" t="n">
        <f>AA44</f>
        <v>1954.8726851851852</v>
      </c>
      <c r="AC42" s="14" t="n">
        <f>AB44</f>
        <v>0</v>
      </c>
      <c r="AD42" s="14" t="n">
        <f>AC44</f>
        <v>978.1597222222222</v>
      </c>
      <c r="AE42" s="14" t="n">
        <f>AD44</f>
        <v>1956.608796296296</v>
      </c>
    </row>
    <row r="43" ht="22" customHeight="1">
      <c r="A43" s="1"/>
      <c r="B43" s="1"/>
      <c r="C43" s="1" t="str">
        <v>Belastingbudget cash betaald</v>
      </c>
      <c r="D43" s="1"/>
      <c r="E43" s="14" t="n">
        <f>SUM(H43:S43)</f>
        <v>7891.097222222223</v>
      </c>
      <c r="F43" s="14" t="n">
        <f>SUM(T43:AE43)</f>
        <v>11725.76388888889</v>
      </c>
      <c r="G43" s="36"/>
      <c r="H43" s="14" t="n">
        <f>IF(MOD(MONTH(H$6),3)=0,H42+H25,0)</f>
        <v>0</v>
      </c>
      <c r="I43" s="14" t="n">
        <f>IF(MOD(MONTH(I$6),3)=0,I42+I25,0)</f>
        <v>0</v>
      </c>
      <c r="J43" s="14" t="n">
        <f>IF(MOD(MONTH(J$6),3)=0,J42+J25,0)</f>
        <v>1500.1180555555557</v>
      </c>
      <c r="K43" s="14" t="n">
        <f>IF(MOD(MONTH(K$6),3)=0,K42+K25,0)</f>
        <v>0</v>
      </c>
      <c r="L43" s="14" t="n">
        <f>IF(MOD(MONTH(L$6),3)=0,L42+L25,0)</f>
        <v>0</v>
      </c>
      <c r="M43" s="14" t="n">
        <f>IF(MOD(MONTH(M$6),3)=0,M42+M25,0)</f>
        <v>2127.722222222222</v>
      </c>
      <c r="N43" s="14" t="n">
        <f>IF(MOD(MONTH(N$6),3)=0,N42+N25,0)</f>
        <v>0</v>
      </c>
      <c r="O43" s="14" t="n">
        <f>IF(MOD(MONTH(O$6),3)=0,O42+O25,0)</f>
        <v>0</v>
      </c>
      <c r="P43" s="14" t="n">
        <f>IF(MOD(MONTH(P$6),3)=0,P42+P25,0)</f>
        <v>2130.326388888889</v>
      </c>
      <c r="Q43" s="14" t="n">
        <f>IF(MOD(MONTH(Q$6),3)=0,Q42+Q25,0)</f>
        <v>0</v>
      </c>
      <c r="R43" s="14" t="n">
        <f>IF(MOD(MONTH(R$6),3)=0,R42+R25,0)</f>
        <v>0</v>
      </c>
      <c r="S43" s="14" t="n">
        <f>IF(MOD(MONTH(S$6),3)=0,S42+S25,0)</f>
        <v>2132.9305555555557</v>
      </c>
      <c r="T43" s="14" t="n">
        <f>IF(MOD(MONTH(T$6),3)=0,T42+T25,0)</f>
        <v>0</v>
      </c>
      <c r="U43" s="14" t="n">
        <f>IF(MOD(MONTH(U$6),3)=0,U42+U25,0)</f>
        <v>0</v>
      </c>
      <c r="V43" s="14" t="n">
        <f>IF(MOD(MONTH(V$6),3)=0,V42+V25,0)</f>
        <v>2927.534722222222</v>
      </c>
      <c r="W43" s="14" t="n">
        <f>IF(MOD(MONTH(W$6),3)=0,W42+W25,0)</f>
        <v>0</v>
      </c>
      <c r="X43" s="14" t="n">
        <f>IF(MOD(MONTH(X$6),3)=0,X42+X25,0)</f>
        <v>0</v>
      </c>
      <c r="Y43" s="14" t="n">
        <f>IF(MOD(MONTH(Y$6),3)=0,Y42+Y25,0)</f>
        <v>2930.1388888888887</v>
      </c>
      <c r="Z43" s="14" t="n">
        <f>IF(MOD(MONTH(Z$6),3)=0,Z42+Z25,0)</f>
        <v>0</v>
      </c>
      <c r="AA43" s="14" t="n">
        <f>IF(MOD(MONTH(AA$6),3)=0,AA42+AA25,0)</f>
        <v>0</v>
      </c>
      <c r="AB43" s="14" t="n">
        <f>IF(MOD(MONTH(AB$6),3)=0,AB42+AB25,0)</f>
        <v>2932.7430555555557</v>
      </c>
      <c r="AC43" s="14" t="n">
        <f>IF(MOD(MONTH(AC$6),3)=0,AC42+AC25,0)</f>
        <v>0</v>
      </c>
      <c r="AD43" s="14" t="n">
        <f>IF(MOD(MONTH(AD$6),3)=0,AD42+AD25,0)</f>
        <v>0</v>
      </c>
      <c r="AE43" s="14" t="n">
        <f>IF(MOD(MONTH(AE$6),3)=0,AE42+AE25,0)</f>
        <v>2935.3472222222217</v>
      </c>
    </row>
    <row r="44" ht="22" customHeight="1">
      <c r="A44" s="1"/>
      <c r="B44" s="1"/>
      <c r="C44" s="17" t="str">
        <v>Belastingreserve einde maand</v>
      </c>
      <c r="D44" s="17"/>
      <c r="E44" s="31" t="n">
        <f>S44</f>
        <v>0</v>
      </c>
      <c r="F44" s="31" t="n">
        <f>AE44</f>
        <v>0</v>
      </c>
      <c r="G44" s="37"/>
      <c r="H44" s="31" t="n">
        <f>H42+H25-H43</f>
        <v>83.08333333333333</v>
      </c>
      <c r="I44" s="31" t="n">
        <f>I42+I25-I43</f>
        <v>791.4560185185186</v>
      </c>
      <c r="J44" s="31" t="n">
        <f>J42+J25-J43</f>
        <v>0</v>
      </c>
      <c r="K44" s="31" t="n">
        <f>K42+K25-K43</f>
        <v>708.9513888888889</v>
      </c>
      <c r="L44" s="31" t="n">
        <f>L42+L25-L43</f>
        <v>1418.1921296296296</v>
      </c>
      <c r="M44" s="31" t="n">
        <f>M42+M25-M43</f>
        <v>0</v>
      </c>
      <c r="N44" s="31" t="n">
        <f>N42+N25-N43</f>
        <v>709.8194444444445</v>
      </c>
      <c r="O44" s="31" t="n">
        <f>O42+O25-O43</f>
        <v>1419.9282407407409</v>
      </c>
      <c r="P44" s="31" t="n">
        <f>P42+P25-P43</f>
        <v>0</v>
      </c>
      <c r="Q44" s="31" t="n">
        <f>Q42+Q25-Q43</f>
        <v>710.6875</v>
      </c>
      <c r="R44" s="31" t="n">
        <f>R42+R25-R43</f>
        <v>1421.6643518518517</v>
      </c>
      <c r="S44" s="31" t="n">
        <f>S42+S25-S43</f>
        <v>0</v>
      </c>
      <c r="T44" s="31" t="n">
        <f>T42+T25-T43</f>
        <v>975.5555555555555</v>
      </c>
      <c r="U44" s="31" t="n">
        <f>U42+U25-U43</f>
        <v>1951.400462962963</v>
      </c>
      <c r="V44" s="31" t="n">
        <f>V42+V25-V43</f>
        <v>0</v>
      </c>
      <c r="W44" s="31" t="n">
        <f>W42+W25-W43</f>
        <v>976.4236111111111</v>
      </c>
      <c r="X44" s="31" t="n">
        <f>X42+X25-X43</f>
        <v>1953.136574074074</v>
      </c>
      <c r="Y44" s="31" t="n">
        <f>Y42+Y25-Y43</f>
        <v>0</v>
      </c>
      <c r="Z44" s="31" t="n">
        <f>Z42+Z25-Z43</f>
        <v>977.2916666666666</v>
      </c>
      <c r="AA44" s="31" t="n">
        <f>AA42+AA25-AA43</f>
        <v>1954.8726851851852</v>
      </c>
      <c r="AB44" s="31" t="n">
        <f>AB42+AB25-AB43</f>
        <v>0</v>
      </c>
      <c r="AC44" s="31" t="n">
        <f>AC42+AC25-AC43</f>
        <v>978.1597222222222</v>
      </c>
      <c r="AD44" s="31" t="n">
        <f>AD42+AD25-AD43</f>
        <v>1956.608796296296</v>
      </c>
      <c r="AE44" s="31" t="n">
        <f>AE42+AE25-AE43</f>
        <v>0</v>
      </c>
    </row>
    <row r="45" ht="22" customHeight="1">
      <c r="A45" s="1"/>
      <c r="B45" s="1"/>
      <c r="C45" s="1"/>
      <c r="D45" s="1"/>
      <c r="E45" s="14"/>
      <c r="F45" s="14"/>
      <c r="G45" s="36"/>
      <c r="H45" s="14"/>
      <c r="I45" s="14"/>
      <c r="J45" s="14"/>
      <c r="K45" s="14"/>
      <c r="L45" s="14"/>
      <c r="M45" s="14"/>
      <c r="N45" s="14"/>
      <c r="O45" s="14"/>
      <c r="P45" s="14"/>
      <c r="Q45" s="14"/>
      <c r="R45" s="14"/>
      <c r="S45" s="14"/>
      <c r="T45" s="14"/>
      <c r="U45" s="14"/>
      <c r="V45" s="14"/>
      <c r="W45" s="14"/>
      <c r="X45" s="14"/>
      <c r="Y45" s="14"/>
      <c r="Z45" s="14"/>
      <c r="AA45" s="14"/>
      <c r="AB45" s="14"/>
      <c r="AC45" s="14"/>
      <c r="AD45" s="14"/>
      <c r="AE45" s="14"/>
    </row>
    <row r="46" ht="22" customHeight="1">
      <c r="A46" s="1"/>
      <c r="B46" s="1"/>
      <c r="C46" s="1" t="str">
        <v>Kas begin maand</v>
      </c>
      <c r="D46" s="1"/>
      <c r="E46" s="14" t="n">
        <f>H46</f>
        <v>25000</v>
      </c>
      <c r="F46" s="14" t="n">
        <f>T46</f>
        <v>33181.47833333333</v>
      </c>
      <c r="G46" s="36"/>
      <c r="H46" s="28" t="n">
        <f>IF(AND(ISNUMBER('Aannames'!$E$45),'Aannames'!$E$45&gt;=0),'Aannames'!$E$45,NA())+IF(AND(ISNUMBER('Aannames'!$E$46),'Aannames'!$E$46&gt;=0),'Aannames'!$E$46,NA())</f>
        <v>25000</v>
      </c>
      <c r="I46" s="14" t="n">
        <f>H57</f>
        <v>5545.395555555555</v>
      </c>
      <c r="J46" s="14" t="n">
        <f>I57</f>
        <v>9706.448518518519</v>
      </c>
      <c r="K46" s="14" t="n">
        <f>J57</f>
        <v>12368.540833333333</v>
      </c>
      <c r="L46" s="14" t="n">
        <f>K57</f>
        <v>14355.88861111111</v>
      </c>
      <c r="M46" s="14" t="n">
        <f>L57</f>
        <v>18520.413796296296</v>
      </c>
      <c r="N46" s="14" t="n">
        <f>M57</f>
        <v>20558.37416666667</v>
      </c>
      <c r="O46" s="14" t="n">
        <f>N57</f>
        <v>20659.194166666668</v>
      </c>
      <c r="P46" s="14" t="n">
        <f>O57</f>
        <v>24827.191574074077</v>
      </c>
      <c r="Q46" s="14" t="n">
        <f>P57</f>
        <v>26866.020000000004</v>
      </c>
      <c r="R46" s="14" t="n">
        <f>Q57</f>
        <v>26970.312222222226</v>
      </c>
      <c r="S46" s="14" t="n">
        <f>R57</f>
        <v>31141.781851851854</v>
      </c>
      <c r="T46" s="14" t="n">
        <f>S57</f>
        <v>33181.47833333333</v>
      </c>
      <c r="U46" s="14" t="n">
        <f>T57</f>
        <v>32611.022777777776</v>
      </c>
      <c r="V46" s="14" t="n">
        <f>U57</f>
        <v>38134.494629629626</v>
      </c>
      <c r="W46" s="14" t="n">
        <f>V57</f>
        <v>40731.589166666665</v>
      </c>
      <c r="X46" s="14" t="n">
        <f>W57</f>
        <v>41313.76583333333</v>
      </c>
      <c r="Y46" s="14" t="n">
        <f>X57</f>
        <v>46840.70990740741</v>
      </c>
      <c r="Z46" s="14" t="n">
        <f>Y57</f>
        <v>49438.6725</v>
      </c>
      <c r="AA46" s="14" t="n">
        <f>Z57</f>
        <v>50024.32138888889</v>
      </c>
      <c r="AB46" s="14" t="n">
        <f>AA57</f>
        <v>55554.73768518519</v>
      </c>
      <c r="AC46" s="14" t="n">
        <f>AB57</f>
        <v>58153.568333333336</v>
      </c>
      <c r="AD46" s="14" t="n">
        <f>AC57</f>
        <v>58742.68944444445</v>
      </c>
      <c r="AE46" s="14" t="n">
        <f>AD57</f>
        <v>64276.57796296297</v>
      </c>
    </row>
    <row r="47" ht="22" customHeight="1">
      <c r="A47" s="1"/>
      <c r="B47" s="1"/>
      <c r="C47" s="1" t="str">
        <v>Ontvangsten van klanten</v>
      </c>
      <c r="D47" s="1"/>
      <c r="E47" s="14" t="n">
        <f>SUM(H47:S47)</f>
        <v>112469.5</v>
      </c>
      <c r="F47" s="14" t="n">
        <f>SUM(T47:AE47)</f>
        <v>144988.25</v>
      </c>
      <c r="G47" s="36"/>
      <c r="H47" s="14" t="n">
        <f>H33</f>
        <v>0</v>
      </c>
      <c r="I47" s="14" t="n">
        <f>I33</f>
        <v>10224.5</v>
      </c>
      <c r="J47" s="14" t="n">
        <f>J33</f>
        <v>10224.5</v>
      </c>
      <c r="K47" s="14" t="n">
        <f>K33</f>
        <v>10224.5</v>
      </c>
      <c r="L47" s="14" t="n">
        <f>L33</f>
        <v>10224.5</v>
      </c>
      <c r="M47" s="14" t="n">
        <f>M33</f>
        <v>10224.5</v>
      </c>
      <c r="N47" s="14" t="n">
        <f>N33</f>
        <v>10224.5</v>
      </c>
      <c r="O47" s="14" t="n">
        <f>O33</f>
        <v>10224.5</v>
      </c>
      <c r="P47" s="14" t="n">
        <f>P33</f>
        <v>10224.5</v>
      </c>
      <c r="Q47" s="14" t="n">
        <f>Q33</f>
        <v>10224.5</v>
      </c>
      <c r="R47" s="14" t="n">
        <f>R33</f>
        <v>10224.5</v>
      </c>
      <c r="S47" s="14" t="n">
        <f>S33</f>
        <v>10224.5</v>
      </c>
      <c r="T47" s="14" t="n">
        <f>T33</f>
        <v>10224.5</v>
      </c>
      <c r="U47" s="14" t="n">
        <f>U33</f>
        <v>12251.25</v>
      </c>
      <c r="V47" s="14" t="n">
        <f>V33</f>
        <v>12251.25</v>
      </c>
      <c r="W47" s="14" t="n">
        <f>W33</f>
        <v>12251.25</v>
      </c>
      <c r="X47" s="14" t="n">
        <f>X33</f>
        <v>12251.25</v>
      </c>
      <c r="Y47" s="14" t="n">
        <f>Y33</f>
        <v>12251.25</v>
      </c>
      <c r="Z47" s="14" t="n">
        <f>Z33</f>
        <v>12251.25</v>
      </c>
      <c r="AA47" s="14" t="n">
        <f>AA33</f>
        <v>12251.25</v>
      </c>
      <c r="AB47" s="14" t="n">
        <f>AB33</f>
        <v>12251.25</v>
      </c>
      <c r="AC47" s="14" t="n">
        <f>AC33</f>
        <v>12251.25</v>
      </c>
      <c r="AD47" s="14" t="n">
        <f>AD33</f>
        <v>12251.25</v>
      </c>
      <c r="AE47" s="14" t="n">
        <f>AE33</f>
        <v>12251.25</v>
      </c>
    </row>
    <row r="48" ht="22" customHeight="1">
      <c r="A48" s="1"/>
      <c r="B48" s="1"/>
      <c r="C48" s="1" t="str">
        <v>Bedrijfskosten betaald incl. btw</v>
      </c>
      <c r="D48" s="1"/>
      <c r="E48" s="14" t="n">
        <f>SUM(H48:S48)</f>
        <v>32941.92</v>
      </c>
      <c r="F48" s="14" t="n">
        <f>SUM(T48:AE48)</f>
        <v>37480.56</v>
      </c>
      <c r="G48" s="36"/>
      <c r="H48" s="28" t="n">
        <f>H13*(1+IF(AND(ISNUMBER('Aannames'!$E$49),'Aannames'!$E$49&gt;=0,'Aannames'!$E$49&lt;=1),'Aannames'!$E$49,NA()))+H14*(1+IF(AND(ISNUMBER('Aannames'!$E$49),'Aannames'!$E$49&gt;=0,'Aannames'!$E$49&lt;=1),'Aannames'!$E$49,NA())*IF(AND(ISNUMBER('Aannames'!$E$50),'Aannames'!$E$50&gt;=0,'Aannames'!$E$50&lt;=1),'Aannames'!$E$50,NA()))</f>
        <v>2745.16</v>
      </c>
      <c r="I48" s="28" t="n">
        <f>I13*(1+IF(AND(ISNUMBER('Aannames'!$E$49),'Aannames'!$E$49&gt;=0,'Aannames'!$E$49&lt;=1),'Aannames'!$E$49,NA()))+I14*(1+IF(AND(ISNUMBER('Aannames'!$E$49),'Aannames'!$E$49&gt;=0,'Aannames'!$E$49&lt;=1),'Aannames'!$E$49,NA())*IF(AND(ISNUMBER('Aannames'!$E$50),'Aannames'!$E$50&gt;=0,'Aannames'!$E$50&lt;=1),'Aannames'!$E$50,NA()))</f>
        <v>2745.16</v>
      </c>
      <c r="J48" s="28" t="n">
        <f>J13*(1+IF(AND(ISNUMBER('Aannames'!$E$49),'Aannames'!$E$49&gt;=0,'Aannames'!$E$49&lt;=1),'Aannames'!$E$49,NA()))+J14*(1+IF(AND(ISNUMBER('Aannames'!$E$49),'Aannames'!$E$49&gt;=0,'Aannames'!$E$49&lt;=1),'Aannames'!$E$49,NA())*IF(AND(ISNUMBER('Aannames'!$E$50),'Aannames'!$E$50&gt;=0,'Aannames'!$E$50&lt;=1),'Aannames'!$E$50,NA()))</f>
        <v>2745.16</v>
      </c>
      <c r="K48" s="28" t="n">
        <f>K13*(1+IF(AND(ISNUMBER('Aannames'!$E$49),'Aannames'!$E$49&gt;=0,'Aannames'!$E$49&lt;=1),'Aannames'!$E$49,NA()))+K14*(1+IF(AND(ISNUMBER('Aannames'!$E$49),'Aannames'!$E$49&gt;=0,'Aannames'!$E$49&lt;=1),'Aannames'!$E$49,NA())*IF(AND(ISNUMBER('Aannames'!$E$50),'Aannames'!$E$50&gt;=0,'Aannames'!$E$50&lt;=1),'Aannames'!$E$50,NA()))</f>
        <v>2745.16</v>
      </c>
      <c r="L48" s="28" t="n">
        <f>L13*(1+IF(AND(ISNUMBER('Aannames'!$E$49),'Aannames'!$E$49&gt;=0,'Aannames'!$E$49&lt;=1),'Aannames'!$E$49,NA()))+L14*(1+IF(AND(ISNUMBER('Aannames'!$E$49),'Aannames'!$E$49&gt;=0,'Aannames'!$E$49&lt;=1),'Aannames'!$E$49,NA())*IF(AND(ISNUMBER('Aannames'!$E$50),'Aannames'!$E$50&gt;=0,'Aannames'!$E$50&lt;=1),'Aannames'!$E$50,NA()))</f>
        <v>2745.16</v>
      </c>
      <c r="M48" s="28" t="n">
        <f>M13*(1+IF(AND(ISNUMBER('Aannames'!$E$49),'Aannames'!$E$49&gt;=0,'Aannames'!$E$49&lt;=1),'Aannames'!$E$49,NA()))+M14*(1+IF(AND(ISNUMBER('Aannames'!$E$49),'Aannames'!$E$49&gt;=0,'Aannames'!$E$49&lt;=1),'Aannames'!$E$49,NA())*IF(AND(ISNUMBER('Aannames'!$E$50),'Aannames'!$E$50&gt;=0,'Aannames'!$E$50&lt;=1),'Aannames'!$E$50,NA()))</f>
        <v>2745.16</v>
      </c>
      <c r="N48" s="28" t="n">
        <f>N13*(1+IF(AND(ISNUMBER('Aannames'!$E$49),'Aannames'!$E$49&gt;=0,'Aannames'!$E$49&lt;=1),'Aannames'!$E$49,NA()))+N14*(1+IF(AND(ISNUMBER('Aannames'!$E$49),'Aannames'!$E$49&gt;=0,'Aannames'!$E$49&lt;=1),'Aannames'!$E$49,NA())*IF(AND(ISNUMBER('Aannames'!$E$50),'Aannames'!$E$50&gt;=0,'Aannames'!$E$50&lt;=1),'Aannames'!$E$50,NA()))</f>
        <v>2745.16</v>
      </c>
      <c r="O48" s="28" t="n">
        <f>O13*(1+IF(AND(ISNUMBER('Aannames'!$E$49),'Aannames'!$E$49&gt;=0,'Aannames'!$E$49&lt;=1),'Aannames'!$E$49,NA()))+O14*(1+IF(AND(ISNUMBER('Aannames'!$E$49),'Aannames'!$E$49&gt;=0,'Aannames'!$E$49&lt;=1),'Aannames'!$E$49,NA())*IF(AND(ISNUMBER('Aannames'!$E$50),'Aannames'!$E$50&gt;=0,'Aannames'!$E$50&lt;=1),'Aannames'!$E$50,NA()))</f>
        <v>2745.16</v>
      </c>
      <c r="P48" s="28" t="n">
        <f>P13*(1+IF(AND(ISNUMBER('Aannames'!$E$49),'Aannames'!$E$49&gt;=0,'Aannames'!$E$49&lt;=1),'Aannames'!$E$49,NA()))+P14*(1+IF(AND(ISNUMBER('Aannames'!$E$49),'Aannames'!$E$49&gt;=0,'Aannames'!$E$49&lt;=1),'Aannames'!$E$49,NA())*IF(AND(ISNUMBER('Aannames'!$E$50),'Aannames'!$E$50&gt;=0,'Aannames'!$E$50&lt;=1),'Aannames'!$E$50,NA()))</f>
        <v>2745.16</v>
      </c>
      <c r="Q48" s="28" t="n">
        <f>Q13*(1+IF(AND(ISNUMBER('Aannames'!$E$49),'Aannames'!$E$49&gt;=0,'Aannames'!$E$49&lt;=1),'Aannames'!$E$49,NA()))+Q14*(1+IF(AND(ISNUMBER('Aannames'!$E$49),'Aannames'!$E$49&gt;=0,'Aannames'!$E$49&lt;=1),'Aannames'!$E$49,NA())*IF(AND(ISNUMBER('Aannames'!$E$50),'Aannames'!$E$50&gt;=0,'Aannames'!$E$50&lt;=1),'Aannames'!$E$50,NA()))</f>
        <v>2745.16</v>
      </c>
      <c r="R48" s="28" t="n">
        <f>R13*(1+IF(AND(ISNUMBER('Aannames'!$E$49),'Aannames'!$E$49&gt;=0,'Aannames'!$E$49&lt;=1),'Aannames'!$E$49,NA()))+R14*(1+IF(AND(ISNUMBER('Aannames'!$E$49),'Aannames'!$E$49&gt;=0,'Aannames'!$E$49&lt;=1),'Aannames'!$E$49,NA())*IF(AND(ISNUMBER('Aannames'!$E$50),'Aannames'!$E$50&gt;=0,'Aannames'!$E$50&lt;=1),'Aannames'!$E$50,NA()))</f>
        <v>2745.16</v>
      </c>
      <c r="S48" s="28" t="n">
        <f>S13*(1+IF(AND(ISNUMBER('Aannames'!$E$49),'Aannames'!$E$49&gt;=0,'Aannames'!$E$49&lt;=1),'Aannames'!$E$49,NA()))+S14*(1+IF(AND(ISNUMBER('Aannames'!$E$49),'Aannames'!$E$49&gt;=0,'Aannames'!$E$49&lt;=1),'Aannames'!$E$49,NA())*IF(AND(ISNUMBER('Aannames'!$E$50),'Aannames'!$E$50&gt;=0,'Aannames'!$E$50&lt;=1),'Aannames'!$E$50,NA()))</f>
        <v>2745.16</v>
      </c>
      <c r="T48" s="28" t="n">
        <f>T13*(1+IF(AND(ISNUMBER('Aannames'!$E$49),'Aannames'!$E$49&gt;=0,'Aannames'!$E$49&lt;=1),'Aannames'!$E$49,NA()))+T14*(1+IF(AND(ISNUMBER('Aannames'!$E$49),'Aannames'!$E$49&gt;=0,'Aannames'!$E$49&lt;=1),'Aannames'!$E$49,NA())*IF(AND(ISNUMBER('Aannames'!$E$50),'Aannames'!$E$50&gt;=0,'Aannames'!$E$50&lt;=1),'Aannames'!$E$50,NA()))</f>
        <v>3123.3799999999997</v>
      </c>
      <c r="U48" s="28" t="n">
        <f>U13*(1+IF(AND(ISNUMBER('Aannames'!$E$49),'Aannames'!$E$49&gt;=0,'Aannames'!$E$49&lt;=1),'Aannames'!$E$49,NA()))+U14*(1+IF(AND(ISNUMBER('Aannames'!$E$49),'Aannames'!$E$49&gt;=0,'Aannames'!$E$49&lt;=1),'Aannames'!$E$49,NA())*IF(AND(ISNUMBER('Aannames'!$E$50),'Aannames'!$E$50&gt;=0,'Aannames'!$E$50&lt;=1),'Aannames'!$E$50,NA()))</f>
        <v>3123.3799999999997</v>
      </c>
      <c r="V48" s="28" t="n">
        <f>V13*(1+IF(AND(ISNUMBER('Aannames'!$E$49),'Aannames'!$E$49&gt;=0,'Aannames'!$E$49&lt;=1),'Aannames'!$E$49,NA()))+V14*(1+IF(AND(ISNUMBER('Aannames'!$E$49),'Aannames'!$E$49&gt;=0,'Aannames'!$E$49&lt;=1),'Aannames'!$E$49,NA())*IF(AND(ISNUMBER('Aannames'!$E$50),'Aannames'!$E$50&gt;=0,'Aannames'!$E$50&lt;=1),'Aannames'!$E$50,NA()))</f>
        <v>3123.3799999999997</v>
      </c>
      <c r="W48" s="28" t="n">
        <f>W13*(1+IF(AND(ISNUMBER('Aannames'!$E$49),'Aannames'!$E$49&gt;=0,'Aannames'!$E$49&lt;=1),'Aannames'!$E$49,NA()))+W14*(1+IF(AND(ISNUMBER('Aannames'!$E$49),'Aannames'!$E$49&gt;=0,'Aannames'!$E$49&lt;=1),'Aannames'!$E$49,NA())*IF(AND(ISNUMBER('Aannames'!$E$50),'Aannames'!$E$50&gt;=0,'Aannames'!$E$50&lt;=1),'Aannames'!$E$50,NA()))</f>
        <v>3123.3799999999997</v>
      </c>
      <c r="X48" s="28" t="n">
        <f>X13*(1+IF(AND(ISNUMBER('Aannames'!$E$49),'Aannames'!$E$49&gt;=0,'Aannames'!$E$49&lt;=1),'Aannames'!$E$49,NA()))+X14*(1+IF(AND(ISNUMBER('Aannames'!$E$49),'Aannames'!$E$49&gt;=0,'Aannames'!$E$49&lt;=1),'Aannames'!$E$49,NA())*IF(AND(ISNUMBER('Aannames'!$E$50),'Aannames'!$E$50&gt;=0,'Aannames'!$E$50&lt;=1),'Aannames'!$E$50,NA()))</f>
        <v>3123.3799999999997</v>
      </c>
      <c r="Y48" s="28" t="n">
        <f>Y13*(1+IF(AND(ISNUMBER('Aannames'!$E$49),'Aannames'!$E$49&gt;=0,'Aannames'!$E$49&lt;=1),'Aannames'!$E$49,NA()))+Y14*(1+IF(AND(ISNUMBER('Aannames'!$E$49),'Aannames'!$E$49&gt;=0,'Aannames'!$E$49&lt;=1),'Aannames'!$E$49,NA())*IF(AND(ISNUMBER('Aannames'!$E$50),'Aannames'!$E$50&gt;=0,'Aannames'!$E$50&lt;=1),'Aannames'!$E$50,NA()))</f>
        <v>3123.3799999999997</v>
      </c>
      <c r="Z48" s="28" t="n">
        <f>Z13*(1+IF(AND(ISNUMBER('Aannames'!$E$49),'Aannames'!$E$49&gt;=0,'Aannames'!$E$49&lt;=1),'Aannames'!$E$49,NA()))+Z14*(1+IF(AND(ISNUMBER('Aannames'!$E$49),'Aannames'!$E$49&gt;=0,'Aannames'!$E$49&lt;=1),'Aannames'!$E$49,NA())*IF(AND(ISNUMBER('Aannames'!$E$50),'Aannames'!$E$50&gt;=0,'Aannames'!$E$50&lt;=1),'Aannames'!$E$50,NA()))</f>
        <v>3123.3799999999997</v>
      </c>
      <c r="AA48" s="28" t="n">
        <f>AA13*(1+IF(AND(ISNUMBER('Aannames'!$E$49),'Aannames'!$E$49&gt;=0,'Aannames'!$E$49&lt;=1),'Aannames'!$E$49,NA()))+AA14*(1+IF(AND(ISNUMBER('Aannames'!$E$49),'Aannames'!$E$49&gt;=0,'Aannames'!$E$49&lt;=1),'Aannames'!$E$49,NA())*IF(AND(ISNUMBER('Aannames'!$E$50),'Aannames'!$E$50&gt;=0,'Aannames'!$E$50&lt;=1),'Aannames'!$E$50,NA()))</f>
        <v>3123.3799999999997</v>
      </c>
      <c r="AB48" s="28" t="n">
        <f>AB13*(1+IF(AND(ISNUMBER('Aannames'!$E$49),'Aannames'!$E$49&gt;=0,'Aannames'!$E$49&lt;=1),'Aannames'!$E$49,NA()))+AB14*(1+IF(AND(ISNUMBER('Aannames'!$E$49),'Aannames'!$E$49&gt;=0,'Aannames'!$E$49&lt;=1),'Aannames'!$E$49,NA())*IF(AND(ISNUMBER('Aannames'!$E$50),'Aannames'!$E$50&gt;=0,'Aannames'!$E$50&lt;=1),'Aannames'!$E$50,NA()))</f>
        <v>3123.3799999999997</v>
      </c>
      <c r="AC48" s="28" t="n">
        <f>AC13*(1+IF(AND(ISNUMBER('Aannames'!$E$49),'Aannames'!$E$49&gt;=0,'Aannames'!$E$49&lt;=1),'Aannames'!$E$49,NA()))+AC14*(1+IF(AND(ISNUMBER('Aannames'!$E$49),'Aannames'!$E$49&gt;=0,'Aannames'!$E$49&lt;=1),'Aannames'!$E$49,NA())*IF(AND(ISNUMBER('Aannames'!$E$50),'Aannames'!$E$50&gt;=0,'Aannames'!$E$50&lt;=1),'Aannames'!$E$50,NA()))</f>
        <v>3123.3799999999997</v>
      </c>
      <c r="AD48" s="28" t="n">
        <f>AD13*(1+IF(AND(ISNUMBER('Aannames'!$E$49),'Aannames'!$E$49&gt;=0,'Aannames'!$E$49&lt;=1),'Aannames'!$E$49,NA()))+AD14*(1+IF(AND(ISNUMBER('Aannames'!$E$49),'Aannames'!$E$49&gt;=0,'Aannames'!$E$49&lt;=1),'Aannames'!$E$49,NA())*IF(AND(ISNUMBER('Aannames'!$E$50),'Aannames'!$E$50&gt;=0,'Aannames'!$E$50&lt;=1),'Aannames'!$E$50,NA()))</f>
        <v>3123.3799999999997</v>
      </c>
      <c r="AE48" s="28" t="n">
        <f>AE13*(1+IF(AND(ISNUMBER('Aannames'!$E$49),'Aannames'!$E$49&gt;=0,'Aannames'!$E$49&lt;=1),'Aannames'!$E$49,NA()))+AE14*(1+IF(AND(ISNUMBER('Aannames'!$E$49),'Aannames'!$E$49&gt;=0,'Aannames'!$E$49&lt;=1),'Aannames'!$E$49,NA())*IF(AND(ISNUMBER('Aannames'!$E$50),'Aannames'!$E$50&gt;=0,'Aannames'!$E$50&lt;=1),'Aannames'!$E$50,NA()))</f>
        <v>3123.3799999999997</v>
      </c>
    </row>
    <row r="49" ht="22" customHeight="1">
      <c r="A49" s="1"/>
      <c r="B49" s="1"/>
      <c r="C49" s="1" t="str">
        <v>Bestuurderskost betaald</v>
      </c>
      <c r="D49" s="1"/>
      <c r="E49" s="14" t="n">
        <f>SUM(H49:S49)</f>
        <v>36000</v>
      </c>
      <c r="F49" s="14" t="n">
        <f>SUM(T49:AE49)</f>
        <v>39600</v>
      </c>
      <c r="G49" s="36"/>
      <c r="H49" s="14" t="n">
        <f>H15</f>
        <v>3000</v>
      </c>
      <c r="I49" s="14" t="n">
        <f>I15</f>
        <v>3000</v>
      </c>
      <c r="J49" s="14" t="n">
        <f>J15</f>
        <v>3000</v>
      </c>
      <c r="K49" s="14" t="n">
        <f>K15</f>
        <v>3000</v>
      </c>
      <c r="L49" s="14" t="n">
        <f>L15</f>
        <v>3000</v>
      </c>
      <c r="M49" s="14" t="n">
        <f>M15</f>
        <v>3000</v>
      </c>
      <c r="N49" s="14" t="n">
        <f>N15</f>
        <v>3000</v>
      </c>
      <c r="O49" s="14" t="n">
        <f>O15</f>
        <v>3000</v>
      </c>
      <c r="P49" s="14" t="n">
        <f>P15</f>
        <v>3000</v>
      </c>
      <c r="Q49" s="14" t="n">
        <f>Q15</f>
        <v>3000</v>
      </c>
      <c r="R49" s="14" t="n">
        <f>R15</f>
        <v>3000</v>
      </c>
      <c r="S49" s="14" t="n">
        <f>S15</f>
        <v>3000</v>
      </c>
      <c r="T49" s="14" t="n">
        <f>T15</f>
        <v>3300</v>
      </c>
      <c r="U49" s="14" t="n">
        <f>U15</f>
        <v>3300</v>
      </c>
      <c r="V49" s="14" t="n">
        <f>V15</f>
        <v>3300</v>
      </c>
      <c r="W49" s="14" t="n">
        <f>W15</f>
        <v>3300</v>
      </c>
      <c r="X49" s="14" t="n">
        <f>X15</f>
        <v>3300</v>
      </c>
      <c r="Y49" s="14" t="n">
        <f>Y15</f>
        <v>3300</v>
      </c>
      <c r="Z49" s="14" t="n">
        <f>Z15</f>
        <v>3300</v>
      </c>
      <c r="AA49" s="14" t="n">
        <f>AA15</f>
        <v>3300</v>
      </c>
      <c r="AB49" s="14" t="n">
        <f>AB15</f>
        <v>3300</v>
      </c>
      <c r="AC49" s="14" t="n">
        <f>AC15</f>
        <v>3300</v>
      </c>
      <c r="AD49" s="14" t="n">
        <f>AD15</f>
        <v>3300</v>
      </c>
      <c r="AE49" s="14" t="n">
        <f>AE15</f>
        <v>3300</v>
      </c>
    </row>
    <row r="50" ht="22" customHeight="1">
      <c r="A50" s="1"/>
      <c r="B50" s="1"/>
      <c r="C50" s="1" t="str">
        <v>Opstartkosten betaald</v>
      </c>
      <c r="D50" s="1"/>
      <c r="E50" s="14" t="n">
        <f>SUM(H50:S50)</f>
        <v>2500</v>
      </c>
      <c r="F50" s="14" t="n">
        <f>SUM(T50:AE50)</f>
        <v>0</v>
      </c>
      <c r="G50" s="36"/>
      <c r="H50" s="14" t="n">
        <f>H16</f>
        <v>2500</v>
      </c>
      <c r="I50" s="14" t="n">
        <f>I16</f>
        <v>0</v>
      </c>
      <c r="J50" s="14" t="n">
        <f>J16</f>
        <v>0</v>
      </c>
      <c r="K50" s="14" t="n">
        <f>K16</f>
        <v>0</v>
      </c>
      <c r="L50" s="14" t="n">
        <f>L16</f>
        <v>0</v>
      </c>
      <c r="M50" s="14" t="n">
        <f>M16</f>
        <v>0</v>
      </c>
      <c r="N50" s="14" t="n">
        <f>N16</f>
        <v>0</v>
      </c>
      <c r="O50" s="14" t="n">
        <f>O16</f>
        <v>0</v>
      </c>
      <c r="P50" s="14" t="n">
        <f>P16</f>
        <v>0</v>
      </c>
      <c r="Q50" s="14" t="n">
        <f>Q16</f>
        <v>0</v>
      </c>
      <c r="R50" s="14" t="n">
        <f>R16</f>
        <v>0</v>
      </c>
      <c r="S50" s="14" t="n">
        <f>S16</f>
        <v>0</v>
      </c>
      <c r="T50" s="14" t="n">
        <f>T16</f>
        <v>0</v>
      </c>
      <c r="U50" s="14" t="n">
        <f>U16</f>
        <v>0</v>
      </c>
      <c r="V50" s="14" t="n">
        <f>V16</f>
        <v>0</v>
      </c>
      <c r="W50" s="14" t="n">
        <f>W16</f>
        <v>0</v>
      </c>
      <c r="X50" s="14" t="n">
        <f>X16</f>
        <v>0</v>
      </c>
      <c r="Y50" s="14" t="n">
        <f>Y16</f>
        <v>0</v>
      </c>
      <c r="Z50" s="14" t="n">
        <f>Z16</f>
        <v>0</v>
      </c>
      <c r="AA50" s="14" t="n">
        <f>AA16</f>
        <v>0</v>
      </c>
      <c r="AB50" s="14" t="n">
        <f>AB16</f>
        <v>0</v>
      </c>
      <c r="AC50" s="14" t="n">
        <f>AC16</f>
        <v>0</v>
      </c>
      <c r="AD50" s="14" t="n">
        <f>AD16</f>
        <v>0</v>
      </c>
      <c r="AE50" s="14" t="n">
        <f>AE16</f>
        <v>0</v>
      </c>
    </row>
    <row r="51" ht="22" customHeight="1">
      <c r="A51" s="1"/>
      <c r="B51" s="1"/>
      <c r="C51" s="1" t="str">
        <v>Investeringen betaald incl. btw</v>
      </c>
      <c r="D51" s="1"/>
      <c r="E51" s="14" t="n">
        <f>SUM(H51:S51)</f>
        <v>10890</v>
      </c>
      <c r="F51" s="14" t="n">
        <f>SUM(T51:AE51)</f>
        <v>0</v>
      </c>
      <c r="G51" s="36"/>
      <c r="H51" s="28" t="n">
        <f>H28*(1+IF(AND(ISNUMBER('Aannames'!$E$49),'Aannames'!$E$49&gt;=0,'Aannames'!$E$49&lt;=1),'Aannames'!$E$49,NA()))</f>
        <v>10890</v>
      </c>
      <c r="I51" s="28" t="n">
        <f>I28*(1+IF(AND(ISNUMBER('Aannames'!$E$49),'Aannames'!$E$49&gt;=0,'Aannames'!$E$49&lt;=1),'Aannames'!$E$49,NA()))</f>
        <v>0</v>
      </c>
      <c r="J51" s="28" t="n">
        <f>J28*(1+IF(AND(ISNUMBER('Aannames'!$E$49),'Aannames'!$E$49&gt;=0,'Aannames'!$E$49&lt;=1),'Aannames'!$E$49,NA()))</f>
        <v>0</v>
      </c>
      <c r="K51" s="28" t="n">
        <f>K28*(1+IF(AND(ISNUMBER('Aannames'!$E$49),'Aannames'!$E$49&gt;=0,'Aannames'!$E$49&lt;=1),'Aannames'!$E$49,NA()))</f>
        <v>0</v>
      </c>
      <c r="L51" s="28" t="n">
        <f>L28*(1+IF(AND(ISNUMBER('Aannames'!$E$49),'Aannames'!$E$49&gt;=0,'Aannames'!$E$49&lt;=1),'Aannames'!$E$49,NA()))</f>
        <v>0</v>
      </c>
      <c r="M51" s="28" t="n">
        <f>M28*(1+IF(AND(ISNUMBER('Aannames'!$E$49),'Aannames'!$E$49&gt;=0,'Aannames'!$E$49&lt;=1),'Aannames'!$E$49,NA()))</f>
        <v>0</v>
      </c>
      <c r="N51" s="28" t="n">
        <f>N28*(1+IF(AND(ISNUMBER('Aannames'!$E$49),'Aannames'!$E$49&gt;=0,'Aannames'!$E$49&lt;=1),'Aannames'!$E$49,NA()))</f>
        <v>0</v>
      </c>
      <c r="O51" s="28" t="n">
        <f>O28*(1+IF(AND(ISNUMBER('Aannames'!$E$49),'Aannames'!$E$49&gt;=0,'Aannames'!$E$49&lt;=1),'Aannames'!$E$49,NA()))</f>
        <v>0</v>
      </c>
      <c r="P51" s="28" t="n">
        <f>P28*(1+IF(AND(ISNUMBER('Aannames'!$E$49),'Aannames'!$E$49&gt;=0,'Aannames'!$E$49&lt;=1),'Aannames'!$E$49,NA()))</f>
        <v>0</v>
      </c>
      <c r="Q51" s="28" t="n">
        <f>Q28*(1+IF(AND(ISNUMBER('Aannames'!$E$49),'Aannames'!$E$49&gt;=0,'Aannames'!$E$49&lt;=1),'Aannames'!$E$49,NA()))</f>
        <v>0</v>
      </c>
      <c r="R51" s="28" t="n">
        <f>R28*(1+IF(AND(ISNUMBER('Aannames'!$E$49),'Aannames'!$E$49&gt;=0,'Aannames'!$E$49&lt;=1),'Aannames'!$E$49,NA()))</f>
        <v>0</v>
      </c>
      <c r="S51" s="28" t="n">
        <f>S28*(1+IF(AND(ISNUMBER('Aannames'!$E$49),'Aannames'!$E$49&gt;=0,'Aannames'!$E$49&lt;=1),'Aannames'!$E$49,NA()))</f>
        <v>0</v>
      </c>
      <c r="T51" s="28" t="n">
        <f>T28*(1+IF(AND(ISNUMBER('Aannames'!$E$49),'Aannames'!$E$49&gt;=0,'Aannames'!$E$49&lt;=1),'Aannames'!$E$49,NA()))</f>
        <v>0</v>
      </c>
      <c r="U51" s="28" t="n">
        <f>U28*(1+IF(AND(ISNUMBER('Aannames'!$E$49),'Aannames'!$E$49&gt;=0,'Aannames'!$E$49&lt;=1),'Aannames'!$E$49,NA()))</f>
        <v>0</v>
      </c>
      <c r="V51" s="28" t="n">
        <f>V28*(1+IF(AND(ISNUMBER('Aannames'!$E$49),'Aannames'!$E$49&gt;=0,'Aannames'!$E$49&lt;=1),'Aannames'!$E$49,NA()))</f>
        <v>0</v>
      </c>
      <c r="W51" s="28" t="n">
        <f>W28*(1+IF(AND(ISNUMBER('Aannames'!$E$49),'Aannames'!$E$49&gt;=0,'Aannames'!$E$49&lt;=1),'Aannames'!$E$49,NA()))</f>
        <v>0</v>
      </c>
      <c r="X51" s="28" t="n">
        <f>X28*(1+IF(AND(ISNUMBER('Aannames'!$E$49),'Aannames'!$E$49&gt;=0,'Aannames'!$E$49&lt;=1),'Aannames'!$E$49,NA()))</f>
        <v>0</v>
      </c>
      <c r="Y51" s="28" t="n">
        <f>Y28*(1+IF(AND(ISNUMBER('Aannames'!$E$49),'Aannames'!$E$49&gt;=0,'Aannames'!$E$49&lt;=1),'Aannames'!$E$49,NA()))</f>
        <v>0</v>
      </c>
      <c r="Z51" s="28" t="n">
        <f>Z28*(1+IF(AND(ISNUMBER('Aannames'!$E$49),'Aannames'!$E$49&gt;=0,'Aannames'!$E$49&lt;=1),'Aannames'!$E$49,NA()))</f>
        <v>0</v>
      </c>
      <c r="AA51" s="28" t="n">
        <f>AA28*(1+IF(AND(ISNUMBER('Aannames'!$E$49),'Aannames'!$E$49&gt;=0,'Aannames'!$E$49&lt;=1),'Aannames'!$E$49,NA()))</f>
        <v>0</v>
      </c>
      <c r="AB51" s="28" t="n">
        <f>AB28*(1+IF(AND(ISNUMBER('Aannames'!$E$49),'Aannames'!$E$49&gt;=0,'Aannames'!$E$49&lt;=1),'Aannames'!$E$49,NA()))</f>
        <v>0</v>
      </c>
      <c r="AC51" s="28" t="n">
        <f>AC28*(1+IF(AND(ISNUMBER('Aannames'!$E$49),'Aannames'!$E$49&gt;=0,'Aannames'!$E$49&lt;=1),'Aannames'!$E$49,NA()))</f>
        <v>0</v>
      </c>
      <c r="AD51" s="28" t="n">
        <f>AD28*(1+IF(AND(ISNUMBER('Aannames'!$E$49),'Aannames'!$E$49&gt;=0,'Aannames'!$E$49&lt;=1),'Aannames'!$E$49,NA()))</f>
        <v>0</v>
      </c>
      <c r="AE51" s="28" t="n">
        <f>AE28*(1+IF(AND(ISNUMBER('Aannames'!$E$49),'Aannames'!$E$49&gt;=0,'Aannames'!$E$49&lt;=1),'Aannames'!$E$49,NA()))</f>
        <v>0</v>
      </c>
    </row>
    <row r="52" ht="22" customHeight="1">
      <c r="A52" s="1"/>
      <c r="B52" s="1"/>
      <c r="C52" s="1" t="str">
        <v>Rente betaald</v>
      </c>
      <c r="D52" s="1"/>
      <c r="E52" s="14" t="n">
        <f>SUM(H52:S52)</f>
        <v>423.61111111111126</v>
      </c>
      <c r="F52" s="14" t="n">
        <f>SUM(T52:AE52)</f>
        <v>256.9444444444448</v>
      </c>
      <c r="G52" s="36"/>
      <c r="H52" s="14" t="n">
        <f>H22</f>
        <v>41.666666666666664</v>
      </c>
      <c r="I52" s="14" t="n">
        <f>I22</f>
        <v>40.50925925925926</v>
      </c>
      <c r="J52" s="14" t="n">
        <f>J22</f>
        <v>39.351851851851855</v>
      </c>
      <c r="K52" s="14" t="n">
        <f>K22</f>
        <v>38.19444444444445</v>
      </c>
      <c r="L52" s="14" t="n">
        <f>L22</f>
        <v>37.037037037037045</v>
      </c>
      <c r="M52" s="14" t="n">
        <f>M22</f>
        <v>35.87962962962964</v>
      </c>
      <c r="N52" s="14" t="n">
        <f>N22</f>
        <v>34.722222222222236</v>
      </c>
      <c r="O52" s="14" t="n">
        <f>O22</f>
        <v>33.56481481481483</v>
      </c>
      <c r="P52" s="14" t="n">
        <f>P22</f>
        <v>32.407407407407426</v>
      </c>
      <c r="Q52" s="14" t="n">
        <f>Q22</f>
        <v>31.250000000000018</v>
      </c>
      <c r="R52" s="14" t="n">
        <f>R22</f>
        <v>30.09259259259261</v>
      </c>
      <c r="S52" s="14" t="n">
        <f>S22</f>
        <v>28.935185185185205</v>
      </c>
      <c r="T52" s="14" t="n">
        <f>T22</f>
        <v>27.7777777777778</v>
      </c>
      <c r="U52" s="14" t="n">
        <f>U22</f>
        <v>26.620370370370395</v>
      </c>
      <c r="V52" s="14" t="n">
        <f>V22</f>
        <v>25.462962962962987</v>
      </c>
      <c r="W52" s="14" t="n">
        <f>W22</f>
        <v>24.305555555555582</v>
      </c>
      <c r="X52" s="14" t="n">
        <f>X22</f>
        <v>23.148148148148177</v>
      </c>
      <c r="Y52" s="14" t="n">
        <f>Y22</f>
        <v>21.990740740740772</v>
      </c>
      <c r="Z52" s="14" t="n">
        <f>Z22</f>
        <v>20.833333333333364</v>
      </c>
      <c r="AA52" s="14" t="n">
        <f>AA22</f>
        <v>19.67592592592596</v>
      </c>
      <c r="AB52" s="14" t="n">
        <f>AB22</f>
        <v>18.51851851851855</v>
      </c>
      <c r="AC52" s="14" t="n">
        <f>AC22</f>
        <v>17.361111111111146</v>
      </c>
      <c r="AD52" s="14" t="n">
        <f>AD22</f>
        <v>16.20370370370374</v>
      </c>
      <c r="AE52" s="14" t="n">
        <f>AE22</f>
        <v>15.046296296296333</v>
      </c>
    </row>
    <row r="53" ht="22" customHeight="1">
      <c r="A53" s="1"/>
      <c r="B53" s="1"/>
      <c r="C53" s="1" t="str">
        <v>Kapitaalaflossing betaald</v>
      </c>
      <c r="D53" s="1"/>
      <c r="E53" s="14" t="n">
        <f>SUM(H53:S53)</f>
        <v>3333.3333333333335</v>
      </c>
      <c r="F53" s="14" t="n">
        <f>SUM(T53:AE53)</f>
        <v>3333.3333333333335</v>
      </c>
      <c r="G53" s="36"/>
      <c r="H53" s="14" t="n">
        <f>H21</f>
        <v>277.77777777777777</v>
      </c>
      <c r="I53" s="14" t="n">
        <f>I21</f>
        <v>277.77777777777777</v>
      </c>
      <c r="J53" s="14" t="n">
        <f>J21</f>
        <v>277.77777777777777</v>
      </c>
      <c r="K53" s="14" t="n">
        <f>K21</f>
        <v>277.77777777777777</v>
      </c>
      <c r="L53" s="14" t="n">
        <f>L21</f>
        <v>277.77777777777777</v>
      </c>
      <c r="M53" s="14" t="n">
        <f>M21</f>
        <v>277.77777777777777</v>
      </c>
      <c r="N53" s="14" t="n">
        <f>N21</f>
        <v>277.77777777777777</v>
      </c>
      <c r="O53" s="14" t="n">
        <f>O21</f>
        <v>277.77777777777777</v>
      </c>
      <c r="P53" s="14" t="n">
        <f>P21</f>
        <v>277.77777777777777</v>
      </c>
      <c r="Q53" s="14" t="n">
        <f>Q21</f>
        <v>277.77777777777777</v>
      </c>
      <c r="R53" s="14" t="n">
        <f>R21</f>
        <v>277.77777777777777</v>
      </c>
      <c r="S53" s="14" t="n">
        <f>S21</f>
        <v>277.77777777777777</v>
      </c>
      <c r="T53" s="14" t="n">
        <f>T21</f>
        <v>277.77777777777777</v>
      </c>
      <c r="U53" s="14" t="n">
        <f>U21</f>
        <v>277.77777777777777</v>
      </c>
      <c r="V53" s="14" t="n">
        <f>V21</f>
        <v>277.77777777777777</v>
      </c>
      <c r="W53" s="14" t="n">
        <f>W21</f>
        <v>277.77777777777777</v>
      </c>
      <c r="X53" s="14" t="n">
        <f>X21</f>
        <v>277.77777777777777</v>
      </c>
      <c r="Y53" s="14" t="n">
        <f>Y21</f>
        <v>277.77777777777777</v>
      </c>
      <c r="Z53" s="14" t="n">
        <f>Z21</f>
        <v>277.77777777777777</v>
      </c>
      <c r="AA53" s="14" t="n">
        <f>AA21</f>
        <v>277.77777777777777</v>
      </c>
      <c r="AB53" s="14" t="n">
        <f>AB21</f>
        <v>277.77777777777777</v>
      </c>
      <c r="AC53" s="14" t="n">
        <f>AC21</f>
        <v>277.77777777777777</v>
      </c>
      <c r="AD53" s="14" t="n">
        <f>AD21</f>
        <v>277.77777777777777</v>
      </c>
      <c r="AE53" s="14" t="n">
        <f>AE21</f>
        <v>277.77777777777777</v>
      </c>
    </row>
    <row r="54" ht="22" customHeight="1">
      <c r="A54" s="1"/>
      <c r="B54" s="1"/>
      <c r="C54" s="1" t="str">
        <v>Btw betaald</v>
      </c>
      <c r="D54" s="1"/>
      <c r="E54" s="14" t="n">
        <f>SUM(H54:S54)</f>
        <v>10308.060000000001</v>
      </c>
      <c r="F54" s="14" t="n">
        <f>SUM(T54:AE54)</f>
        <v>18896.850000000002</v>
      </c>
      <c r="G54" s="36"/>
      <c r="H54" s="14" t="n">
        <f>H39</f>
        <v>0</v>
      </c>
      <c r="I54" s="14" t="n">
        <f>I39</f>
        <v>0</v>
      </c>
      <c r="J54" s="14" t="n">
        <f>J39</f>
        <v>0</v>
      </c>
      <c r="K54" s="14" t="n">
        <f>K39</f>
        <v>2176.0200000000004</v>
      </c>
      <c r="L54" s="14" t="n">
        <f>L39</f>
        <v>0</v>
      </c>
      <c r="M54" s="14" t="n">
        <f>M39</f>
        <v>0</v>
      </c>
      <c r="N54" s="14" t="n">
        <f>N39</f>
        <v>4066.0200000000004</v>
      </c>
      <c r="O54" s="14" t="n">
        <f>O39</f>
        <v>0</v>
      </c>
      <c r="P54" s="14" t="n">
        <f>P39</f>
        <v>0</v>
      </c>
      <c r="Q54" s="14" t="n">
        <f>Q39</f>
        <v>4066.0200000000004</v>
      </c>
      <c r="R54" s="14" t="n">
        <f>R39</f>
        <v>0</v>
      </c>
      <c r="S54" s="14" t="n">
        <f>S39</f>
        <v>0</v>
      </c>
      <c r="T54" s="14" t="n">
        <f>T39</f>
        <v>4066.0200000000004</v>
      </c>
      <c r="U54" s="14" t="n">
        <f>U39</f>
        <v>0</v>
      </c>
      <c r="V54" s="14" t="n">
        <f>V39</f>
        <v>0</v>
      </c>
      <c r="W54" s="14" t="n">
        <f>W39</f>
        <v>4943.61</v>
      </c>
      <c r="X54" s="14" t="n">
        <f>X39</f>
        <v>0</v>
      </c>
      <c r="Y54" s="14" t="n">
        <f>Y39</f>
        <v>0</v>
      </c>
      <c r="Z54" s="14" t="n">
        <f>Z39</f>
        <v>4943.61</v>
      </c>
      <c r="AA54" s="14" t="n">
        <f>AA39</f>
        <v>0</v>
      </c>
      <c r="AB54" s="14" t="n">
        <f>AB39</f>
        <v>0</v>
      </c>
      <c r="AC54" s="14" t="n">
        <f>AC39</f>
        <v>4943.61</v>
      </c>
      <c r="AD54" s="14" t="n">
        <f>AD39</f>
        <v>0</v>
      </c>
      <c r="AE54" s="14" t="n">
        <f>AE39</f>
        <v>0</v>
      </c>
    </row>
    <row r="55" ht="22" customHeight="1">
      <c r="A55" s="1"/>
      <c r="B55" s="1"/>
      <c r="C55" s="1" t="str">
        <v>Belastingbudget betaald</v>
      </c>
      <c r="D55" s="1"/>
      <c r="E55" s="14" t="n">
        <f>SUM(H55:S55)</f>
        <v>7891.097222222223</v>
      </c>
      <c r="F55" s="14" t="n">
        <f>SUM(T55:AE55)</f>
        <v>11725.76388888889</v>
      </c>
      <c r="G55" s="36"/>
      <c r="H55" s="14" t="n">
        <f>H43</f>
        <v>0</v>
      </c>
      <c r="I55" s="14" t="n">
        <f>I43</f>
        <v>0</v>
      </c>
      <c r="J55" s="14" t="n">
        <f>J43</f>
        <v>1500.1180555555557</v>
      </c>
      <c r="K55" s="14" t="n">
        <f>K43</f>
        <v>0</v>
      </c>
      <c r="L55" s="14" t="n">
        <f>L43</f>
        <v>0</v>
      </c>
      <c r="M55" s="14" t="n">
        <f>M43</f>
        <v>2127.722222222222</v>
      </c>
      <c r="N55" s="14" t="n">
        <f>N43</f>
        <v>0</v>
      </c>
      <c r="O55" s="14" t="n">
        <f>O43</f>
        <v>0</v>
      </c>
      <c r="P55" s="14" t="n">
        <f>P43</f>
        <v>2130.326388888889</v>
      </c>
      <c r="Q55" s="14" t="n">
        <f>Q43</f>
        <v>0</v>
      </c>
      <c r="R55" s="14" t="n">
        <f>R43</f>
        <v>0</v>
      </c>
      <c r="S55" s="14" t="n">
        <f>S43</f>
        <v>2132.9305555555557</v>
      </c>
      <c r="T55" s="14" t="n">
        <f>T43</f>
        <v>0</v>
      </c>
      <c r="U55" s="14" t="n">
        <f>U43</f>
        <v>0</v>
      </c>
      <c r="V55" s="14" t="n">
        <f>V43</f>
        <v>2927.534722222222</v>
      </c>
      <c r="W55" s="14" t="n">
        <f>W43</f>
        <v>0</v>
      </c>
      <c r="X55" s="14" t="n">
        <f>X43</f>
        <v>0</v>
      </c>
      <c r="Y55" s="14" t="n">
        <f>Y43</f>
        <v>2930.1388888888887</v>
      </c>
      <c r="Z55" s="14" t="n">
        <f>Z43</f>
        <v>0</v>
      </c>
      <c r="AA55" s="14" t="n">
        <f>AA43</f>
        <v>0</v>
      </c>
      <c r="AB55" s="14" t="n">
        <f>AB43</f>
        <v>2932.7430555555557</v>
      </c>
      <c r="AC55" s="14" t="n">
        <f>AC43</f>
        <v>0</v>
      </c>
      <c r="AD55" s="14" t="n">
        <f>AD43</f>
        <v>0</v>
      </c>
      <c r="AE55" s="14" t="n">
        <f>AE43</f>
        <v>2935.3472222222217</v>
      </c>
    </row>
    <row r="56" ht="22" customHeight="1">
      <c r="A56" s="1"/>
      <c r="B56" s="1"/>
      <c r="C56" s="17" t="str">
        <v>Netto kasstroom</v>
      </c>
      <c r="D56" s="17"/>
      <c r="E56" s="31" t="n">
        <f>SUM(H56:S56)</f>
        <v>8181.478333333333</v>
      </c>
      <c r="F56" s="31" t="n">
        <f>SUM(T56:AE56)</f>
        <v>33694.798333333354</v>
      </c>
      <c r="G56" s="37"/>
      <c r="H56" s="31" t="n">
        <f>H47-SUM(H48:H55)</f>
        <v>-19454.604444444445</v>
      </c>
      <c r="I56" s="31" t="n">
        <f>I47-SUM(I48:I55)</f>
        <v>4161.052962962964</v>
      </c>
      <c r="J56" s="31" t="n">
        <f>J47-SUM(J48:J55)</f>
        <v>2662.092314814815</v>
      </c>
      <c r="K56" s="31" t="n">
        <f>K47-SUM(K48:K55)</f>
        <v>1987.347777777777</v>
      </c>
      <c r="L56" s="31" t="n">
        <f>L47-SUM(L48:L55)</f>
        <v>4164.525185185185</v>
      </c>
      <c r="M56" s="31" t="n">
        <f>M47-SUM(M48:M55)</f>
        <v>2037.9603703703706</v>
      </c>
      <c r="N56" s="31" t="n">
        <f>N47-SUM(N48:N55)</f>
        <v>100.81999999999971</v>
      </c>
      <c r="O56" s="31" t="n">
        <f>O47-SUM(O48:O55)</f>
        <v>4167.997407407408</v>
      </c>
      <c r="P56" s="31" t="n">
        <f>P47-SUM(P48:P55)</f>
        <v>2038.8284259259253</v>
      </c>
      <c r="Q56" s="31" t="n">
        <f>Q47-SUM(Q48:Q55)</f>
        <v>104.29222222222234</v>
      </c>
      <c r="R56" s="31" t="n">
        <f>R47-SUM(R48:R55)</f>
        <v>4171.46962962963</v>
      </c>
      <c r="S56" s="31" t="n">
        <f>S47-SUM(S48:S55)</f>
        <v>2039.696481481482</v>
      </c>
      <c r="T56" s="31" t="n">
        <f>T47-SUM(T48:T55)</f>
        <v>-570.4555555555544</v>
      </c>
      <c r="U56" s="31" t="n">
        <f>U47-SUM(U48:U55)</f>
        <v>5523.471851851853</v>
      </c>
      <c r="V56" s="31" t="n">
        <f>V47-SUM(V48:V55)</f>
        <v>2597.094537037039</v>
      </c>
      <c r="W56" s="31" t="n">
        <f>W47-SUM(W48:W55)</f>
        <v>582.1766666666681</v>
      </c>
      <c r="X56" s="31" t="n">
        <f>X47-SUM(X48:X55)</f>
        <v>5526.944074074076</v>
      </c>
      <c r="Y56" s="31" t="n">
        <f>Y47-SUM(Y48:Y55)</f>
        <v>2597.962592592594</v>
      </c>
      <c r="Z56" s="31" t="n">
        <f>Z47-SUM(Z48:Z55)</f>
        <v>585.6488888888907</v>
      </c>
      <c r="AA56" s="31" t="n">
        <f>AA47-SUM(AA48:AA55)</f>
        <v>5530.416296296297</v>
      </c>
      <c r="AB56" s="31" t="n">
        <f>AB47-SUM(AB48:AB55)</f>
        <v>2598.8306481481486</v>
      </c>
      <c r="AC56" s="31" t="n">
        <f>AC47-SUM(AC48:AC55)</f>
        <v>589.1211111111115</v>
      </c>
      <c r="AD56" s="31" t="n">
        <f>AD47-SUM(AD48:AD55)</f>
        <v>5533.88851851852</v>
      </c>
      <c r="AE56" s="31" t="n">
        <f>AE47-SUM(AE48:AE55)</f>
        <v>2599.698703703705</v>
      </c>
    </row>
    <row r="57" ht="22" customHeight="1">
      <c r="A57" s="1"/>
      <c r="B57" s="1"/>
      <c r="C57" s="17" t="str">
        <v>Kas einde maand</v>
      </c>
      <c r="D57" s="17"/>
      <c r="E57" s="31" t="n">
        <f>S57</f>
        <v>33181.47833333333</v>
      </c>
      <c r="F57" s="31" t="n">
        <f>AE57</f>
        <v>66876.27666666667</v>
      </c>
      <c r="G57" s="37"/>
      <c r="H57" s="31" t="n">
        <f>H46+H56</f>
        <v>5545.395555555555</v>
      </c>
      <c r="I57" s="31" t="n">
        <f>I46+I56</f>
        <v>9706.448518518519</v>
      </c>
      <c r="J57" s="31" t="n">
        <f>J46+J56</f>
        <v>12368.540833333333</v>
      </c>
      <c r="K57" s="31" t="n">
        <f>K46+K56</f>
        <v>14355.88861111111</v>
      </c>
      <c r="L57" s="31" t="n">
        <f>L46+L56</f>
        <v>18520.413796296296</v>
      </c>
      <c r="M57" s="31" t="n">
        <f>M46+M56</f>
        <v>20558.37416666667</v>
      </c>
      <c r="N57" s="31" t="n">
        <f>N46+N56</f>
        <v>20659.194166666668</v>
      </c>
      <c r="O57" s="31" t="n">
        <f>O46+O56</f>
        <v>24827.191574074077</v>
      </c>
      <c r="P57" s="31" t="n">
        <f>P46+P56</f>
        <v>26866.020000000004</v>
      </c>
      <c r="Q57" s="31" t="n">
        <f>Q46+Q56</f>
        <v>26970.312222222226</v>
      </c>
      <c r="R57" s="31" t="n">
        <f>R46+R56</f>
        <v>31141.781851851854</v>
      </c>
      <c r="S57" s="31" t="n">
        <f>S46+S56</f>
        <v>33181.47833333333</v>
      </c>
      <c r="T57" s="31" t="n">
        <f>T46+T56</f>
        <v>32611.022777777776</v>
      </c>
      <c r="U57" s="31" t="n">
        <f>U46+U56</f>
        <v>38134.494629629626</v>
      </c>
      <c r="V57" s="31" t="n">
        <f>V46+V56</f>
        <v>40731.589166666665</v>
      </c>
      <c r="W57" s="31" t="n">
        <f>W46+W56</f>
        <v>41313.76583333333</v>
      </c>
      <c r="X57" s="31" t="n">
        <f>X46+X56</f>
        <v>46840.70990740741</v>
      </c>
      <c r="Y57" s="31" t="n">
        <f>Y46+Y56</f>
        <v>49438.6725</v>
      </c>
      <c r="Z57" s="31" t="n">
        <f>Z46+Z56</f>
        <v>50024.32138888889</v>
      </c>
      <c r="AA57" s="31" t="n">
        <f>AA46+AA56</f>
        <v>55554.73768518519</v>
      </c>
      <c r="AB57" s="31" t="n">
        <f>AB46+AB56</f>
        <v>58153.568333333336</v>
      </c>
      <c r="AC57" s="31" t="n">
        <f>AC46+AC56</f>
        <v>58742.68944444445</v>
      </c>
      <c r="AD57" s="31" t="n">
        <f>AD46+AD56</f>
        <v>64276.57796296297</v>
      </c>
      <c r="AE57" s="31" t="n">
        <f>AE46+AE56</f>
        <v>66876.27666666667</v>
      </c>
    </row>
    <row r="58" ht="22" customHeight="1">
      <c r="A58" s="1"/>
      <c r="B58" s="1"/>
      <c r="C58" s="1"/>
      <c r="D58" s="1"/>
      <c r="E58" s="14"/>
      <c r="F58" s="14"/>
      <c r="G58" s="36"/>
      <c r="H58" s="14"/>
      <c r="I58" s="14"/>
      <c r="J58" s="14"/>
      <c r="K58" s="14"/>
      <c r="L58" s="14"/>
      <c r="M58" s="14"/>
      <c r="N58" s="14"/>
      <c r="O58" s="14"/>
      <c r="P58" s="14"/>
      <c r="Q58" s="14"/>
      <c r="R58" s="14"/>
      <c r="S58" s="14"/>
      <c r="T58" s="14"/>
      <c r="U58" s="14"/>
      <c r="V58" s="14"/>
      <c r="W58" s="14"/>
      <c r="X58" s="14"/>
      <c r="Y58" s="14"/>
      <c r="Z58" s="14"/>
      <c r="AA58" s="14"/>
      <c r="AB58" s="14"/>
      <c r="AC58" s="14"/>
      <c r="AD58" s="14"/>
      <c r="AE58" s="14"/>
    </row>
    <row r="59" ht="22" customHeight="1">
      <c r="A59" s="1"/>
      <c r="B59" s="1"/>
      <c r="C59" s="1" t="str">
        <v>Overgedragen resultaat begin</v>
      </c>
      <c r="D59" s="1"/>
      <c r="E59" s="14" t="n">
        <f>H59</f>
        <v>0</v>
      </c>
      <c r="F59" s="14" t="n">
        <f>T59</f>
        <v>23673.291666666664</v>
      </c>
      <c r="G59" s="36"/>
      <c r="H59" s="14" t="n">
        <f>0</f>
        <v>0</v>
      </c>
      <c r="I59" s="14" t="n">
        <f>H60</f>
        <v>249.25</v>
      </c>
      <c r="J59" s="14" t="n">
        <f>I60</f>
        <v>2374.3680555555557</v>
      </c>
      <c r="K59" s="14" t="n">
        <f>J60</f>
        <v>4500.354166666667</v>
      </c>
      <c r="L59" s="14" t="n">
        <f>K60</f>
        <v>6627.208333333334</v>
      </c>
      <c r="M59" s="14" t="n">
        <f>L60</f>
        <v>8754.930555555557</v>
      </c>
      <c r="N59" s="14" t="n">
        <f>M60</f>
        <v>10883.520833333334</v>
      </c>
      <c r="O59" s="14" t="n">
        <f>N60</f>
        <v>13012.979166666668</v>
      </c>
      <c r="P59" s="14" t="n">
        <f>O60</f>
        <v>15143.305555555557</v>
      </c>
      <c r="Q59" s="14" t="n">
        <f>P60</f>
        <v>17274.5</v>
      </c>
      <c r="R59" s="14" t="n">
        <f>Q60</f>
        <v>19406.5625</v>
      </c>
      <c r="S59" s="14" t="n">
        <f>R60</f>
        <v>21539.493055555555</v>
      </c>
      <c r="T59" s="14" t="n">
        <f>S60</f>
        <v>23673.291666666664</v>
      </c>
      <c r="U59" s="14" t="n">
        <f>T60</f>
        <v>26599.958333333332</v>
      </c>
      <c r="V59" s="14" t="n">
        <f>U60</f>
        <v>29527.493055555555</v>
      </c>
      <c r="W59" s="14" t="n">
        <f>V60</f>
        <v>32455.895833333332</v>
      </c>
      <c r="X59" s="14" t="n">
        <f>W60</f>
        <v>35385.166666666664</v>
      </c>
      <c r="Y59" s="14" t="n">
        <f>X60</f>
        <v>38315.305555555555</v>
      </c>
      <c r="Z59" s="14" t="n">
        <f>Y60</f>
        <v>41246.3125</v>
      </c>
      <c r="AA59" s="14" t="n">
        <f>Z60</f>
        <v>44178.1875</v>
      </c>
      <c r="AB59" s="14" t="n">
        <f>AA60</f>
        <v>47110.930555555555</v>
      </c>
      <c r="AC59" s="14" t="n">
        <f>AB60</f>
        <v>50044.541666666664</v>
      </c>
      <c r="AD59" s="14" t="n">
        <f>AC60</f>
        <v>52979.02083333333</v>
      </c>
      <c r="AE59" s="14" t="n">
        <f>AD60</f>
        <v>55914.36805555555</v>
      </c>
    </row>
    <row r="60" ht="22" customHeight="1">
      <c r="A60" s="1"/>
      <c r="B60" s="1"/>
      <c r="C60" s="17" t="str">
        <v>Overgedragen resultaat einde</v>
      </c>
      <c r="D60" s="17"/>
      <c r="E60" s="31" t="n">
        <f>S60</f>
        <v>23673.291666666664</v>
      </c>
      <c r="F60" s="31" t="n">
        <f>AE60</f>
        <v>58850.58333333333</v>
      </c>
      <c r="G60" s="37"/>
      <c r="H60" s="31" t="n">
        <f>H59+H26</f>
        <v>249.25</v>
      </c>
      <c r="I60" s="31" t="n">
        <f>I59+I26</f>
        <v>2374.3680555555557</v>
      </c>
      <c r="J60" s="31" t="n">
        <f>J59+J26</f>
        <v>4500.354166666667</v>
      </c>
      <c r="K60" s="31" t="n">
        <f>K59+K26</f>
        <v>6627.208333333334</v>
      </c>
      <c r="L60" s="31" t="n">
        <f>L59+L26</f>
        <v>8754.930555555557</v>
      </c>
      <c r="M60" s="31" t="n">
        <f>M59+M26</f>
        <v>10883.520833333334</v>
      </c>
      <c r="N60" s="31" t="n">
        <f>N59+N26</f>
        <v>13012.979166666668</v>
      </c>
      <c r="O60" s="31" t="n">
        <f>O59+O26</f>
        <v>15143.305555555557</v>
      </c>
      <c r="P60" s="31" t="n">
        <f>P59+P26</f>
        <v>17274.5</v>
      </c>
      <c r="Q60" s="31" t="n">
        <f>Q59+Q26</f>
        <v>19406.5625</v>
      </c>
      <c r="R60" s="31" t="n">
        <f>R59+R26</f>
        <v>21539.493055555555</v>
      </c>
      <c r="S60" s="31" t="n">
        <f>S59+S26</f>
        <v>23673.291666666664</v>
      </c>
      <c r="T60" s="31" t="n">
        <f>T59+T26</f>
        <v>26599.958333333332</v>
      </c>
      <c r="U60" s="31" t="n">
        <f>U59+U26</f>
        <v>29527.493055555555</v>
      </c>
      <c r="V60" s="31" t="n">
        <f>V59+V26</f>
        <v>32455.895833333332</v>
      </c>
      <c r="W60" s="31" t="n">
        <f>W59+W26</f>
        <v>35385.166666666664</v>
      </c>
      <c r="X60" s="31" t="n">
        <f>X59+X26</f>
        <v>38315.305555555555</v>
      </c>
      <c r="Y60" s="31" t="n">
        <f>Y59+Y26</f>
        <v>41246.3125</v>
      </c>
      <c r="Z60" s="31" t="n">
        <f>Z59+Z26</f>
        <v>44178.1875</v>
      </c>
      <c r="AA60" s="31" t="n">
        <f>AA59+AA26</f>
        <v>47110.930555555555</v>
      </c>
      <c r="AB60" s="31" t="n">
        <f>AB59+AB26</f>
        <v>50044.541666666664</v>
      </c>
      <c r="AC60" s="31" t="n">
        <f>AC59+AC26</f>
        <v>52979.02083333333</v>
      </c>
      <c r="AD60" s="31" t="n">
        <f>AD59+AD26</f>
        <v>55914.36805555555</v>
      </c>
      <c r="AE60" s="31" t="n">
        <f>AE59+AE26</f>
        <v>58850.58333333333</v>
      </c>
    </row>
    <row r="61" ht="22" customHeight="1">
      <c r="A61" s="1"/>
      <c r="B61" s="1"/>
      <c r="C61" s="1" t="str">
        <v>Activa (kas incl. tekort)</v>
      </c>
      <c r="D61" s="1"/>
      <c r="E61" s="14" t="n">
        <f>S61</f>
        <v>49405.97833333333</v>
      </c>
      <c r="F61" s="14" t="n">
        <f>AE61</f>
        <v>82127.52666666667</v>
      </c>
      <c r="G61" s="36"/>
      <c r="H61" s="14" t="n">
        <f>H30+H34+H57+MAX(0,-H40)</f>
        <v>25054.555555555555</v>
      </c>
      <c r="I61" s="14" t="n">
        <f>I30+I34+I57+MAX(0,-I40)</f>
        <v>28430.94851851852</v>
      </c>
      <c r="J61" s="14" t="n">
        <f>J30+J34+J57+MAX(0,-J40)</f>
        <v>30843.040833333333</v>
      </c>
      <c r="K61" s="14" t="n">
        <f>K30+K34+K57+MAX(0,-K40)</f>
        <v>32580.38861111111</v>
      </c>
      <c r="L61" s="14" t="n">
        <f>L30+L34+L57+MAX(0,-L40)</f>
        <v>36494.9137962963</v>
      </c>
      <c r="M61" s="14" t="n">
        <f>M30+M34+M57+MAX(0,-M40)</f>
        <v>38282.87416666667</v>
      </c>
      <c r="N61" s="14" t="n">
        <f>N30+N34+N57+MAX(0,-N40)</f>
        <v>38133.69416666667</v>
      </c>
      <c r="O61" s="14" t="n">
        <f>O30+O34+O57+MAX(0,-O40)</f>
        <v>42051.69157407408</v>
      </c>
      <c r="P61" s="14" t="n">
        <f>P30+P34+P57+MAX(0,-P40)</f>
        <v>43840.520000000004</v>
      </c>
      <c r="Q61" s="14" t="n">
        <f>Q30+Q34+Q57+MAX(0,-Q40)</f>
        <v>43694.81222222223</v>
      </c>
      <c r="R61" s="14" t="n">
        <f>R30+R34+R57+MAX(0,-R40)</f>
        <v>47616.281851851854</v>
      </c>
      <c r="S61" s="14" t="n">
        <f>S30+S34+S57+MAX(0,-S40)</f>
        <v>49405.97833333333</v>
      </c>
      <c r="T61" s="14" t="n">
        <f>T30+T34+T57+MAX(0,-T40)</f>
        <v>50612.272777777776</v>
      </c>
      <c r="U61" s="14" t="n">
        <f>U30+U34+U57+MAX(0,-U40)</f>
        <v>55885.744629629626</v>
      </c>
      <c r="V61" s="14" t="n">
        <f>V30+V34+V57+MAX(0,-V40)</f>
        <v>58232.839166666665</v>
      </c>
      <c r="W61" s="14" t="n">
        <f>W30+W34+W57+MAX(0,-W40)</f>
        <v>58565.01583333333</v>
      </c>
      <c r="X61" s="14" t="n">
        <f>X30+X34+X57+MAX(0,-X40)</f>
        <v>63841.95990740741</v>
      </c>
      <c r="Y61" s="14" t="n">
        <f>Y30+Y34+Y57+MAX(0,-Y40)</f>
        <v>66189.9225</v>
      </c>
      <c r="Z61" s="14" t="n">
        <f>Z30+Z34+Z57+MAX(0,-Z40)</f>
        <v>66525.5713888889</v>
      </c>
      <c r="AA61" s="14" t="n">
        <f>AA30+AA34+AA57+MAX(0,-AA40)</f>
        <v>71805.98768518519</v>
      </c>
      <c r="AB61" s="14" t="n">
        <f>AB30+AB34+AB57+MAX(0,-AB40)</f>
        <v>74154.81833333333</v>
      </c>
      <c r="AC61" s="14" t="n">
        <f>AC30+AC34+AC57+MAX(0,-AC40)</f>
        <v>74493.93944444445</v>
      </c>
      <c r="AD61" s="14" t="n">
        <f>AD30+AD34+AD57+MAX(0,-AD40)</f>
        <v>79777.82796296297</v>
      </c>
      <c r="AE61" s="14" t="n">
        <f>AE30+AE34+AE57+MAX(0,-AE40)</f>
        <v>82127.52666666667</v>
      </c>
    </row>
    <row r="62" ht="22" customHeight="1">
      <c r="A62" s="1"/>
      <c r="B62" s="1"/>
      <c r="C62" s="1" t="str">
        <v>Eigen vermogen en schulden</v>
      </c>
      <c r="D62" s="1"/>
      <c r="E62" s="14" t="n">
        <f>S62</f>
        <v>49405.97833333333</v>
      </c>
      <c r="F62" s="14" t="n">
        <f>AE62</f>
        <v>82127.52666666667</v>
      </c>
      <c r="G62" s="36"/>
      <c r="H62" s="28" t="n">
        <f>IF(AND(ISNUMBER('Aannames'!$E$45),'Aannames'!$E$45&gt;=0),'Aannames'!$E$45,NA())+H60+H23+MAX(0,H40)+H44</f>
        <v>25054.555555555555</v>
      </c>
      <c r="I62" s="28" t="n">
        <f>IF(AND(ISNUMBER('Aannames'!$E$45),'Aannames'!$E$45&gt;=0),'Aannames'!$E$45,NA())+I60+I23+MAX(0,I40)+I44</f>
        <v>28430.94851851852</v>
      </c>
      <c r="J62" s="28" t="n">
        <f>IF(AND(ISNUMBER('Aannames'!$E$45),'Aannames'!$E$45&gt;=0),'Aannames'!$E$45,NA())+J60+J23+MAX(0,J40)+J44</f>
        <v>30843.040833333336</v>
      </c>
      <c r="K62" s="28" t="n">
        <f>IF(AND(ISNUMBER('Aannames'!$E$45),'Aannames'!$E$45&gt;=0),'Aannames'!$E$45,NA())+K60+K23+MAX(0,K40)+K44</f>
        <v>32580.388611111117</v>
      </c>
      <c r="L62" s="28" t="n">
        <f>IF(AND(ISNUMBER('Aannames'!$E$45),'Aannames'!$E$45&gt;=0),'Aannames'!$E$45,NA())+L60+L23+MAX(0,L40)+L44</f>
        <v>36494.91379629629</v>
      </c>
      <c r="M62" s="28" t="n">
        <f>IF(AND(ISNUMBER('Aannames'!$E$45),'Aannames'!$E$45&gt;=0),'Aannames'!$E$45,NA())+M60+M23+MAX(0,M40)+M44</f>
        <v>38282.874166666676</v>
      </c>
      <c r="N62" s="28" t="n">
        <f>IF(AND(ISNUMBER('Aannames'!$E$45),'Aannames'!$E$45&gt;=0),'Aannames'!$E$45,NA())+N60+N23+MAX(0,N40)+N44</f>
        <v>38133.694166666675</v>
      </c>
      <c r="O62" s="28" t="n">
        <f>IF(AND(ISNUMBER('Aannames'!$E$45),'Aannames'!$E$45&gt;=0),'Aannames'!$E$45,NA())+O60+O23+MAX(0,O40)+O44</f>
        <v>42051.69157407408</v>
      </c>
      <c r="P62" s="28" t="n">
        <f>IF(AND(ISNUMBER('Aannames'!$E$45),'Aannames'!$E$45&gt;=0),'Aannames'!$E$45,NA())+P60+P23+MAX(0,P40)+P44</f>
        <v>43840.520000000004</v>
      </c>
      <c r="Q62" s="28" t="n">
        <f>IF(AND(ISNUMBER('Aannames'!$E$45),'Aannames'!$E$45&gt;=0),'Aannames'!$E$45,NA())+Q60+Q23+MAX(0,Q40)+Q44</f>
        <v>43694.81222222223</v>
      </c>
      <c r="R62" s="28" t="n">
        <f>IF(AND(ISNUMBER('Aannames'!$E$45),'Aannames'!$E$45&gt;=0),'Aannames'!$E$45,NA())+R60+R23+MAX(0,R40)+R44</f>
        <v>47616.281851851854</v>
      </c>
      <c r="S62" s="28" t="n">
        <f>IF(AND(ISNUMBER('Aannames'!$E$45),'Aannames'!$E$45&gt;=0),'Aannames'!$E$45,NA())+S60+S23+MAX(0,S40)+S44</f>
        <v>49405.97833333333</v>
      </c>
      <c r="T62" s="28" t="n">
        <f>IF(AND(ISNUMBER('Aannames'!$E$45),'Aannames'!$E$45&gt;=0),'Aannames'!$E$45,NA())+T60+T23+MAX(0,T40)+T44</f>
        <v>50612.272777777776</v>
      </c>
      <c r="U62" s="28" t="n">
        <f>IF(AND(ISNUMBER('Aannames'!$E$45),'Aannames'!$E$45&gt;=0),'Aannames'!$E$45,NA())+U60+U23+MAX(0,U40)+U44</f>
        <v>55885.74462962963</v>
      </c>
      <c r="V62" s="28" t="n">
        <f>IF(AND(ISNUMBER('Aannames'!$E$45),'Aannames'!$E$45&gt;=0),'Aannames'!$E$45,NA())+V60+V23+MAX(0,V40)+V44</f>
        <v>58232.83916666667</v>
      </c>
      <c r="W62" s="28" t="n">
        <f>IF(AND(ISNUMBER('Aannames'!$E$45),'Aannames'!$E$45&gt;=0),'Aannames'!$E$45,NA())+W60+W23+MAX(0,W40)+W44</f>
        <v>58565.01583333334</v>
      </c>
      <c r="X62" s="28" t="n">
        <f>IF(AND(ISNUMBER('Aannames'!$E$45),'Aannames'!$E$45&gt;=0),'Aannames'!$E$45,NA())+X60+X23+MAX(0,X40)+X44</f>
        <v>63841.959907407414</v>
      </c>
      <c r="Y62" s="28" t="n">
        <f>IF(AND(ISNUMBER('Aannames'!$E$45),'Aannames'!$E$45&gt;=0),'Aannames'!$E$45,NA())+Y60+Y23+MAX(0,Y40)+Y44</f>
        <v>66189.9225</v>
      </c>
      <c r="Z62" s="28" t="n">
        <f>IF(AND(ISNUMBER('Aannames'!$E$45),'Aannames'!$E$45&gt;=0),'Aannames'!$E$45,NA())+Z60+Z23+MAX(0,Z40)+Z44</f>
        <v>66525.5713888889</v>
      </c>
      <c r="AA62" s="28" t="n">
        <f>IF(AND(ISNUMBER('Aannames'!$E$45),'Aannames'!$E$45&gt;=0),'Aannames'!$E$45,NA())+AA60+AA23+MAX(0,AA40)+AA44</f>
        <v>71805.98768518519</v>
      </c>
      <c r="AB62" s="28" t="n">
        <f>IF(AND(ISNUMBER('Aannames'!$E$45),'Aannames'!$E$45&gt;=0),'Aannames'!$E$45,NA())+AB60+AB23+MAX(0,AB40)+AB44</f>
        <v>74154.81833333334</v>
      </c>
      <c r="AC62" s="28" t="n">
        <f>IF(AND(ISNUMBER('Aannames'!$E$45),'Aannames'!$E$45&gt;=0),'Aannames'!$E$45,NA())+AC60+AC23+MAX(0,AC40)+AC44</f>
        <v>74493.93944444443</v>
      </c>
      <c r="AD62" s="28" t="n">
        <f>IF(AND(ISNUMBER('Aannames'!$E$45),'Aannames'!$E$45&gt;=0),'Aannames'!$E$45,NA())+AD60+AD23+MAX(0,AD40)+AD44</f>
        <v>79777.82796296297</v>
      </c>
      <c r="AE62" s="28" t="n">
        <f>IF(AND(ISNUMBER('Aannames'!$E$45),'Aannames'!$E$45&gt;=0),'Aannames'!$E$45,NA())+AE60+AE23+MAX(0,AE40)+AE44</f>
        <v>82127.52666666667</v>
      </c>
    </row>
    <row r="63" ht="22" customHeight="1">
      <c r="A63" s="1"/>
      <c r="B63" s="1"/>
      <c r="C63" s="1" t="str">
        <v>Balansverschil</v>
      </c>
      <c r="D63" s="1"/>
      <c r="E63" s="27" t="n">
        <f>SUM(H63:S63)</f>
        <v>-1.8189894035458565e-11</v>
      </c>
      <c r="F63" s="27" t="n">
        <f>SUM(T63:AE63)</f>
        <v>-2.9103830456733704e-11</v>
      </c>
      <c r="G63" s="38"/>
      <c r="H63" s="27" t="n">
        <f>H61-H62</f>
        <v>0</v>
      </c>
      <c r="I63" s="27" t="n">
        <f>I61-I62</f>
        <v>0</v>
      </c>
      <c r="J63" s="27" t="n">
        <f>J61-J62</f>
        <v>-3.637978807091713e-12</v>
      </c>
      <c r="K63" s="27" t="n">
        <f>K61-K62</f>
        <v>-7.275957614183426e-12</v>
      </c>
      <c r="L63" s="27" t="n">
        <f>L61-L62</f>
        <v>7.275957614183426e-12</v>
      </c>
      <c r="M63" s="27" t="n">
        <f>M61-M62</f>
        <v>-7.275957614183426e-12</v>
      </c>
      <c r="N63" s="27" t="n">
        <f>N61-N62</f>
        <v>-7.275957614183426e-12</v>
      </c>
      <c r="O63" s="27" t="n">
        <f>O61-O62</f>
        <v>0</v>
      </c>
      <c r="P63" s="27" t="n">
        <f>P61-P62</f>
        <v>0</v>
      </c>
      <c r="Q63" s="27" t="n">
        <f>Q61-Q62</f>
        <v>0</v>
      </c>
      <c r="R63" s="27" t="n">
        <f>R61-R62</f>
        <v>0</v>
      </c>
      <c r="S63" s="27" t="n">
        <f>S61-S62</f>
        <v>0</v>
      </c>
      <c r="T63" s="27" t="n">
        <f>T61-T62</f>
        <v>0</v>
      </c>
      <c r="U63" s="27" t="n">
        <f>U61-U62</f>
        <v>-7.275957614183426e-12</v>
      </c>
      <c r="V63" s="27" t="n">
        <f>V61-V62</f>
        <v>-7.275957614183426e-12</v>
      </c>
      <c r="W63" s="27" t="n">
        <f>W61-W62</f>
        <v>-7.275957614183426e-12</v>
      </c>
      <c r="X63" s="27" t="n">
        <f>X61-X62</f>
        <v>-7.275957614183426e-12</v>
      </c>
      <c r="Y63" s="27" t="n">
        <f>Y61-Y62</f>
        <v>0</v>
      </c>
      <c r="Z63" s="27" t="n">
        <f>Z61-Z62</f>
        <v>0</v>
      </c>
      <c r="AA63" s="27" t="n">
        <f>AA61-AA62</f>
        <v>0</v>
      </c>
      <c r="AB63" s="27" t="n">
        <f>AB61-AB62</f>
        <v>-1.4551915228366852e-11</v>
      </c>
      <c r="AC63" s="27" t="n">
        <f>AC61-AC62</f>
        <v>1.4551915228366852e-11</v>
      </c>
      <c r="AD63" s="27" t="n">
        <f>AD61-AD62</f>
        <v>0</v>
      </c>
      <c r="AE63" s="27" t="n">
        <f>AE61-AE62</f>
        <v>0</v>
      </c>
    </row>
    <row r="64" ht="22" customHeight="1">
      <c r="A64" s="1"/>
      <c r="B64" s="1"/>
      <c r="C64" s="1" t="str">
        <v>Kasstroom via resultaat</v>
      </c>
      <c r="D64" s="1"/>
      <c r="E64" s="14" t="n">
        <f>SUM(H64:S64)</f>
        <v>8181.478333333333</v>
      </c>
      <c r="F64" s="14" t="n">
        <f>SUM(T64:AE64)</f>
        <v>33694.79833333334</v>
      </c>
      <c r="G64" s="36"/>
      <c r="H64" s="14" t="n">
        <f>H26+H18-(H34-0)+(H40-H38)+(H44-H42)-H28-H21</f>
        <v>-19454.604444444445</v>
      </c>
      <c r="I64" s="14" t="n">
        <f>I26+I18-(I34-H34)+(I40-I38)+(I44-I42)-I28-I21</f>
        <v>4161.052962962964</v>
      </c>
      <c r="J64" s="14" t="n">
        <f>J26+J18-(J34-I34)+(J40-J38)+(J44-J42)-J28-J21</f>
        <v>2662.092314814815</v>
      </c>
      <c r="K64" s="14" t="n">
        <f>K26+K18-(K34-J34)+(K40-K38)+(K44-K42)-K28-K21</f>
        <v>1987.3477777777775</v>
      </c>
      <c r="L64" s="14" t="n">
        <f>L26+L18-(L34-K34)+(L40-L38)+(L44-L42)-L28-L21</f>
        <v>4164.525185185185</v>
      </c>
      <c r="M64" s="14" t="n">
        <f>M26+M18-(M34-L34)+(M40-M38)+(M44-M42)-M28-M21</f>
        <v>2037.9603703703706</v>
      </c>
      <c r="N64" s="14" t="n">
        <f>N26+N18-(N34-M34)+(N40-N38)+(N44-N42)-N28-N21</f>
        <v>100.81999999999988</v>
      </c>
      <c r="O64" s="14" t="n">
        <f>O26+O18-(O34-N34)+(O40-O38)+(O44-O42)-O28-O21</f>
        <v>4167.997407407408</v>
      </c>
      <c r="P64" s="14" t="n">
        <f>P26+P18-(P34-O34)+(P40-P38)+(P44-P42)-P28-P21</f>
        <v>2038.8284259259258</v>
      </c>
      <c r="Q64" s="14" t="n">
        <f>Q26+Q18-(Q34-P34)+(Q40-Q38)+(Q44-Q42)-Q28-Q21</f>
        <v>104.29222222222194</v>
      </c>
      <c r="R64" s="14" t="n">
        <f>R26+R18-(R34-Q34)+(R40-R38)+(R44-R42)-R28-R21</f>
        <v>4171.46962962963</v>
      </c>
      <c r="S64" s="14" t="n">
        <f>S26+S18-(S34-R34)+(S40-S38)+(S44-S42)-S28-S21</f>
        <v>2039.696481481482</v>
      </c>
      <c r="T64" s="14" t="n">
        <f>T26+T18-(T34-S34)+(T40-T38)+(T44-T42)-T28-T21</f>
        <v>-570.4555555555562</v>
      </c>
      <c r="U64" s="14" t="n">
        <f>U26+U18-(U34-T34)+(U40-U38)+(U44-U42)-U28-U21</f>
        <v>5523.471851851852</v>
      </c>
      <c r="V64" s="14" t="n">
        <f>V26+V18-(V34-U34)+(V40-V38)+(V44-V42)-V28-V21</f>
        <v>2597.0945370370373</v>
      </c>
      <c r="W64" s="14" t="n">
        <f>W26+W18-(W34-V34)+(W40-W38)+(W44-W42)-W28-W21</f>
        <v>582.1766666666665</v>
      </c>
      <c r="X64" s="14" t="n">
        <f>X26+X18-(X34-W34)+(X40-X38)+(X44-X42)-X28-X21</f>
        <v>5526.944074074074</v>
      </c>
      <c r="Y64" s="14" t="n">
        <f>Y26+Y18-(Y34-X34)+(Y40-Y38)+(Y44-Y42)-Y28-Y21</f>
        <v>2597.9625925925925</v>
      </c>
      <c r="Z64" s="14" t="n">
        <f>Z26+Z18-(Z34-Y34)+(Z40-Z38)+(Z44-Z42)-Z28-Z21</f>
        <v>585.6488888888891</v>
      </c>
      <c r="AA64" s="14" t="n">
        <f>AA26+AA18-(AA34-Z34)+(AA40-AA38)+(AA44-AA42)-AA28-AA21</f>
        <v>5530.416296296296</v>
      </c>
      <c r="AB64" s="14" t="n">
        <f>AB26+AB18-(AB34-AA34)+(AB40-AB38)+(AB44-AB42)-AB28-AB21</f>
        <v>2598.8306481481472</v>
      </c>
      <c r="AC64" s="14" t="n">
        <f>AC26+AC18-(AC34-AB34)+(AC40-AC38)+(AC44-AC42)-AC28-AC21</f>
        <v>589.1211111111111</v>
      </c>
      <c r="AD64" s="14" t="n">
        <f>AD26+AD18-(AD34-AC34)+(AD40-AD38)+(AD44-AD42)-AD28-AD21</f>
        <v>5533.888518518518</v>
      </c>
      <c r="AE64" s="14" t="n">
        <f>AE26+AE18-(AE34-AD34)+(AE40-AE38)+(AE44-AE42)-AE28-AE21</f>
        <v>2599.6987037037034</v>
      </c>
    </row>
    <row r="65" ht="22" customHeight="1">
      <c r="A65" s="1"/>
      <c r="B65" s="1"/>
      <c r="C65" s="1" t="str">
        <v>Kasstroomverschil</v>
      </c>
      <c r="D65" s="1"/>
      <c r="E65" s="27" t="n">
        <f>SUM(H65:S65)</f>
        <v>-6.821210263296962e-13</v>
      </c>
      <c r="F65" s="27" t="n">
        <f>SUM(T65:AE65)</f>
        <v>1.7280399333685637e-11</v>
      </c>
      <c r="G65" s="38"/>
      <c r="H65" s="27" t="n">
        <f>H56-H64</f>
        <v>0</v>
      </c>
      <c r="I65" s="27" t="n">
        <f>I56-I64</f>
        <v>0</v>
      </c>
      <c r="J65" s="27" t="n">
        <f>J56-J64</f>
        <v>0</v>
      </c>
      <c r="K65" s="27" t="n">
        <f>K56-K64</f>
        <v>-4.547473508864641e-13</v>
      </c>
      <c r="L65" s="27" t="n">
        <f>L56-L64</f>
        <v>0</v>
      </c>
      <c r="M65" s="27" t="n">
        <f>M56-M64</f>
        <v>0</v>
      </c>
      <c r="N65" s="27" t="n">
        <f>N56-N64</f>
        <v>-1.7053025658242404e-13</v>
      </c>
      <c r="O65" s="27" t="n">
        <f>O56-O64</f>
        <v>0</v>
      </c>
      <c r="P65" s="27" t="n">
        <f>P56-P64</f>
        <v>-4.547473508864641e-13</v>
      </c>
      <c r="Q65" s="27" t="n">
        <f>Q56-Q64</f>
        <v>3.979039320256561e-13</v>
      </c>
      <c r="R65" s="27" t="n">
        <f>R56-R64</f>
        <v>0</v>
      </c>
      <c r="S65" s="27" t="n">
        <f>S56-S64</f>
        <v>0</v>
      </c>
      <c r="T65" s="27" t="n">
        <f>T56-T64</f>
        <v>1.8189894035458565e-12</v>
      </c>
      <c r="U65" s="27" t="n">
        <f>U56-U64</f>
        <v>9.094947017729282e-13</v>
      </c>
      <c r="V65" s="27" t="n">
        <f>V56-V64</f>
        <v>1.8189894035458565e-12</v>
      </c>
      <c r="W65" s="27" t="n">
        <f>W56-W64</f>
        <v>1.5916157281026244e-12</v>
      </c>
      <c r="X65" s="27" t="n">
        <f>X56-X64</f>
        <v>1.8189894035458565e-12</v>
      </c>
      <c r="Y65" s="27" t="n">
        <f>Y56-Y64</f>
        <v>1.3642420526593924e-12</v>
      </c>
      <c r="Z65" s="27" t="n">
        <f>Z56-Z64</f>
        <v>1.5916157281026244e-12</v>
      </c>
      <c r="AA65" s="27" t="n">
        <f>AA56-AA64</f>
        <v>9.094947017729282e-13</v>
      </c>
      <c r="AB65" s="27" t="n">
        <f>AB56-AB64</f>
        <v>1.3642420526593924e-12</v>
      </c>
      <c r="AC65" s="27" t="n">
        <f>AC56-AC64</f>
        <v>4.547473508864641e-13</v>
      </c>
      <c r="AD65" s="27" t="n">
        <f>AD56-AD64</f>
        <v>1.8189894035458565e-12</v>
      </c>
      <c r="AE65" s="27" t="n">
        <f>AE56-AE64</f>
        <v>1.8189894035458565e-12</v>
      </c>
    </row>
    <row r="66" ht="22" customHeight="1">
      <c r="A66" s="1"/>
      <c r="B66" s="1"/>
      <c r="C66" s="17" t="str">
        <v>Nog te financieren tekort</v>
      </c>
      <c r="D66" s="17"/>
      <c r="E66" s="31" t="n">
        <f>MAX(H66:S66)</f>
        <v>0</v>
      </c>
      <c r="F66" s="31" t="n">
        <f>MAX(T66:AE66)</f>
        <v>0</v>
      </c>
      <c r="G66" s="37"/>
      <c r="H66" s="31" t="n">
        <f>MAX(0,-H57)</f>
        <v>0</v>
      </c>
      <c r="I66" s="31" t="n">
        <f>MAX(0,-I57)</f>
        <v>0</v>
      </c>
      <c r="J66" s="31" t="n">
        <f>MAX(0,-J57)</f>
        <v>0</v>
      </c>
      <c r="K66" s="31" t="n">
        <f>MAX(0,-K57)</f>
        <v>0</v>
      </c>
      <c r="L66" s="31" t="n">
        <f>MAX(0,-L57)</f>
        <v>0</v>
      </c>
      <c r="M66" s="31" t="n">
        <f>MAX(0,-M57)</f>
        <v>0</v>
      </c>
      <c r="N66" s="31" t="n">
        <f>MAX(0,-N57)</f>
        <v>0</v>
      </c>
      <c r="O66" s="31" t="n">
        <f>MAX(0,-O57)</f>
        <v>0</v>
      </c>
      <c r="P66" s="31" t="n">
        <f>MAX(0,-P57)</f>
        <v>0</v>
      </c>
      <c r="Q66" s="31" t="n">
        <f>MAX(0,-Q57)</f>
        <v>0</v>
      </c>
      <c r="R66" s="31" t="n">
        <f>MAX(0,-R57)</f>
        <v>0</v>
      </c>
      <c r="S66" s="31" t="n">
        <f>MAX(0,-S57)</f>
        <v>0</v>
      </c>
      <c r="T66" s="31" t="n">
        <f>MAX(0,-T57)</f>
        <v>0</v>
      </c>
      <c r="U66" s="31" t="n">
        <f>MAX(0,-U57)</f>
        <v>0</v>
      </c>
      <c r="V66" s="31" t="n">
        <f>MAX(0,-V57)</f>
        <v>0</v>
      </c>
      <c r="W66" s="31" t="n">
        <f>MAX(0,-W57)</f>
        <v>0</v>
      </c>
      <c r="X66" s="31" t="n">
        <f>MAX(0,-X57)</f>
        <v>0</v>
      </c>
      <c r="Y66" s="31" t="n">
        <f>MAX(0,-Y57)</f>
        <v>0</v>
      </c>
      <c r="Z66" s="31" t="n">
        <f>MAX(0,-Z57)</f>
        <v>0</v>
      </c>
      <c r="AA66" s="31" t="n">
        <f>MAX(0,-AA57)</f>
        <v>0</v>
      </c>
      <c r="AB66" s="31" t="n">
        <f>MAX(0,-AB57)</f>
        <v>0</v>
      </c>
      <c r="AC66" s="31" t="n">
        <f>MAX(0,-AC57)</f>
        <v>0</v>
      </c>
      <c r="AD66" s="31" t="n">
        <f>MAX(0,-AD57)</f>
        <v>0</v>
      </c>
      <c r="AE66" s="31" t="n">
        <f>MAX(0,-AE57)</f>
        <v>0</v>
      </c>
    </row>
    <row r="67" ht="22" customHeight="1">
      <c r="A67" s="1"/>
      <c r="B67" s="1"/>
      <c r="C67" s="1" t="str">
        <v>Termijn per factuur (maanden)</v>
      </c>
      <c r="D67" s="1"/>
      <c r="E67" s="14"/>
      <c r="F67" s="14"/>
      <c r="G67" s="36"/>
      <c r="H67" s="28" t="n">
        <f>'Aannames'!$E$35</f>
        <v>1</v>
      </c>
      <c r="I67" s="28" t="n">
        <f>'Aannames'!$E$35</f>
        <v>1</v>
      </c>
      <c r="J67" s="28" t="n">
        <f>'Aannames'!$E$35</f>
        <v>1</v>
      </c>
      <c r="K67" s="28" t="n">
        <f>'Aannames'!$E$35</f>
        <v>1</v>
      </c>
      <c r="L67" s="28" t="n">
        <f>'Aannames'!$E$35</f>
        <v>1</v>
      </c>
      <c r="M67" s="28" t="n">
        <f>'Aannames'!$E$35</f>
        <v>1</v>
      </c>
      <c r="N67" s="28" t="n">
        <f>'Aannames'!$E$35</f>
        <v>1</v>
      </c>
      <c r="O67" s="28" t="n">
        <f>'Aannames'!$E$35</f>
        <v>1</v>
      </c>
      <c r="P67" s="28" t="n">
        <f>'Aannames'!$E$35</f>
        <v>1</v>
      </c>
      <c r="Q67" s="28" t="n">
        <f>'Aannames'!$E$35</f>
        <v>1</v>
      </c>
      <c r="R67" s="28" t="n">
        <f>'Aannames'!$E$35</f>
        <v>1</v>
      </c>
      <c r="S67" s="28" t="n">
        <f>'Aannames'!$E$35</f>
        <v>1</v>
      </c>
      <c r="T67" s="28" t="n">
        <f>'Aannames'!$F$35</f>
        <v>1</v>
      </c>
      <c r="U67" s="28" t="n">
        <f>'Aannames'!$F$35</f>
        <v>1</v>
      </c>
      <c r="V67" s="28" t="n">
        <f>'Aannames'!$F$35</f>
        <v>1</v>
      </c>
      <c r="W67" s="28" t="n">
        <f>'Aannames'!$F$35</f>
        <v>1</v>
      </c>
      <c r="X67" s="28" t="n">
        <f>'Aannames'!$F$35</f>
        <v>1</v>
      </c>
      <c r="Y67" s="28" t="n">
        <f>'Aannames'!$F$35</f>
        <v>1</v>
      </c>
      <c r="Z67" s="28" t="n">
        <f>'Aannames'!$F$35</f>
        <v>1</v>
      </c>
      <c r="AA67" s="28" t="n">
        <f>'Aannames'!$F$35</f>
        <v>1</v>
      </c>
      <c r="AB67" s="28" t="n">
        <f>'Aannames'!$F$35</f>
        <v>1</v>
      </c>
      <c r="AC67" s="28" t="n">
        <f>'Aannames'!$F$35</f>
        <v>1</v>
      </c>
      <c r="AD67" s="28" t="n">
        <f>'Aannames'!$F$35</f>
        <v>1</v>
      </c>
      <c r="AE67" s="28" t="n">
        <f>'Aannames'!$F$35</f>
        <v>1</v>
      </c>
    </row>
    <row r="68" ht="22"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row>
  </sheetData>
  <sheetProtection sheet="1" objects="1" scenarios="1" selectLockedCells="0" selectUnlockedCells="0"/>
  <conditionalFormatting sqref="H57:AE57">
    <cfRule type="cellIs" dxfId="0" priority="1" operator="lessThan">
      <formula>0</formula>
    </cfRule>
  </conditionalFormatting>
  <pageMargins left="0.7" right="0.7" top="0.75" bottom="0.75" header="0.3" footer="0.3"/>
</worksheet>
</file>

<file path=xl/worksheets/sheet4.xml><?xml version="1.0" encoding="utf-8"?>
<worksheet xmlns="http://schemas.openxmlformats.org/spreadsheetml/2006/main">
  <sheetViews>
    <sheetView showGridLines="0" workbookViewId="0"/>
  </sheetViews>
  <sheetFormatPr defaultRowHeight="15"/>
  <cols>
    <col min="1" max="1" width="2" hidden="0" customWidth="1"/>
    <col min="2" max="2" width="2" hidden="0" customWidth="1"/>
    <col min="3" max="3" width="35" hidden="0" customWidth="1"/>
    <col min="4" max="4" width="4" hidden="0" customWidth="1"/>
    <col min="5" max="5" width="16" hidden="0" customWidth="1"/>
    <col min="6" max="6" width="19" hidden="0" customWidth="1"/>
    <col min="7" max="7" width="19" hidden="0" customWidth="1"/>
    <col min="8" max="8" width="15" hidden="0" customWidth="1"/>
    <col min="9" max="9" width="15" hidden="0" customWidth="1"/>
    <col min="10" max="10" width="15" hidden="0" customWidth="1"/>
    <col min="11" max="11" width="15" hidden="0" customWidth="1"/>
    <col min="12" max="12" width="15" hidden="0" customWidth="1"/>
    <col min="13" max="13" width="15" hidden="0" customWidth="1"/>
    <col min="14" max="14" width="15" hidden="0" customWidth="1"/>
    <col min="15" max="15" width="15" hidden="0" customWidth="1"/>
    <col min="16" max="16" width="15" hidden="0" customWidth="1"/>
    <col min="17" max="17" width="15" hidden="0" customWidth="1"/>
    <col min="18" max="18" width="15" hidden="0" customWidth="1"/>
    <col min="19" max="19" width="15" hidden="0" customWidth="1"/>
    <col min="20" max="20" width="15" hidden="0" customWidth="1"/>
    <col min="21" max="21" width="15" hidden="0" customWidth="1"/>
    <col min="22" max="22" width="15" hidden="0" customWidth="1"/>
    <col min="23" max="23" width="15" hidden="0" customWidth="1"/>
    <col min="24" max="24" width="15" hidden="0" customWidth="1"/>
    <col min="25" max="25" width="15" hidden="0" customWidth="1"/>
    <col min="26" max="26" width="15" hidden="0" customWidth="1"/>
    <col min="27" max="27" width="15" hidden="0" customWidth="1"/>
    <col min="28" max="28" width="15" hidden="0" customWidth="1"/>
    <col min="29" max="29" width="15" hidden="0" customWidth="1"/>
    <col min="30" max="30" width="15" hidden="0" customWidth="1"/>
    <col min="31" max="31" width="15" hidden="0" customWidth="1"/>
  </cols>
  <sheetData>
    <row r="1" ht="22"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ht="28" customHeight="1">
      <c r="A2" s="1"/>
      <c r="B2" s="1"/>
      <c r="C2" s="2" t="str">
        <v>Balans en financiering</v>
      </c>
      <c r="D2" s="2"/>
      <c r="E2" s="2"/>
      <c r="F2" s="2"/>
      <c r="G2" s="2"/>
      <c r="H2" s="2"/>
      <c r="I2" s="2"/>
      <c r="J2" s="2"/>
      <c r="K2" s="2"/>
      <c r="L2" s="2"/>
      <c r="M2" s="2"/>
      <c r="N2" s="1"/>
      <c r="O2" s="1"/>
      <c r="P2" s="1"/>
      <c r="Q2" s="1"/>
      <c r="R2" s="1"/>
      <c r="S2" s="1"/>
      <c r="T2" s="1"/>
      <c r="U2" s="1"/>
      <c r="V2" s="1"/>
      <c r="W2" s="1"/>
      <c r="X2" s="1"/>
      <c r="Y2" s="1"/>
      <c r="Z2" s="1"/>
      <c r="AA2" s="1"/>
      <c r="AB2" s="1"/>
      <c r="AC2" s="1"/>
      <c r="AD2" s="1"/>
      <c r="AE2" s="1"/>
    </row>
    <row r="3" ht="22" customHeight="1">
      <c r="A3" s="1"/>
      <c r="B3" s="1"/>
      <c r="C3" s="3"/>
      <c r="D3" s="3"/>
      <c r="E3" s="3"/>
      <c r="F3" s="3"/>
      <c r="G3" s="3"/>
      <c r="H3" s="3"/>
      <c r="I3" s="3"/>
      <c r="J3" s="3"/>
      <c r="K3" s="3"/>
      <c r="L3" s="3"/>
      <c r="M3" s="3"/>
      <c r="N3" s="1"/>
      <c r="O3" s="1"/>
      <c r="P3" s="1"/>
      <c r="Q3" s="1"/>
      <c r="R3" s="1"/>
      <c r="S3" s="1"/>
      <c r="T3" s="1"/>
      <c r="U3" s="1"/>
      <c r="V3" s="1"/>
      <c r="W3" s="1"/>
      <c r="X3" s="1"/>
      <c r="Y3" s="1"/>
      <c r="Z3" s="1"/>
      <c r="AA3" s="1"/>
      <c r="AB3" s="1"/>
      <c r="AC3" s="1"/>
      <c r="AD3" s="1"/>
      <c r="AE3" s="1"/>
    </row>
    <row r="4" ht="22" customHeight="1">
      <c r="A4" s="1"/>
      <c r="B4" s="1"/>
      <c r="C4" s="1" t="str">
        <v>Actief scenario</v>
      </c>
      <c r="D4" s="1"/>
      <c r="E4" s="5" t="str">
        <f>'Aannames'!E4</f>
        <v>Basis</v>
      </c>
      <c r="F4" s="6"/>
      <c r="G4" s="1"/>
      <c r="H4" s="1"/>
      <c r="I4" s="1"/>
      <c r="J4" s="1"/>
      <c r="K4" s="1"/>
      <c r="L4" s="1"/>
      <c r="M4" s="1"/>
      <c r="N4" s="1"/>
      <c r="O4" s="1"/>
      <c r="P4" s="1"/>
      <c r="Q4" s="1"/>
      <c r="R4" s="1"/>
      <c r="S4" s="1"/>
      <c r="T4" s="1"/>
      <c r="U4" s="1"/>
      <c r="V4" s="1"/>
      <c r="W4" s="1"/>
      <c r="X4" s="1"/>
      <c r="Y4" s="1"/>
      <c r="Z4" s="1"/>
      <c r="AA4" s="1"/>
      <c r="AB4" s="1"/>
      <c r="AC4" s="1"/>
      <c r="AD4" s="1"/>
      <c r="AE4" s="1"/>
    </row>
    <row r="5" ht="22"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ht="22" customHeight="1">
      <c r="A6" s="1"/>
      <c r="B6" s="1"/>
      <c r="C6" s="1"/>
      <c r="D6" s="1"/>
      <c r="E6" s="10" t="str">
        <v>Bij start</v>
      </c>
      <c r="F6" s="10" t="str">
        <v>Na 12 maanden</v>
      </c>
      <c r="G6" s="10" t="str">
        <v>Na 24 maanden</v>
      </c>
      <c r="H6" s="1"/>
      <c r="I6" s="1"/>
      <c r="J6" s="1"/>
      <c r="K6" s="1"/>
      <c r="L6" s="1"/>
      <c r="M6" s="1"/>
      <c r="N6" s="1"/>
      <c r="O6" s="1"/>
      <c r="P6" s="1"/>
      <c r="Q6" s="1"/>
      <c r="R6" s="1"/>
      <c r="S6" s="1"/>
      <c r="T6" s="1"/>
      <c r="U6" s="1"/>
      <c r="V6" s="1"/>
      <c r="W6" s="1"/>
      <c r="X6" s="1"/>
      <c r="Y6" s="1"/>
      <c r="Z6" s="1"/>
      <c r="AA6" s="1"/>
      <c r="AB6" s="1"/>
      <c r="AC6" s="1"/>
      <c r="AD6" s="1"/>
      <c r="AE6" s="1"/>
    </row>
    <row r="7" ht="22" customHeigh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row>
    <row r="8" ht="25" customHeight="1">
      <c r="A8" s="1"/>
      <c r="B8" s="1"/>
      <c r="C8" s="17" t="str">
        <v>Activa</v>
      </c>
      <c r="D8" s="17"/>
      <c r="E8" s="17"/>
      <c r="F8" s="17"/>
      <c r="G8" s="17"/>
      <c r="H8" s="1"/>
      <c r="I8" s="1"/>
      <c r="J8" s="1"/>
      <c r="K8" s="1"/>
      <c r="L8" s="1"/>
      <c r="M8" s="1"/>
      <c r="N8" s="1"/>
      <c r="O8" s="1"/>
      <c r="P8" s="1"/>
      <c r="Q8" s="1"/>
      <c r="R8" s="1"/>
      <c r="S8" s="1"/>
      <c r="T8" s="1"/>
      <c r="U8" s="1"/>
      <c r="V8" s="1"/>
      <c r="W8" s="1"/>
      <c r="X8" s="1"/>
      <c r="Y8" s="1"/>
      <c r="Z8" s="1"/>
      <c r="AA8" s="1"/>
      <c r="AB8" s="1"/>
      <c r="AC8" s="1"/>
      <c r="AD8" s="1"/>
      <c r="AE8" s="1"/>
    </row>
    <row r="9" ht="22" customHeight="1">
      <c r="A9" s="1"/>
      <c r="B9" s="1"/>
      <c r="C9" s="1" t="str">
        <v>Materiële vaste activa</v>
      </c>
      <c r="D9" s="1"/>
      <c r="E9" s="39" t="n">
        <f>0</f>
        <v>0</v>
      </c>
      <c r="F9" s="39" t="n">
        <f>'Prognose'!S30</f>
        <v>6000</v>
      </c>
      <c r="G9" s="39" t="n">
        <f>'Prognose'!AE30</f>
        <v>3000</v>
      </c>
      <c r="H9" s="1"/>
      <c r="I9" s="1"/>
      <c r="J9" s="1"/>
      <c r="K9" s="1"/>
      <c r="L9" s="1"/>
      <c r="M9" s="1"/>
      <c r="N9" s="1"/>
      <c r="O9" s="1"/>
      <c r="P9" s="1"/>
      <c r="Q9" s="1"/>
      <c r="R9" s="1"/>
      <c r="S9" s="1"/>
      <c r="T9" s="1"/>
      <c r="U9" s="1"/>
      <c r="V9" s="1"/>
      <c r="W9" s="1"/>
      <c r="X9" s="1"/>
      <c r="Y9" s="1"/>
      <c r="Z9" s="1"/>
      <c r="AA9" s="1"/>
      <c r="AB9" s="1"/>
      <c r="AC9" s="1"/>
      <c r="AD9" s="1"/>
      <c r="AE9" s="1"/>
    </row>
    <row r="10" ht="22" customHeight="1">
      <c r="A10" s="1"/>
      <c r="B10" s="1"/>
      <c r="C10" s="1" t="str">
        <v>Vorderingen op klanten incl. btw</v>
      </c>
      <c r="D10" s="1"/>
      <c r="E10" s="39" t="n">
        <f>0</f>
        <v>0</v>
      </c>
      <c r="F10" s="39" t="n">
        <f>'Prognose'!S34</f>
        <v>10224.5</v>
      </c>
      <c r="G10" s="39" t="n">
        <f>'Prognose'!AE34</f>
        <v>12251.25</v>
      </c>
      <c r="H10" s="1"/>
      <c r="I10" s="1"/>
      <c r="J10" s="1"/>
      <c r="K10" s="1"/>
      <c r="L10" s="1"/>
      <c r="M10" s="1"/>
      <c r="N10" s="1"/>
      <c r="O10" s="1"/>
      <c r="P10" s="1"/>
      <c r="Q10" s="1"/>
      <c r="R10" s="1"/>
      <c r="S10" s="1"/>
      <c r="T10" s="1"/>
      <c r="U10" s="1"/>
      <c r="V10" s="1"/>
      <c r="W10" s="1"/>
      <c r="X10" s="1"/>
      <c r="Y10" s="1"/>
      <c r="Z10" s="1"/>
      <c r="AA10" s="1"/>
      <c r="AB10" s="1"/>
      <c r="AC10" s="1"/>
      <c r="AD10" s="1"/>
      <c r="AE10" s="1"/>
    </row>
    <row r="11" ht="22" customHeight="1">
      <c r="A11" s="1"/>
      <c r="B11" s="1"/>
      <c r="C11" s="1" t="str">
        <v>Btw-tegoed</v>
      </c>
      <c r="D11" s="1"/>
      <c r="E11" s="39" t="n">
        <f>0</f>
        <v>0</v>
      </c>
      <c r="F11" s="39" t="n">
        <f>MAX(0,-'Prognose'!S40)</f>
        <v>0</v>
      </c>
      <c r="G11" s="39" t="n">
        <f>MAX(0,-'Prognose'!AE40)</f>
        <v>0</v>
      </c>
      <c r="H11" s="1"/>
      <c r="I11" s="1"/>
      <c r="J11" s="1"/>
      <c r="K11" s="1"/>
      <c r="L11" s="1"/>
      <c r="M11" s="1"/>
      <c r="N11" s="1"/>
      <c r="O11" s="1"/>
      <c r="P11" s="1"/>
      <c r="Q11" s="1"/>
      <c r="R11" s="1"/>
      <c r="S11" s="1"/>
      <c r="T11" s="1"/>
      <c r="U11" s="1"/>
      <c r="V11" s="1"/>
      <c r="W11" s="1"/>
      <c r="X11" s="1"/>
      <c r="Y11" s="1"/>
      <c r="Z11" s="1"/>
      <c r="AA11" s="1"/>
      <c r="AB11" s="1"/>
      <c r="AC11" s="1"/>
      <c r="AD11" s="1"/>
      <c r="AE11" s="1"/>
    </row>
    <row r="12" ht="22" customHeight="1">
      <c r="A12" s="1"/>
      <c r="B12" s="1"/>
      <c r="C12" s="1" t="str">
        <v>Kas (negatief = financieringstekort)</v>
      </c>
      <c r="D12" s="1"/>
      <c r="E12" s="39" t="n">
        <f>(IF(AND(ISNUMBER('Aannames'!E45),'Aannames'!E45&gt;=0),'Aannames'!E45,NA())+IF(AND(ISNUMBER('Aannames'!E46),'Aannames'!E46&gt;=0),'Aannames'!E46,NA()))</f>
        <v>25000</v>
      </c>
      <c r="F12" s="39" t="n">
        <f>'Prognose'!S57</f>
        <v>33181.47833333333</v>
      </c>
      <c r="G12" s="39" t="n">
        <f>'Prognose'!AE57</f>
        <v>66876.27666666667</v>
      </c>
      <c r="H12" s="1"/>
      <c r="I12" s="1"/>
      <c r="J12" s="1"/>
      <c r="K12" s="1"/>
      <c r="L12" s="1"/>
      <c r="M12" s="1"/>
      <c r="N12" s="1"/>
      <c r="O12" s="1"/>
      <c r="P12" s="1"/>
      <c r="Q12" s="1"/>
      <c r="R12" s="1"/>
      <c r="S12" s="1"/>
      <c r="T12" s="1"/>
      <c r="U12" s="1"/>
      <c r="V12" s="1"/>
      <c r="W12" s="1"/>
      <c r="X12" s="1"/>
      <c r="Y12" s="1"/>
      <c r="Z12" s="1"/>
      <c r="AA12" s="1"/>
      <c r="AB12" s="1"/>
      <c r="AC12" s="1"/>
      <c r="AD12" s="1"/>
      <c r="AE12" s="1"/>
    </row>
    <row r="13" ht="25" customHeight="1">
      <c r="A13" s="1"/>
      <c r="B13" s="1"/>
      <c r="C13" s="17" t="str">
        <v>Totaal activa</v>
      </c>
      <c r="D13" s="17"/>
      <c r="E13" s="42" t="n">
        <f>SUM(E9:E12)</f>
        <v>25000</v>
      </c>
      <c r="F13" s="42" t="n">
        <f>SUM(F9:F12)</f>
        <v>49405.97833333333</v>
      </c>
      <c r="G13" s="42" t="n">
        <f>SUM(G9:G12)</f>
        <v>82127.52666666667</v>
      </c>
      <c r="H13" s="1"/>
      <c r="I13" s="1"/>
      <c r="J13" s="1"/>
      <c r="K13" s="1"/>
      <c r="L13" s="1"/>
      <c r="M13" s="1"/>
      <c r="N13" s="1"/>
      <c r="O13" s="1"/>
      <c r="P13" s="1"/>
      <c r="Q13" s="1"/>
      <c r="R13" s="1"/>
      <c r="S13" s="1"/>
      <c r="T13" s="1"/>
      <c r="U13" s="1"/>
      <c r="V13" s="1"/>
      <c r="W13" s="1"/>
      <c r="X13" s="1"/>
      <c r="Y13" s="1"/>
      <c r="Z13" s="1"/>
      <c r="AA13" s="1"/>
      <c r="AB13" s="1"/>
      <c r="AC13" s="1"/>
      <c r="AD13" s="1"/>
      <c r="AE13" s="1"/>
    </row>
    <row r="14" ht="22" customHeight="1">
      <c r="A14" s="1"/>
      <c r="B14" s="1"/>
      <c r="C14" s="1"/>
      <c r="D14" s="1"/>
      <c r="E14" s="39"/>
      <c r="F14" s="39"/>
      <c r="G14" s="39"/>
      <c r="H14" s="1"/>
      <c r="I14" s="1"/>
      <c r="J14" s="1"/>
      <c r="K14" s="1"/>
      <c r="L14" s="1"/>
      <c r="M14" s="1"/>
      <c r="N14" s="1"/>
      <c r="O14" s="1"/>
      <c r="P14" s="1"/>
      <c r="Q14" s="1"/>
      <c r="R14" s="1"/>
      <c r="S14" s="1"/>
      <c r="T14" s="1"/>
      <c r="U14" s="1"/>
      <c r="V14" s="1"/>
      <c r="W14" s="1"/>
      <c r="X14" s="1"/>
      <c r="Y14" s="1"/>
      <c r="Z14" s="1"/>
      <c r="AA14" s="1"/>
      <c r="AB14" s="1"/>
      <c r="AC14" s="1"/>
      <c r="AD14" s="1"/>
      <c r="AE14" s="1"/>
    </row>
    <row r="15" ht="25" customHeight="1">
      <c r="A15" s="1"/>
      <c r="B15" s="1"/>
      <c r="C15" s="17" t="str">
        <v>Eigen vermogen en schulden</v>
      </c>
      <c r="D15" s="17"/>
      <c r="E15" s="42"/>
      <c r="F15" s="42"/>
      <c r="G15" s="42"/>
      <c r="H15" s="1"/>
      <c r="I15" s="1"/>
      <c r="J15" s="1"/>
      <c r="K15" s="1"/>
      <c r="L15" s="1"/>
      <c r="M15" s="1"/>
      <c r="N15" s="1"/>
      <c r="O15" s="1"/>
      <c r="P15" s="1"/>
      <c r="Q15" s="1"/>
      <c r="R15" s="1"/>
      <c r="S15" s="1"/>
      <c r="T15" s="1"/>
      <c r="U15" s="1"/>
      <c r="V15" s="1"/>
      <c r="W15" s="1"/>
      <c r="X15" s="1"/>
      <c r="Y15" s="1"/>
      <c r="Z15" s="1"/>
      <c r="AA15" s="1"/>
      <c r="AB15" s="1"/>
      <c r="AC15" s="1"/>
      <c r="AD15" s="1"/>
      <c r="AE15" s="1"/>
    </row>
    <row r="16" ht="22" customHeight="1">
      <c r="A16" s="1"/>
      <c r="B16" s="1"/>
      <c r="C16" s="1" t="str">
        <v>Inbreng</v>
      </c>
      <c r="D16" s="1"/>
      <c r="E16" s="39" t="n">
        <f>IF(AND(ISNUMBER('Aannames'!E45),'Aannames'!E45&gt;=0),'Aannames'!E45,NA())</f>
        <v>15000</v>
      </c>
      <c r="F16" s="39" t="n">
        <f>IF(AND(ISNUMBER('Aannames'!E45),'Aannames'!E45&gt;=0),'Aannames'!E45,NA())</f>
        <v>15000</v>
      </c>
      <c r="G16" s="39" t="n">
        <f>IF(AND(ISNUMBER('Aannames'!E45),'Aannames'!E45&gt;=0),'Aannames'!E45,NA())</f>
        <v>15000</v>
      </c>
      <c r="H16" s="1"/>
      <c r="I16" s="1"/>
      <c r="J16" s="1"/>
      <c r="K16" s="1"/>
      <c r="L16" s="1"/>
      <c r="M16" s="1"/>
      <c r="N16" s="1"/>
      <c r="O16" s="1"/>
      <c r="P16" s="1"/>
      <c r="Q16" s="1"/>
      <c r="R16" s="1"/>
      <c r="S16" s="1"/>
      <c r="T16" s="1"/>
      <c r="U16" s="1"/>
      <c r="V16" s="1"/>
      <c r="W16" s="1"/>
      <c r="X16" s="1"/>
      <c r="Y16" s="1"/>
      <c r="Z16" s="1"/>
      <c r="AA16" s="1"/>
      <c r="AB16" s="1"/>
      <c r="AC16" s="1"/>
      <c r="AD16" s="1"/>
      <c r="AE16" s="1"/>
    </row>
    <row r="17" ht="22" customHeight="1">
      <c r="A17" s="1"/>
      <c r="B17" s="1"/>
      <c r="C17" s="1" t="str">
        <v>Overgedragen resultaat</v>
      </c>
      <c r="D17" s="1"/>
      <c r="E17" s="39" t="n">
        <f>0</f>
        <v>0</v>
      </c>
      <c r="F17" s="39" t="n">
        <f>'Prognose'!S60</f>
        <v>23673.291666666664</v>
      </c>
      <c r="G17" s="39" t="n">
        <f>'Prognose'!AE60</f>
        <v>58850.58333333333</v>
      </c>
      <c r="H17" s="1"/>
      <c r="I17" s="1"/>
      <c r="J17" s="1"/>
      <c r="K17" s="1"/>
      <c r="L17" s="1"/>
      <c r="M17" s="1"/>
      <c r="N17" s="1"/>
      <c r="O17" s="1"/>
      <c r="P17" s="1"/>
      <c r="Q17" s="1"/>
      <c r="R17" s="1"/>
      <c r="S17" s="1"/>
      <c r="T17" s="1"/>
      <c r="U17" s="1"/>
      <c r="V17" s="1"/>
      <c r="W17" s="1"/>
      <c r="X17" s="1"/>
      <c r="Y17" s="1"/>
      <c r="Z17" s="1"/>
      <c r="AA17" s="1"/>
      <c r="AB17" s="1"/>
      <c r="AC17" s="1"/>
      <c r="AD17" s="1"/>
      <c r="AE17" s="1"/>
    </row>
    <row r="18" ht="25" customHeight="1">
      <c r="A18" s="1"/>
      <c r="B18" s="1"/>
      <c r="C18" s="17" t="str">
        <v>Eigen vermogen</v>
      </c>
      <c r="D18" s="17"/>
      <c r="E18" s="42" t="n">
        <f>SUM(E16:E17)</f>
        <v>15000</v>
      </c>
      <c r="F18" s="42" t="n">
        <f>SUM(F16:F17)</f>
        <v>38673.291666666664</v>
      </c>
      <c r="G18" s="42" t="n">
        <f>SUM(G16:G17)</f>
        <v>73850.58333333333</v>
      </c>
      <c r="H18" s="1"/>
      <c r="I18" s="1"/>
      <c r="J18" s="1"/>
      <c r="K18" s="1"/>
      <c r="L18" s="1"/>
      <c r="M18" s="1"/>
      <c r="N18" s="1"/>
      <c r="O18" s="1"/>
      <c r="P18" s="1"/>
      <c r="Q18" s="1"/>
      <c r="R18" s="1"/>
      <c r="S18" s="1"/>
      <c r="T18" s="1"/>
      <c r="U18" s="1"/>
      <c r="V18" s="1"/>
      <c r="W18" s="1"/>
      <c r="X18" s="1"/>
      <c r="Y18" s="1"/>
      <c r="Z18" s="1"/>
      <c r="AA18" s="1"/>
      <c r="AB18" s="1"/>
      <c r="AC18" s="1"/>
      <c r="AD18" s="1"/>
      <c r="AE18" s="1"/>
    </row>
    <row r="19" ht="22" customHeight="1">
      <c r="A19" s="1"/>
      <c r="B19" s="1"/>
      <c r="C19" s="1"/>
      <c r="D19" s="1"/>
      <c r="E19" s="39"/>
      <c r="F19" s="39"/>
      <c r="G19" s="39"/>
      <c r="H19" s="1"/>
      <c r="I19" s="1"/>
      <c r="J19" s="1"/>
      <c r="K19" s="1"/>
      <c r="L19" s="1"/>
      <c r="M19" s="1"/>
      <c r="N19" s="1"/>
      <c r="O19" s="1"/>
      <c r="P19" s="1"/>
      <c r="Q19" s="1"/>
      <c r="R19" s="1"/>
      <c r="S19" s="1"/>
      <c r="T19" s="1"/>
      <c r="U19" s="1"/>
      <c r="V19" s="1"/>
      <c r="W19" s="1"/>
      <c r="X19" s="1"/>
      <c r="Y19" s="1"/>
      <c r="Z19" s="1"/>
      <c r="AA19" s="1"/>
      <c r="AB19" s="1"/>
      <c r="AC19" s="1"/>
      <c r="AD19" s="1"/>
      <c r="AE19" s="1"/>
    </row>
    <row r="20" ht="22" customHeight="1">
      <c r="A20" s="1"/>
      <c r="B20" s="1"/>
      <c r="C20" s="1" t="str">
        <v>Lening: vervalt binnen 12 maanden</v>
      </c>
      <c r="D20" s="1"/>
      <c r="E20" s="39" t="n">
        <f>MIN(IF(AND(ISNUMBER('Aannames'!E46),'Aannames'!E46&gt;=0),'Aannames'!E46,NA()),IF(AND(ISNUMBER('Aannames'!$E$46),'Aannames'!$E$46&gt;=0),'Aannames'!$E$46,NA())/IF(AND(ISNUMBER('Aannames'!$E$47),'Aannames'!$E$47&gt;=1,MOD('Aannames'!$E$47,1)=0),'Aannames'!$E$47,NA())*12)</f>
        <v>3333.333333333333</v>
      </c>
      <c r="F20" s="39" t="n">
        <f>MIN('Prognose'!S23,IF(AND(ISNUMBER('Aannames'!$E$46),'Aannames'!$E$46&gt;=0),'Aannames'!$E$46,NA())/IF(AND(ISNUMBER('Aannames'!$E$47),'Aannames'!$E$47&gt;=1,MOD('Aannames'!$E$47,1)=0),'Aannames'!$E$47,NA())*12)</f>
        <v>3333.333333333333</v>
      </c>
      <c r="G20" s="39" t="n">
        <f>MIN('Prognose'!AE23,IF(AND(ISNUMBER('Aannames'!$E$46),'Aannames'!$E$46&gt;=0),'Aannames'!$E$46,NA())/IF(AND(ISNUMBER('Aannames'!$E$47),'Aannames'!$E$47&gt;=1,MOD('Aannames'!$E$47,1)=0),'Aannames'!$E$47,NA())*12)</f>
        <v>3333.333333333333</v>
      </c>
      <c r="H20" s="1"/>
      <c r="I20" s="1"/>
      <c r="J20" s="1"/>
      <c r="K20" s="1"/>
      <c r="L20" s="1"/>
      <c r="M20" s="1"/>
      <c r="N20" s="1"/>
      <c r="O20" s="1"/>
      <c r="P20" s="1"/>
      <c r="Q20" s="1"/>
      <c r="R20" s="1"/>
      <c r="S20" s="1"/>
      <c r="T20" s="1"/>
      <c r="U20" s="1"/>
      <c r="V20" s="1"/>
      <c r="W20" s="1"/>
      <c r="X20" s="1"/>
      <c r="Y20" s="1"/>
      <c r="Z20" s="1"/>
      <c r="AA20" s="1"/>
      <c r="AB20" s="1"/>
      <c r="AC20" s="1"/>
      <c r="AD20" s="1"/>
      <c r="AE20" s="1"/>
    </row>
    <row r="21" ht="22" customHeight="1">
      <c r="A21" s="1"/>
      <c r="B21" s="1"/>
      <c r="C21" s="1" t="str">
        <v>Lening: na 12 maanden</v>
      </c>
      <c r="D21" s="1"/>
      <c r="E21" s="39" t="n">
        <f>IF(AND(ISNUMBER('Aannames'!E46),'Aannames'!E46&gt;=0),'Aannames'!E46,NA())-E20</f>
        <v>6666.666666666667</v>
      </c>
      <c r="F21" s="39" t="n">
        <f>'Prognose'!S23-F20</f>
        <v>3333.3333333333385</v>
      </c>
      <c r="G21" s="39" t="n">
        <f>'Prognose'!AE23-G20</f>
        <v>8.640199666842818e-12</v>
      </c>
      <c r="H21" s="1"/>
      <c r="I21" s="1"/>
      <c r="J21" s="1"/>
      <c r="K21" s="1"/>
      <c r="L21" s="1"/>
      <c r="M21" s="1"/>
      <c r="N21" s="1"/>
      <c r="O21" s="1"/>
      <c r="P21" s="1"/>
      <c r="Q21" s="1"/>
      <c r="R21" s="1"/>
      <c r="S21" s="1"/>
      <c r="T21" s="1"/>
      <c r="U21" s="1"/>
      <c r="V21" s="1"/>
      <c r="W21" s="1"/>
      <c r="X21" s="1"/>
      <c r="Y21" s="1"/>
      <c r="Z21" s="1"/>
      <c r="AA21" s="1"/>
      <c r="AB21" s="1"/>
      <c r="AC21" s="1"/>
      <c r="AD21" s="1"/>
      <c r="AE21" s="1"/>
    </row>
    <row r="22" ht="22" customHeight="1">
      <c r="A22" s="1"/>
      <c r="B22" s="1"/>
      <c r="C22" s="1" t="str">
        <v>Btw-schuld</v>
      </c>
      <c r="D22" s="1"/>
      <c r="E22" s="39" t="n">
        <f>0</f>
        <v>0</v>
      </c>
      <c r="F22" s="39" t="n">
        <f>MAX(0,'Prognose'!S40)</f>
        <v>4066.0200000000004</v>
      </c>
      <c r="G22" s="39" t="n">
        <f>MAX(0,'Prognose'!AE40)</f>
        <v>4943.61</v>
      </c>
      <c r="H22" s="1"/>
      <c r="I22" s="1"/>
      <c r="J22" s="1"/>
      <c r="K22" s="1"/>
      <c r="L22" s="1"/>
      <c r="M22" s="1"/>
      <c r="N22" s="1"/>
      <c r="O22" s="1"/>
      <c r="P22" s="1"/>
      <c r="Q22" s="1"/>
      <c r="R22" s="1"/>
      <c r="S22" s="1"/>
      <c r="T22" s="1"/>
      <c r="U22" s="1"/>
      <c r="V22" s="1"/>
      <c r="W22" s="1"/>
      <c r="X22" s="1"/>
      <c r="Y22" s="1"/>
      <c r="Z22" s="1"/>
      <c r="AA22" s="1"/>
      <c r="AB22" s="1"/>
      <c r="AC22" s="1"/>
      <c r="AD22" s="1"/>
      <c r="AE22" s="1"/>
    </row>
    <row r="23" ht="22" customHeight="1">
      <c r="A23" s="1"/>
      <c r="B23" s="1"/>
      <c r="C23" s="1" t="str">
        <v>Belastingreserve</v>
      </c>
      <c r="D23" s="1"/>
      <c r="E23" s="39" t="n">
        <f>0</f>
        <v>0</v>
      </c>
      <c r="F23" s="39" t="n">
        <f>'Prognose'!S44</f>
        <v>0</v>
      </c>
      <c r="G23" s="39" t="n">
        <f>'Prognose'!AE44</f>
        <v>0</v>
      </c>
      <c r="H23" s="1"/>
      <c r="I23" s="1"/>
      <c r="J23" s="1"/>
      <c r="K23" s="1"/>
      <c r="L23" s="1"/>
      <c r="M23" s="1"/>
      <c r="N23" s="1"/>
      <c r="O23" s="1"/>
      <c r="P23" s="1"/>
      <c r="Q23" s="1"/>
      <c r="R23" s="1"/>
      <c r="S23" s="1"/>
      <c r="T23" s="1"/>
      <c r="U23" s="1"/>
      <c r="V23" s="1"/>
      <c r="W23" s="1"/>
      <c r="X23" s="1"/>
      <c r="Y23" s="1"/>
      <c r="Z23" s="1"/>
      <c r="AA23" s="1"/>
      <c r="AB23" s="1"/>
      <c r="AC23" s="1"/>
      <c r="AD23" s="1"/>
      <c r="AE23" s="1"/>
    </row>
    <row r="24" ht="25" customHeight="1">
      <c r="A24" s="1"/>
      <c r="B24" s="1"/>
      <c r="C24" s="17" t="str">
        <v>Totaal eigen vermogen en schulden</v>
      </c>
      <c r="D24" s="17"/>
      <c r="E24" s="42" t="n">
        <f>E18+SUM(E20:E23)</f>
        <v>25000</v>
      </c>
      <c r="F24" s="42" t="n">
        <f>F18+SUM(F20:F23)</f>
        <v>49405.97833333333</v>
      </c>
      <c r="G24" s="42" t="n">
        <f>G18+SUM(G20:G23)</f>
        <v>82127.52666666667</v>
      </c>
      <c r="H24" s="1"/>
      <c r="I24" s="1"/>
      <c r="J24" s="1"/>
      <c r="K24" s="1"/>
      <c r="L24" s="1"/>
      <c r="M24" s="1"/>
      <c r="N24" s="1"/>
      <c r="O24" s="1"/>
      <c r="P24" s="1"/>
      <c r="Q24" s="1"/>
      <c r="R24" s="1"/>
      <c r="S24" s="1"/>
      <c r="T24" s="1"/>
      <c r="U24" s="1"/>
      <c r="V24" s="1"/>
      <c r="W24" s="1"/>
      <c r="X24" s="1"/>
      <c r="Y24" s="1"/>
      <c r="Z24" s="1"/>
      <c r="AA24" s="1"/>
      <c r="AB24" s="1"/>
      <c r="AC24" s="1"/>
      <c r="AD24" s="1"/>
      <c r="AE24" s="1"/>
    </row>
    <row r="25" ht="22" customHeight="1">
      <c r="A25" s="1"/>
      <c r="B25" s="1"/>
      <c r="C25" s="1"/>
      <c r="D25" s="1"/>
      <c r="E25" s="39"/>
      <c r="F25" s="39"/>
      <c r="G25" s="39"/>
      <c r="H25" s="1"/>
      <c r="I25" s="1"/>
      <c r="J25" s="1"/>
      <c r="K25" s="1"/>
      <c r="L25" s="1"/>
      <c r="M25" s="1"/>
      <c r="N25" s="1"/>
      <c r="O25" s="1"/>
      <c r="P25" s="1"/>
      <c r="Q25" s="1"/>
      <c r="R25" s="1"/>
      <c r="S25" s="1"/>
      <c r="T25" s="1"/>
      <c r="U25" s="1"/>
      <c r="V25" s="1"/>
      <c r="W25" s="1"/>
      <c r="X25" s="1"/>
      <c r="Y25" s="1"/>
      <c r="Z25" s="1"/>
      <c r="AA25" s="1"/>
      <c r="AB25" s="1"/>
      <c r="AC25" s="1"/>
      <c r="AD25" s="1"/>
      <c r="AE25" s="1"/>
    </row>
    <row r="26" ht="22" customHeight="1">
      <c r="A26" s="1"/>
      <c r="B26" s="1"/>
      <c r="C26" s="1" t="str">
        <v>Verschil activa / passiva</v>
      </c>
      <c r="D26" s="1"/>
      <c r="E26" s="39" t="n">
        <f>E13-E24</f>
        <v>0</v>
      </c>
      <c r="F26" s="39" t="n">
        <f>F13-F24</f>
        <v>0</v>
      </c>
      <c r="G26" s="39" t="n">
        <f>G13-G24</f>
        <v>0</v>
      </c>
      <c r="H26" s="1"/>
      <c r="I26" s="1"/>
      <c r="J26" s="1"/>
      <c r="K26" s="1"/>
      <c r="L26" s="1"/>
      <c r="M26" s="1"/>
      <c r="N26" s="1"/>
      <c r="O26" s="1"/>
      <c r="P26" s="1"/>
      <c r="Q26" s="1"/>
      <c r="R26" s="1"/>
      <c r="S26" s="1"/>
      <c r="T26" s="1"/>
      <c r="U26" s="1"/>
      <c r="V26" s="1"/>
      <c r="W26" s="1"/>
      <c r="X26" s="1"/>
      <c r="Y26" s="1"/>
      <c r="Z26" s="1"/>
      <c r="AA26" s="1"/>
      <c r="AB26" s="1"/>
      <c r="AC26" s="1"/>
      <c r="AD26" s="1"/>
      <c r="AE26" s="1"/>
    </row>
    <row r="27" ht="22"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row>
    <row r="28" ht="22"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row>
    <row r="29" ht="22" customHeight="1">
      <c r="A29" s="1"/>
      <c r="B29" s="1"/>
      <c r="C29" s="12" t="str">
        <v>Vereenvoudigde managementbalans; omzetten naar het passende wettelijke schema voor de notaris.</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row>
    <row r="30" ht="22"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row>
    <row r="31" ht="22"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row>
    <row r="32" ht="22" customHeight="1">
      <c r="A32" s="1"/>
      <c r="B32" s="1"/>
      <c r="C32" s="12" t="str">
        <v>De lening is fictief toegezegd. Een negatief kassaldo toont een ontbrekende financiering, geen automatisch bankkrediet.</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row>
    <row r="33" ht="22"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row>
    <row r="34" ht="22"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row>
    <row r="35" ht="22"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row>
    <row r="36" ht="22"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row>
    <row r="37" ht="22"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row>
    <row r="38" ht="22"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row>
    <row r="39" ht="22"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row>
    <row r="40" ht="22"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row>
    <row r="41" ht="22"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row>
    <row r="42" ht="22"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row>
    <row r="43" ht="22"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row>
    <row r="44" ht="22"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row>
    <row r="45" ht="22"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row>
    <row r="46" ht="22"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row>
    <row r="47" ht="22"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row>
    <row r="48" ht="22"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row>
    <row r="49" ht="22"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row>
    <row r="50" ht="22"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ht="22"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ht="22"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ht="22"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ht="22"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ht="22"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sheetData>
  <sheetProtection sheet="1" objects="1" scenarios="1" selectLockedCells="0" selectUnlockedCells="0"/>
  <mergeCells>
    <mergeCell ref="C29:J30"/>
    <mergeCell ref="C32:J33"/>
  </mergeCells>
  <pageMargins left="0.7" right="0.7" top="0.75" bottom="0.75" header="0.3" footer="0.3"/>
</worksheet>
</file>

<file path=xl/worksheets/sheet5.xml><?xml version="1.0" encoding="utf-8"?>
<worksheet xmlns="http://schemas.openxmlformats.org/spreadsheetml/2006/main">
  <sheetViews>
    <sheetView showGridLines="0" workbookViewId="0"/>
  </sheetViews>
  <sheetFormatPr defaultRowHeight="15"/>
  <cols>
    <col min="1" max="1" width="2" hidden="0" customWidth="1"/>
    <col min="2" max="2" width="2" hidden="0" customWidth="1"/>
    <col min="3" max="3" width="35" hidden="0" customWidth="1"/>
    <col min="4" max="4" width="4" hidden="0" customWidth="1"/>
    <col min="5" max="5" width="16" hidden="0" customWidth="1"/>
    <col min="6" max="6" width="55" hidden="0" customWidth="1"/>
    <col min="7" max="7" width="3" hidden="0" customWidth="1"/>
    <col min="8" max="8" width="15" hidden="0" customWidth="1"/>
    <col min="9" max="9" width="15" hidden="0" customWidth="1"/>
    <col min="10" max="10" width="15" hidden="0" customWidth="1"/>
    <col min="11" max="11" width="15" hidden="0" customWidth="1"/>
    <col min="12" max="12" width="15" hidden="0" customWidth="1"/>
    <col min="13" max="13" width="15" hidden="0" customWidth="1"/>
    <col min="14" max="14" width="15" hidden="0" customWidth="1"/>
    <col min="15" max="15" width="15" hidden="0" customWidth="1"/>
    <col min="16" max="16" width="15" hidden="0" customWidth="1"/>
    <col min="17" max="17" width="15" hidden="0" customWidth="1"/>
    <col min="18" max="18" width="15" hidden="0" customWidth="1"/>
    <col min="19" max="19" width="15" hidden="0" customWidth="1"/>
    <col min="20" max="20" width="15" hidden="0" customWidth="1"/>
    <col min="21" max="21" width="15" hidden="0" customWidth="1"/>
    <col min="22" max="22" width="15" hidden="0" customWidth="1"/>
    <col min="23" max="23" width="15" hidden="0" customWidth="1"/>
    <col min="24" max="24" width="15" hidden="0" customWidth="1"/>
    <col min="25" max="25" width="15" hidden="0" customWidth="1"/>
    <col min="26" max="26" width="15" hidden="0" customWidth="1"/>
    <col min="27" max="27" width="15" hidden="0" customWidth="1"/>
    <col min="28" max="28" width="15" hidden="0" customWidth="1"/>
    <col min="29" max="29" width="15" hidden="0" customWidth="1"/>
    <col min="30" max="30" width="15" hidden="0" customWidth="1"/>
    <col min="31" max="31" width="15" hidden="0" customWidth="1"/>
  </cols>
  <sheetData>
    <row r="1" ht="22"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ht="28" customHeight="1">
      <c r="A2" s="1"/>
      <c r="B2" s="1"/>
      <c r="C2" s="2" t="str">
        <v>Aansluitcontroles</v>
      </c>
      <c r="D2" s="2"/>
      <c r="E2" s="2"/>
      <c r="F2" s="2"/>
      <c r="G2" s="2"/>
      <c r="H2" s="2"/>
      <c r="I2" s="2"/>
      <c r="J2" s="2"/>
      <c r="K2" s="2"/>
      <c r="L2" s="2"/>
      <c r="M2" s="2"/>
      <c r="N2" s="1"/>
      <c r="O2" s="1"/>
      <c r="P2" s="1"/>
      <c r="Q2" s="1"/>
      <c r="R2" s="1"/>
      <c r="S2" s="1"/>
      <c r="T2" s="1"/>
      <c r="U2" s="1"/>
      <c r="V2" s="1"/>
      <c r="W2" s="1"/>
      <c r="X2" s="1"/>
      <c r="Y2" s="1"/>
      <c r="Z2" s="1"/>
      <c r="AA2" s="1"/>
      <c r="AB2" s="1"/>
      <c r="AC2" s="1"/>
      <c r="AD2" s="1"/>
      <c r="AE2" s="1"/>
    </row>
    <row r="3" ht="22" customHeight="1">
      <c r="A3" s="1"/>
      <c r="B3" s="1"/>
      <c r="C3" s="3"/>
      <c r="D3" s="3"/>
      <c r="E3" s="3"/>
      <c r="F3" s="3"/>
      <c r="G3" s="3"/>
      <c r="H3" s="3"/>
      <c r="I3" s="3"/>
      <c r="J3" s="3"/>
      <c r="K3" s="3"/>
      <c r="L3" s="3"/>
      <c r="M3" s="3"/>
      <c r="N3" s="1"/>
      <c r="O3" s="1"/>
      <c r="P3" s="1"/>
      <c r="Q3" s="1"/>
      <c r="R3" s="1"/>
      <c r="S3" s="1"/>
      <c r="T3" s="1"/>
      <c r="U3" s="1"/>
      <c r="V3" s="1"/>
      <c r="W3" s="1"/>
      <c r="X3" s="1"/>
      <c r="Y3" s="1"/>
      <c r="Z3" s="1"/>
      <c r="AA3" s="1"/>
      <c r="AB3" s="1"/>
      <c r="AC3" s="1"/>
      <c r="AD3" s="1"/>
      <c r="AE3" s="1"/>
    </row>
    <row r="4" ht="22" customHeight="1">
      <c r="A4" s="1"/>
      <c r="B4" s="1"/>
      <c r="C4" s="1" t="str">
        <v>Actief scenario</v>
      </c>
      <c r="D4" s="1"/>
      <c r="E4" s="5" t="str">
        <f>'Aannames'!E4</f>
        <v>Basis</v>
      </c>
      <c r="F4" s="6"/>
      <c r="G4" s="1"/>
      <c r="H4" s="1"/>
      <c r="I4" s="1"/>
      <c r="J4" s="1"/>
      <c r="K4" s="1"/>
      <c r="L4" s="1"/>
      <c r="M4" s="1"/>
      <c r="N4" s="1"/>
      <c r="O4" s="1"/>
      <c r="P4" s="1"/>
      <c r="Q4" s="1"/>
      <c r="R4" s="1"/>
      <c r="S4" s="1"/>
      <c r="T4" s="1"/>
      <c r="U4" s="1"/>
      <c r="V4" s="1"/>
      <c r="W4" s="1"/>
      <c r="X4" s="1"/>
      <c r="Y4" s="1"/>
      <c r="Z4" s="1"/>
      <c r="AA4" s="1"/>
      <c r="AB4" s="1"/>
      <c r="AC4" s="1"/>
      <c r="AD4" s="1"/>
      <c r="AE4" s="1"/>
    </row>
    <row r="5" ht="22"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ht="30" customHeight="1">
      <c r="A6" s="1"/>
      <c r="B6" s="1"/>
      <c r="C6" s="10" t="str">
        <v>Controle</v>
      </c>
      <c r="D6" s="10" t="str"/>
      <c r="E6" s="45" t="str">
        <v>Verschil / aantal</v>
      </c>
      <c r="F6" s="10" t="str">
        <v>Toelichting</v>
      </c>
      <c r="G6" s="1"/>
      <c r="H6" s="1"/>
      <c r="I6" s="1"/>
      <c r="J6" s="1"/>
      <c r="K6" s="1"/>
      <c r="L6" s="1"/>
      <c r="M6" s="1"/>
      <c r="N6" s="1"/>
      <c r="O6" s="1"/>
      <c r="P6" s="1"/>
      <c r="Q6" s="1"/>
      <c r="R6" s="1"/>
      <c r="S6" s="1"/>
      <c r="T6" s="1"/>
      <c r="U6" s="1"/>
      <c r="V6" s="1"/>
      <c r="W6" s="1"/>
      <c r="X6" s="1"/>
      <c r="Y6" s="1"/>
      <c r="Z6" s="1"/>
      <c r="AA6" s="1"/>
      <c r="AB6" s="1"/>
      <c r="AC6" s="1"/>
      <c r="AD6" s="1"/>
      <c r="AE6" s="1"/>
    </row>
    <row r="7" ht="22" customHeigh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row>
    <row r="8" ht="22" customHeight="1">
      <c r="A8" s="1"/>
      <c r="B8" s="1"/>
      <c r="C8" s="1" t="str">
        <v>Balans bij start</v>
      </c>
      <c r="D8" s="1"/>
      <c r="E8" s="27" t="n">
        <f>'Balans'!E26</f>
        <v>0</v>
      </c>
      <c r="F8" s="1" t="str">
        <v>  Activa minus eigen vermogen en schulden.</v>
      </c>
      <c r="G8" s="1"/>
      <c r="H8" s="1"/>
      <c r="I8" s="1"/>
      <c r="J8" s="1"/>
      <c r="K8" s="1"/>
      <c r="L8" s="1"/>
      <c r="M8" s="1"/>
      <c r="N8" s="1"/>
      <c r="O8" s="1"/>
      <c r="P8" s="1"/>
      <c r="Q8" s="1"/>
      <c r="R8" s="1"/>
      <c r="S8" s="1"/>
      <c r="T8" s="1"/>
      <c r="U8" s="1"/>
      <c r="V8" s="1"/>
      <c r="W8" s="1"/>
      <c r="X8" s="1"/>
      <c r="Y8" s="1"/>
      <c r="Z8" s="1"/>
      <c r="AA8" s="1"/>
      <c r="AB8" s="1"/>
      <c r="AC8" s="1"/>
      <c r="AD8" s="1"/>
      <c r="AE8" s="1"/>
    </row>
    <row r="9" ht="22" customHeight="1">
      <c r="A9" s="1"/>
      <c r="B9" s="1"/>
      <c r="C9" s="1" t="str">
        <v>Balans na 12 maanden</v>
      </c>
      <c r="D9" s="1"/>
      <c r="E9" s="27" t="n">
        <f>'Balans'!F26</f>
        <v>0</v>
      </c>
      <c r="F9" s="1" t="str">
        <v>  Activa minus eigen vermogen en schulden.</v>
      </c>
      <c r="G9" s="1"/>
      <c r="H9" s="1"/>
      <c r="I9" s="1"/>
      <c r="J9" s="1"/>
      <c r="K9" s="1"/>
      <c r="L9" s="1"/>
      <c r="M9" s="1"/>
      <c r="N9" s="1"/>
      <c r="O9" s="1"/>
      <c r="P9" s="1"/>
      <c r="Q9" s="1"/>
      <c r="R9" s="1"/>
      <c r="S9" s="1"/>
      <c r="T9" s="1"/>
      <c r="U9" s="1"/>
      <c r="V9" s="1"/>
      <c r="W9" s="1"/>
      <c r="X9" s="1"/>
      <c r="Y9" s="1"/>
      <c r="Z9" s="1"/>
      <c r="AA9" s="1"/>
      <c r="AB9" s="1"/>
      <c r="AC9" s="1"/>
      <c r="AD9" s="1"/>
      <c r="AE9" s="1"/>
    </row>
    <row r="10" ht="22" customHeight="1">
      <c r="A10" s="1"/>
      <c r="B10" s="1"/>
      <c r="C10" s="1" t="str">
        <v>Balans na 24 maanden</v>
      </c>
      <c r="D10" s="1"/>
      <c r="E10" s="27" t="n">
        <f>'Balans'!G26</f>
        <v>0</v>
      </c>
      <c r="F10" s="1" t="str">
        <v>  Activa minus eigen vermogen en schulden.</v>
      </c>
      <c r="G10" s="1"/>
      <c r="H10" s="1"/>
      <c r="I10" s="1"/>
      <c r="J10" s="1"/>
      <c r="K10" s="1"/>
      <c r="L10" s="1"/>
      <c r="M10" s="1"/>
      <c r="N10" s="1"/>
      <c r="O10" s="1"/>
      <c r="P10" s="1"/>
      <c r="Q10" s="1"/>
      <c r="R10" s="1"/>
      <c r="S10" s="1"/>
      <c r="T10" s="1"/>
      <c r="U10" s="1"/>
      <c r="V10" s="1"/>
      <c r="W10" s="1"/>
      <c r="X10" s="1"/>
      <c r="Y10" s="1"/>
      <c r="Z10" s="1"/>
      <c r="AA10" s="1"/>
      <c r="AB10" s="1"/>
      <c r="AC10" s="1"/>
      <c r="AD10" s="1"/>
      <c r="AE10" s="1"/>
    </row>
    <row r="11" ht="22" customHeight="1">
      <c r="A11" s="1"/>
      <c r="B11" s="1"/>
      <c r="C11" s="1"/>
      <c r="D11" s="1"/>
      <c r="E11" s="27"/>
      <c r="F11" s="1"/>
      <c r="G11" s="1"/>
      <c r="H11" s="1"/>
      <c r="I11" s="1"/>
      <c r="J11" s="1"/>
      <c r="K11" s="1"/>
      <c r="L11" s="1"/>
      <c r="M11" s="1"/>
      <c r="N11" s="1"/>
      <c r="O11" s="1"/>
      <c r="P11" s="1"/>
      <c r="Q11" s="1"/>
      <c r="R11" s="1"/>
      <c r="S11" s="1"/>
      <c r="T11" s="1"/>
      <c r="U11" s="1"/>
      <c r="V11" s="1"/>
      <c r="W11" s="1"/>
      <c r="X11" s="1"/>
      <c r="Y11" s="1"/>
      <c r="Z11" s="1"/>
      <c r="AA11" s="1"/>
      <c r="AB11" s="1"/>
      <c r="AC11" s="1"/>
      <c r="AD11" s="1"/>
      <c r="AE11" s="1"/>
    </row>
    <row r="12" ht="22" customHeight="1">
      <c r="A12" s="1"/>
      <c r="B12" s="1"/>
      <c r="C12" s="1" t="str">
        <v>Maanden met balansverschil</v>
      </c>
      <c r="D12" s="1"/>
      <c r="E12" s="27" t="n">
        <f>COUNTIFS('Prognose'!H63:AE63,"&gt;0.01")+COUNTIFS('Prognose'!H63:AE63,"&lt;-0.01")</f>
        <v>0</v>
      </c>
      <c r="F12" s="1" t="str">
        <v>  Alle 24 maanden, tolerantie 0,01 euro.</v>
      </c>
      <c r="G12" s="1"/>
      <c r="H12" s="1"/>
      <c r="I12" s="1"/>
      <c r="J12" s="1"/>
      <c r="K12" s="1"/>
      <c r="L12" s="1"/>
      <c r="M12" s="1"/>
      <c r="N12" s="1"/>
      <c r="O12" s="1"/>
      <c r="P12" s="1"/>
      <c r="Q12" s="1"/>
      <c r="R12" s="1"/>
      <c r="S12" s="1"/>
      <c r="T12" s="1"/>
      <c r="U12" s="1"/>
      <c r="V12" s="1"/>
      <c r="W12" s="1"/>
      <c r="X12" s="1"/>
      <c r="Y12" s="1"/>
      <c r="Z12" s="1"/>
      <c r="AA12" s="1"/>
      <c r="AB12" s="1"/>
      <c r="AC12" s="1"/>
      <c r="AD12" s="1"/>
      <c r="AE12" s="1"/>
    </row>
    <row r="13" ht="22" customHeight="1">
      <c r="A13" s="1"/>
      <c r="B13" s="1"/>
      <c r="C13" s="1" t="str">
        <v>Maanden met cashflowverschil</v>
      </c>
      <c r="D13" s="1"/>
      <c r="E13" s="27" t="n">
        <f>COUNTIFS('Prognose'!H65:AE65,"&gt;0.01")+COUNTIFS('Prognose'!H65:AE65,"&lt;-0.01")</f>
        <v>0</v>
      </c>
      <c r="F13" s="1" t="str">
        <v>  Directe kasstroom versus brug vanuit resultaat.</v>
      </c>
      <c r="G13" s="1"/>
      <c r="H13" s="1"/>
      <c r="I13" s="1"/>
      <c r="J13" s="1"/>
      <c r="K13" s="1"/>
      <c r="L13" s="1"/>
      <c r="M13" s="1"/>
      <c r="N13" s="1"/>
      <c r="O13" s="1"/>
      <c r="P13" s="1"/>
      <c r="Q13" s="1"/>
      <c r="R13" s="1"/>
      <c r="S13" s="1"/>
      <c r="T13" s="1"/>
      <c r="U13" s="1"/>
      <c r="V13" s="1"/>
      <c r="W13" s="1"/>
      <c r="X13" s="1"/>
      <c r="Y13" s="1"/>
      <c r="Z13" s="1"/>
      <c r="AA13" s="1"/>
      <c r="AB13" s="1"/>
      <c r="AC13" s="1"/>
      <c r="AD13" s="1"/>
      <c r="AE13" s="1"/>
    </row>
    <row r="14" ht="22" customHeight="1">
      <c r="A14" s="1"/>
      <c r="B14" s="1"/>
      <c r="C14" s="1"/>
      <c r="D14" s="1"/>
      <c r="E14" s="27"/>
      <c r="F14" s="1"/>
      <c r="G14" s="1"/>
      <c r="H14" s="1"/>
      <c r="I14" s="1"/>
      <c r="J14" s="1"/>
      <c r="K14" s="1"/>
      <c r="L14" s="1"/>
      <c r="M14" s="1"/>
      <c r="N14" s="1"/>
      <c r="O14" s="1"/>
      <c r="P14" s="1"/>
      <c r="Q14" s="1"/>
      <c r="R14" s="1"/>
      <c r="S14" s="1"/>
      <c r="T14" s="1"/>
      <c r="U14" s="1"/>
      <c r="V14" s="1"/>
      <c r="W14" s="1"/>
      <c r="X14" s="1"/>
      <c r="Y14" s="1"/>
      <c r="Z14" s="1"/>
      <c r="AA14" s="1"/>
      <c r="AB14" s="1"/>
      <c r="AC14" s="1"/>
      <c r="AD14" s="1"/>
      <c r="AE14" s="1"/>
    </row>
    <row r="15" ht="22" customHeight="1">
      <c r="A15" s="1"/>
      <c r="B15" s="1"/>
      <c r="C15" s="1" t="str">
        <v>Omzet jaar 1</v>
      </c>
      <c r="D15" s="1"/>
      <c r="E15" s="27" t="n">
        <f>'Prognose'!E11-'Aannames'!E10*'Aannames'!E15*12</f>
        <v>0</v>
      </c>
      <c r="F15" s="1" t="str">
        <v>  Maandomzet tegenover dagen maal tarief maal 12.</v>
      </c>
      <c r="G15" s="1"/>
      <c r="H15" s="1"/>
      <c r="I15" s="1"/>
      <c r="J15" s="1"/>
      <c r="K15" s="1"/>
      <c r="L15" s="1"/>
      <c r="M15" s="1"/>
      <c r="N15" s="1"/>
      <c r="O15" s="1"/>
      <c r="P15" s="1"/>
      <c r="Q15" s="1"/>
      <c r="R15" s="1"/>
      <c r="S15" s="1"/>
      <c r="T15" s="1"/>
      <c r="U15" s="1"/>
      <c r="V15" s="1"/>
      <c r="W15" s="1"/>
      <c r="X15" s="1"/>
      <c r="Y15" s="1"/>
      <c r="Z15" s="1"/>
      <c r="AA15" s="1"/>
      <c r="AB15" s="1"/>
      <c r="AC15" s="1"/>
      <c r="AD15" s="1"/>
      <c r="AE15" s="1"/>
    </row>
    <row r="16" ht="22" customHeight="1">
      <c r="A16" s="1"/>
      <c r="B16" s="1"/>
      <c r="C16" s="1" t="str">
        <v>Omzet jaar 2</v>
      </c>
      <c r="D16" s="1"/>
      <c r="E16" s="27" t="n">
        <f>'Prognose'!F11-'Aannames'!F10*'Aannames'!F15*12</f>
        <v>0</v>
      </c>
      <c r="F16" s="1" t="str">
        <v>  Maandomzet tegenover dagen maal tarief maal 12.</v>
      </c>
      <c r="G16" s="1"/>
      <c r="H16" s="1"/>
      <c r="I16" s="1"/>
      <c r="J16" s="1"/>
      <c r="K16" s="1"/>
      <c r="L16" s="1"/>
      <c r="M16" s="1"/>
      <c r="N16" s="1"/>
      <c r="O16" s="1"/>
      <c r="P16" s="1"/>
      <c r="Q16" s="1"/>
      <c r="R16" s="1"/>
      <c r="S16" s="1"/>
      <c r="T16" s="1"/>
      <c r="U16" s="1"/>
      <c r="V16" s="1"/>
      <c r="W16" s="1"/>
      <c r="X16" s="1"/>
      <c r="Y16" s="1"/>
      <c r="Z16" s="1"/>
      <c r="AA16" s="1"/>
      <c r="AB16" s="1"/>
      <c r="AC16" s="1"/>
      <c r="AD16" s="1"/>
      <c r="AE16" s="1"/>
    </row>
    <row r="17" ht="22" customHeight="1">
      <c r="A17" s="1"/>
      <c r="B17" s="1"/>
      <c r="C17" s="1"/>
      <c r="D17" s="1"/>
      <c r="E17" s="27"/>
      <c r="F17" s="1"/>
      <c r="G17" s="1"/>
      <c r="H17" s="1"/>
      <c r="I17" s="1"/>
      <c r="J17" s="1"/>
      <c r="K17" s="1"/>
      <c r="L17" s="1"/>
      <c r="M17" s="1"/>
      <c r="N17" s="1"/>
      <c r="O17" s="1"/>
      <c r="P17" s="1"/>
      <c r="Q17" s="1"/>
      <c r="R17" s="1"/>
      <c r="S17" s="1"/>
      <c r="T17" s="1"/>
      <c r="U17" s="1"/>
      <c r="V17" s="1"/>
      <c r="W17" s="1"/>
      <c r="X17" s="1"/>
      <c r="Y17" s="1"/>
      <c r="Z17" s="1"/>
      <c r="AA17" s="1"/>
      <c r="AB17" s="1"/>
      <c r="AC17" s="1"/>
      <c r="AD17" s="1"/>
      <c r="AE17" s="1"/>
    </row>
    <row r="18" ht="22" customHeight="1">
      <c r="A18" s="1"/>
      <c r="B18" s="1"/>
      <c r="C18" s="1" t="str">
        <v>Lening na 24 maanden</v>
      </c>
      <c r="D18" s="1"/>
      <c r="E18" s="27" t="n">
        <f>'Prognose'!AE23-MAX(0,IF(AND(ISNUMBER('Aannames'!E46),'Aannames'!E46&gt;=0),'Aannames'!E46,NA())-IF(AND(ISNUMBER('Aannames'!E46),'Aannames'!E46&gt;=0),'Aannames'!E46,NA())/IF(AND(ISNUMBER('Aannames'!E47),'Aannames'!E47&gt;=1,MOD('Aannames'!E47,1)=0),'Aannames'!E47,NA())*24)</f>
        <v>7.73070496506989e-12</v>
      </c>
      <c r="F18" s="1" t="str">
        <v>  Startschuld minus overeengekomen kapitaalaflossingen.</v>
      </c>
      <c r="G18" s="1"/>
      <c r="H18" s="1"/>
      <c r="I18" s="1"/>
      <c r="J18" s="1"/>
      <c r="K18" s="1"/>
      <c r="L18" s="1"/>
      <c r="M18" s="1"/>
      <c r="N18" s="1"/>
      <c r="O18" s="1"/>
      <c r="P18" s="1"/>
      <c r="Q18" s="1"/>
      <c r="R18" s="1"/>
      <c r="S18" s="1"/>
      <c r="T18" s="1"/>
      <c r="U18" s="1"/>
      <c r="V18" s="1"/>
      <c r="W18" s="1"/>
      <c r="X18" s="1"/>
      <c r="Y18" s="1"/>
      <c r="Z18" s="1"/>
      <c r="AA18" s="1"/>
      <c r="AB18" s="1"/>
      <c r="AC18" s="1"/>
      <c r="AD18" s="1"/>
      <c r="AE18" s="1"/>
    </row>
    <row r="19" ht="22" customHeight="1">
      <c r="A19" s="1"/>
      <c r="B19" s="1"/>
      <c r="C19" s="1" t="str">
        <v>Kas na 24 maanden</v>
      </c>
      <c r="D19" s="1"/>
      <c r="E19" s="27" t="n">
        <f>'Prognose'!AE57-(IF(AND(ISNUMBER('Aannames'!E45),'Aannames'!E45&gt;=0),'Aannames'!E45,NA())+IF(AND(ISNUMBER('Aannames'!E46),'Aannames'!E46&gt;=0),'Aannames'!E46,NA()))-SUM('Prognose'!H56:AE56)</f>
        <v>-7.275957614183426e-12</v>
      </c>
      <c r="F19" s="1" t="str">
        <v>  Beginkas plus alle netto kasstromen.</v>
      </c>
      <c r="G19" s="1"/>
      <c r="H19" s="1"/>
      <c r="I19" s="1"/>
      <c r="J19" s="1"/>
      <c r="K19" s="1"/>
      <c r="L19" s="1"/>
      <c r="M19" s="1"/>
      <c r="N19" s="1"/>
      <c r="O19" s="1"/>
      <c r="P19" s="1"/>
      <c r="Q19" s="1"/>
      <c r="R19" s="1"/>
      <c r="S19" s="1"/>
      <c r="T19" s="1"/>
      <c r="U19" s="1"/>
      <c r="V19" s="1"/>
      <c r="W19" s="1"/>
      <c r="X19" s="1"/>
      <c r="Y19" s="1"/>
      <c r="Z19" s="1"/>
      <c r="AA19" s="1"/>
      <c r="AB19" s="1"/>
      <c r="AC19" s="1"/>
      <c r="AD19" s="1"/>
      <c r="AE19" s="1"/>
    </row>
    <row r="20" ht="22" customHeight="1">
      <c r="A20" s="1"/>
      <c r="B20" s="1"/>
      <c r="C20" s="1" t="str">
        <v>Resultaat na 24 maanden</v>
      </c>
      <c r="D20" s="1"/>
      <c r="E20" s="27" t="n">
        <f>'Prognose'!AE60-SUM('Prognose'!H26:AE26)</f>
        <v>0</v>
      </c>
      <c r="F20" s="1" t="str">
        <v>  Geen dividenden of andere resultaatbestemmingen.</v>
      </c>
      <c r="G20" s="1"/>
      <c r="H20" s="1"/>
      <c r="I20" s="1"/>
      <c r="J20" s="1"/>
      <c r="K20" s="1"/>
      <c r="L20" s="1"/>
      <c r="M20" s="1"/>
      <c r="N20" s="1"/>
      <c r="O20" s="1"/>
      <c r="P20" s="1"/>
      <c r="Q20" s="1"/>
      <c r="R20" s="1"/>
      <c r="S20" s="1"/>
      <c r="T20" s="1"/>
      <c r="U20" s="1"/>
      <c r="V20" s="1"/>
      <c r="W20" s="1"/>
      <c r="X20" s="1"/>
      <c r="Y20" s="1"/>
      <c r="Z20" s="1"/>
      <c r="AA20" s="1"/>
      <c r="AB20" s="1"/>
      <c r="AC20" s="1"/>
      <c r="AD20" s="1"/>
      <c r="AE20" s="1"/>
    </row>
    <row r="21" ht="22"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row>
    <row r="22" ht="22" customHeight="1">
      <c r="A22" s="1"/>
      <c r="B22" s="1"/>
      <c r="C22" s="1" t="str">
        <v>Vereiste vaste invoer</v>
      </c>
      <c r="D22" s="1"/>
      <c r="E22" s="1" t="str">
        <f>IF(AND(AND(ISNUMBER('Aannames'!E43),'Aannames'!E43&gt;=0),AND(ISNUMBER('Aannames'!E44),'Aannames'!E44&gt;=1,MOD('Aannames'!E44,1)=0),AND(ISNUMBER('Aannames'!E45),'Aannames'!E45&gt;=0),AND(ISNUMBER('Aannames'!E46),'Aannames'!E46&gt;=0),AND(ISNUMBER('Aannames'!E47),'Aannames'!E47&gt;=1,MOD('Aannames'!E47,1)=0),AND(ISNUMBER('Aannames'!E48),'Aannames'!E48&gt;=0,'Aannames'!E48&lt;=1),AND(ISNUMBER('Aannames'!E49),'Aannames'!E49&gt;=0,'Aannames'!E49&lt;=1),AND(ISNUMBER('Aannames'!E50),'Aannames'!E50&gt;=0,'Aannames'!E50&lt;=1),AND(ISNUMBER('Aannames'!E51),'Aannames'!E51&gt;=0,'Aannames'!E51&lt;=1),AND(ISNUMBER('Aannames'!E52),'Aannames'!E52&gt;=0),AND(ISNUMBER('Aannames'!E53),'Aannames'!E53&gt;=0)),"Volledig","Invoer ontbreekt of ongeldig")</f>
        <v>Volledig</v>
      </c>
      <c r="F22" s="1"/>
      <c r="G22" s="1"/>
      <c r="H22" s="1"/>
      <c r="I22" s="1"/>
      <c r="J22" s="1"/>
      <c r="K22" s="1"/>
      <c r="L22" s="1"/>
      <c r="M22" s="1"/>
      <c r="N22" s="1"/>
      <c r="O22" s="1"/>
      <c r="P22" s="1"/>
      <c r="Q22" s="1"/>
      <c r="R22" s="1"/>
      <c r="S22" s="1"/>
      <c r="T22" s="1"/>
      <c r="U22" s="1"/>
      <c r="V22" s="1"/>
      <c r="W22" s="1"/>
      <c r="X22" s="1"/>
      <c r="Y22" s="1"/>
      <c r="Z22" s="1"/>
      <c r="AA22" s="1"/>
      <c r="AB22" s="1"/>
      <c r="AC22" s="1"/>
      <c r="AD22" s="1"/>
      <c r="AE22" s="1"/>
    </row>
    <row r="23" ht="22"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row>
    <row r="24" ht="22" customHeight="1">
      <c r="A24" s="1"/>
      <c r="B24" s="1"/>
      <c r="C24" s="12" t="str">
        <v>Een sluitende balans bewijst geen haalbaarheid. Beoordeel ook de kasbuffer en de onderbouwing van elke aanname.</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row>
    <row r="25" ht="22"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row>
    <row r="26" ht="22"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row>
    <row r="27" ht="22"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row>
    <row r="28" ht="22"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row>
    <row r="29" ht="22"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row>
    <row r="30" ht="22"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row>
    <row r="31" ht="22"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row>
    <row r="32" ht="22"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row>
    <row r="33" ht="22"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row>
    <row r="34" ht="22"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row>
    <row r="35" ht="22"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row>
    <row r="36" ht="22"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row>
    <row r="37" ht="22"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row>
    <row r="38" ht="22"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row>
    <row r="39" ht="22"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row>
    <row r="40" ht="22"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row>
    <row r="41" ht="22"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row>
    <row r="42" ht="22"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row>
    <row r="43" ht="22"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row>
    <row r="44" ht="22"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row>
    <row r="45" ht="22"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row>
    <row r="46" ht="22"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row>
    <row r="47" ht="22"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row>
    <row r="48" ht="22"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row>
    <row r="49" ht="22"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row>
    <row r="50" ht="22"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ht="22"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ht="22"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ht="22"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ht="22"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ht="22"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sheetData>
  <sheetProtection sheet="1" objects="1" scenarios="1" selectLockedCells="0" selectUnlockedCells="0"/>
  <mergeCells>
    <mergeCell ref="E22:H22"/>
    <mergeCell ref="C24:H26"/>
  </mergeCells>
  <conditionalFormatting sqref="E8:E20">
    <cfRule type="expression" dxfId="2" priority="1">
      <formula>ABS(E8)&gt;0.01</formula>
    </cfRule>
  </conditionalFormatting>
  <pageMargins left="0.7" right="0.7" top="0.75" bottom="0.75" header="0.3" footer="0.3"/>
</worksheet>
</file>

<file path=xl/worksheets/sheet6.xml><?xml version="1.0" encoding="utf-8"?>
<worksheet xmlns="http://schemas.openxmlformats.org/spreadsheetml/2006/main">
  <sheetPr>
    <tabColor rgb="FF8797AB"/>
  </sheetPr>
  <sheetViews>
    <sheetView showGridLines="0" workbookViewId="0"/>
  </sheetViews>
  <sheetFormatPr defaultRowHeight="15"/>
  <cols>
    <col min="1" max="1" width="2" hidden="0" customWidth="1"/>
    <col min="2" max="2" width="2" hidden="0" customWidth="1"/>
    <col min="3" max="3" width="35" hidden="0" customWidth="1"/>
    <col min="4" max="4" width="4" hidden="0" customWidth="1"/>
    <col min="5" max="5" width="16" hidden="0" customWidth="1"/>
    <col min="6" max="6" width="16" hidden="0" customWidth="1"/>
    <col min="7" max="7" width="3" hidden="0" customWidth="1"/>
    <col min="8" max="8" width="15" hidden="0" customWidth="1"/>
    <col min="9" max="9" width="15" hidden="0" customWidth="1"/>
    <col min="10" max="10" width="15" hidden="0" customWidth="1"/>
    <col min="11" max="11" width="15" hidden="0" customWidth="1"/>
    <col min="12" max="12" width="15" hidden="0" customWidth="1"/>
    <col min="13" max="13" width="15" hidden="0" customWidth="1"/>
    <col min="14" max="14" width="15" hidden="0" customWidth="1"/>
    <col min="15" max="15" width="15" hidden="0" customWidth="1"/>
    <col min="16" max="16" width="15" hidden="0" customWidth="1"/>
    <col min="17" max="17" width="15" hidden="0" customWidth="1"/>
    <col min="18" max="18" width="15" hidden="0" customWidth="1"/>
    <col min="19" max="19" width="15" hidden="0" customWidth="1"/>
    <col min="20" max="20" width="15" hidden="0" customWidth="1"/>
    <col min="21" max="21" width="15" hidden="0" customWidth="1"/>
    <col min="22" max="22" width="15" hidden="0" customWidth="1"/>
    <col min="23" max="23" width="15" hidden="0" customWidth="1"/>
    <col min="24" max="24" width="15" hidden="0" customWidth="1"/>
    <col min="25" max="25" width="15" hidden="0" customWidth="1"/>
    <col min="26" max="26" width="15" hidden="0" customWidth="1"/>
    <col min="27" max="27" width="15" hidden="0" customWidth="1"/>
    <col min="28" max="28" width="15" hidden="0" customWidth="1"/>
    <col min="29" max="29" width="15" hidden="0" customWidth="1"/>
    <col min="30" max="30" width="15" hidden="0" customWidth="1"/>
    <col min="31" max="31" width="15" hidden="0" customWidth="1"/>
  </cols>
  <sheetData>
    <row r="1" ht="22"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ht="28" customHeight="1">
      <c r="A2" s="1"/>
      <c r="B2" s="1"/>
      <c r="C2" s="2" t="str">
        <v>Zo gebruik je het sjabloon</v>
      </c>
      <c r="D2" s="2"/>
      <c r="E2" s="2"/>
      <c r="F2" s="2"/>
      <c r="G2" s="2"/>
      <c r="H2" s="2"/>
      <c r="I2" s="2"/>
      <c r="J2" s="2"/>
      <c r="K2" s="2"/>
      <c r="L2" s="2"/>
      <c r="M2" s="2"/>
      <c r="N2" s="1"/>
      <c r="O2" s="1"/>
      <c r="P2" s="1"/>
      <c r="Q2" s="1"/>
      <c r="R2" s="1"/>
      <c r="S2" s="1"/>
      <c r="T2" s="1"/>
      <c r="U2" s="1"/>
      <c r="V2" s="1"/>
      <c r="W2" s="1"/>
      <c r="X2" s="1"/>
      <c r="Y2" s="1"/>
      <c r="Z2" s="1"/>
      <c r="AA2" s="1"/>
      <c r="AB2" s="1"/>
      <c r="AC2" s="1"/>
      <c r="AD2" s="1"/>
      <c r="AE2" s="1"/>
    </row>
    <row r="3" ht="22" customHeight="1">
      <c r="A3" s="1"/>
      <c r="B3" s="1"/>
      <c r="C3" s="3"/>
      <c r="D3" s="3"/>
      <c r="E3" s="3"/>
      <c r="F3" s="3"/>
      <c r="G3" s="3"/>
      <c r="H3" s="3"/>
      <c r="I3" s="3"/>
      <c r="J3" s="3"/>
      <c r="K3" s="3"/>
      <c r="L3" s="3"/>
      <c r="M3" s="3"/>
      <c r="N3" s="1"/>
      <c r="O3" s="1"/>
      <c r="P3" s="1"/>
      <c r="Q3" s="1"/>
      <c r="R3" s="1"/>
      <c r="S3" s="1"/>
      <c r="T3" s="1"/>
      <c r="U3" s="1"/>
      <c r="V3" s="1"/>
      <c r="W3" s="1"/>
      <c r="X3" s="1"/>
      <c r="Y3" s="1"/>
      <c r="Z3" s="1"/>
      <c r="AA3" s="1"/>
      <c r="AB3" s="1"/>
      <c r="AC3" s="1"/>
      <c r="AD3" s="1"/>
      <c r="AE3" s="1"/>
    </row>
    <row r="4" ht="22" customHeight="1">
      <c r="A4" s="1"/>
      <c r="B4" s="1"/>
      <c r="C4" s="1" t="str">
        <v>Actief scenario</v>
      </c>
      <c r="D4" s="1"/>
      <c r="E4" s="5" t="str">
        <f>'Aannames'!E4</f>
        <v>Basis</v>
      </c>
      <c r="F4" s="6"/>
      <c r="G4" s="1"/>
      <c r="H4" s="1"/>
      <c r="I4" s="1"/>
      <c r="J4" s="1"/>
      <c r="K4" s="1"/>
      <c r="L4" s="1"/>
      <c r="M4" s="1"/>
      <c r="N4" s="1"/>
      <c r="O4" s="1"/>
      <c r="P4" s="1"/>
      <c r="Q4" s="1"/>
      <c r="R4" s="1"/>
      <c r="S4" s="1"/>
      <c r="T4" s="1"/>
      <c r="U4" s="1"/>
      <c r="V4" s="1"/>
      <c r="W4" s="1"/>
      <c r="X4" s="1"/>
      <c r="Y4" s="1"/>
      <c r="Z4" s="1"/>
      <c r="AA4" s="1"/>
      <c r="AB4" s="1"/>
      <c r="AC4" s="1"/>
      <c r="AD4" s="1"/>
      <c r="AE4" s="1"/>
    </row>
    <row r="5" ht="22"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ht="22" customHeigh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row>
    <row r="7" ht="22" customHeight="1">
      <c r="A7" s="1"/>
      <c r="B7" s="1"/>
      <c r="C7" s="17" t="str">
        <v>1. Begin bij je eigen dossier</v>
      </c>
      <c r="D7" s="17"/>
      <c r="E7" s="17"/>
      <c r="F7" s="17"/>
      <c r="G7" s="17"/>
      <c r="H7" s="17"/>
      <c r="I7" s="17"/>
      <c r="J7" s="17"/>
      <c r="K7" s="17"/>
      <c r="L7" s="17"/>
      <c r="M7" s="1"/>
      <c r="N7" s="1"/>
      <c r="O7" s="1"/>
      <c r="P7" s="1"/>
      <c r="Q7" s="1"/>
      <c r="R7" s="1"/>
      <c r="S7" s="1"/>
      <c r="T7" s="1"/>
      <c r="U7" s="1"/>
      <c r="V7" s="1"/>
      <c r="W7" s="1"/>
      <c r="X7" s="1"/>
      <c r="Y7" s="1"/>
      <c r="Z7" s="1"/>
      <c r="AA7" s="1"/>
      <c r="AB7" s="1"/>
      <c r="AC7" s="1"/>
      <c r="AD7" s="1"/>
      <c r="AE7" s="1"/>
    </row>
    <row r="8" ht="22" customHeight="1">
      <c r="A8" s="1"/>
      <c r="B8" s="1"/>
      <c r="C8" s="12" t="str">
        <v>Dit bestand bevat een volledig fictieve advies-BV. Start op Aannames. Vervang de naam, de startmaand en de blauwe invoercellen door jouw onderbouwde cijfers. Vul elke vaste numerieke aanname in; gebruik 0 als een bedrag niet van toepassing is. Een lege cel geeft een zichtbare fout, geen stilzwijgende nul. Looptijden moeten positieve gehele maanden zijn. Vul ook de tegenvaller en het groeiscenario in.</v>
      </c>
      <c r="D8" s="1"/>
      <c r="E8" s="1"/>
      <c r="F8" s="1"/>
      <c r="G8" s="1"/>
      <c r="H8" s="1"/>
      <c r="I8" s="1"/>
      <c r="J8" s="1"/>
      <c r="K8" s="1"/>
      <c r="L8" s="1"/>
      <c r="M8" s="1"/>
      <c r="N8" s="1"/>
      <c r="O8" s="1"/>
      <c r="P8" s="1"/>
      <c r="Q8" s="1"/>
      <c r="R8" s="1"/>
      <c r="S8" s="1"/>
      <c r="T8" s="1"/>
      <c r="U8" s="1"/>
      <c r="V8" s="1"/>
      <c r="W8" s="1"/>
      <c r="X8" s="1"/>
      <c r="Y8" s="1"/>
      <c r="Z8" s="1"/>
      <c r="AA8" s="1"/>
      <c r="AB8" s="1"/>
      <c r="AC8" s="1"/>
      <c r="AD8" s="1"/>
      <c r="AE8" s="1"/>
    </row>
    <row r="9" ht="22"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row>
    <row r="10" ht="22"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ht="22"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row>
    <row r="12" ht="22" customHeight="1">
      <c r="A12" s="1"/>
      <c r="B12" s="1"/>
      <c r="C12" s="17" t="str">
        <v>2. Wissel scenario in één cel</v>
      </c>
      <c r="D12" s="17"/>
      <c r="E12" s="17"/>
      <c r="F12" s="17"/>
      <c r="G12" s="17"/>
      <c r="H12" s="17"/>
      <c r="I12" s="17"/>
      <c r="J12" s="17"/>
      <c r="K12" s="17"/>
      <c r="L12" s="17"/>
      <c r="M12" s="1"/>
      <c r="N12" s="1"/>
      <c r="O12" s="1"/>
      <c r="P12" s="1"/>
      <c r="Q12" s="1"/>
      <c r="R12" s="1"/>
      <c r="S12" s="1"/>
      <c r="T12" s="1"/>
      <c r="U12" s="1"/>
      <c r="V12" s="1"/>
      <c r="W12" s="1"/>
      <c r="X12" s="1"/>
      <c r="Y12" s="1"/>
      <c r="Z12" s="1"/>
      <c r="AA12" s="1"/>
      <c r="AB12" s="1"/>
      <c r="AC12" s="1"/>
      <c r="AD12" s="1"/>
      <c r="AE12" s="1"/>
    </row>
    <row r="13" ht="22" customHeight="1">
      <c r="A13" s="1"/>
      <c r="B13" s="1"/>
      <c r="C13" s="12" t="str">
        <v>Alleen Aannames!E4 bepaalt het actieve scenario. Overzicht, Prognose, Balans en Controle rekenen met dezelfde selectie. De PDF vergelijkt de drie vaste voorbeeldscenario’s; die PDF verandert niet mee met je Excel.</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ht="22"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ht="22"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row>
    <row r="16" ht="22"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row>
    <row r="17" ht="22" customHeight="1">
      <c r="A17" s="1"/>
      <c r="B17" s="1"/>
      <c r="C17" s="17" t="str">
        <v>3. Bedragen en btw</v>
      </c>
      <c r="D17" s="17"/>
      <c r="E17" s="17"/>
      <c r="F17" s="17"/>
      <c r="G17" s="17"/>
      <c r="H17" s="17"/>
      <c r="I17" s="17"/>
      <c r="J17" s="17"/>
      <c r="K17" s="17"/>
      <c r="L17" s="17"/>
      <c r="M17" s="1"/>
      <c r="N17" s="1"/>
      <c r="O17" s="1"/>
      <c r="P17" s="1"/>
      <c r="Q17" s="1"/>
      <c r="R17" s="1"/>
      <c r="S17" s="1"/>
      <c r="T17" s="1"/>
      <c r="U17" s="1"/>
      <c r="V17" s="1"/>
      <c r="W17" s="1"/>
      <c r="X17" s="1"/>
      <c r="Y17" s="1"/>
      <c r="Z17" s="1"/>
      <c r="AA17" s="1"/>
      <c r="AB17" s="1"/>
      <c r="AC17" s="1"/>
      <c r="AD17" s="1"/>
      <c r="AE17" s="1"/>
    </row>
    <row r="18" ht="22" customHeight="1">
      <c r="A18" s="1"/>
      <c r="B18" s="1"/>
      <c r="C18" s="12" t="str">
        <v>Omzet, investeringen en bedrijfskosten worden exclusief btw ingevoerd. Cashflow en klantenvorderingen bevatten btw. Kies het correcte tarief en het btw-aandeel van vaste kosten. Het model veronderstelt volledige aftrek van berekende voorbelasting. Een btw-vrijgestelde activiteit of gemengde aftrek vereist aanpassing van het model, niet alleen 0% invullen.</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row>
    <row r="19" ht="22"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row>
    <row r="20" ht="22"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row>
    <row r="21" ht="22"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row>
    <row r="22" ht="22" customHeight="1">
      <c r="A22" s="1"/>
      <c r="B22" s="1"/>
      <c r="C22" s="17" t="str">
        <v>4. Financiering is geen omzet</v>
      </c>
      <c r="D22" s="17"/>
      <c r="E22" s="17"/>
      <c r="F22" s="17"/>
      <c r="G22" s="17"/>
      <c r="H22" s="17"/>
      <c r="I22" s="17"/>
      <c r="J22" s="17"/>
      <c r="K22" s="17"/>
      <c r="L22" s="17"/>
      <c r="M22" s="1"/>
      <c r="N22" s="1"/>
      <c r="O22" s="1"/>
      <c r="P22" s="1"/>
      <c r="Q22" s="1"/>
      <c r="R22" s="1"/>
      <c r="S22" s="1"/>
      <c r="T22" s="1"/>
      <c r="U22" s="1"/>
      <c r="V22" s="1"/>
      <c r="W22" s="1"/>
      <c r="X22" s="1"/>
      <c r="Y22" s="1"/>
      <c r="Z22" s="1"/>
      <c r="AA22" s="1"/>
      <c r="AB22" s="1"/>
      <c r="AC22" s="1"/>
      <c r="AD22" s="1"/>
      <c r="AE22" s="1"/>
    </row>
    <row r="23" ht="22" customHeight="1">
      <c r="A23" s="1"/>
      <c r="B23" s="1"/>
      <c r="C23" s="12" t="str">
        <v>Inbreng en lening staan alleen bij startfinanciering en op de balans. Een lening aflossen is een kasuitgave, geen kost. Alleen rente verlaagt het resultaat. Een investering wordt betaald bij start en gespreid afgeschreven.</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row>
    <row r="24" ht="22"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row>
    <row r="25" ht="22"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row>
    <row r="26" ht="22"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row>
    <row r="27" ht="22" customHeight="1">
      <c r="A27" s="1"/>
      <c r="B27" s="1"/>
      <c r="C27" s="17" t="str">
        <v>5. Betaling en belasting</v>
      </c>
      <c r="D27" s="17"/>
      <c r="E27" s="17"/>
      <c r="F27" s="17"/>
      <c r="G27" s="17"/>
      <c r="H27" s="17"/>
      <c r="I27" s="17"/>
      <c r="J27" s="17"/>
      <c r="K27" s="17"/>
      <c r="L27" s="17"/>
      <c r="M27" s="1"/>
      <c r="N27" s="1"/>
      <c r="O27" s="1"/>
      <c r="P27" s="1"/>
      <c r="Q27" s="1"/>
      <c r="R27" s="1"/>
      <c r="S27" s="1"/>
      <c r="T27" s="1"/>
      <c r="U27" s="1"/>
      <c r="V27" s="1"/>
      <c r="W27" s="1"/>
      <c r="X27" s="1"/>
      <c r="Y27" s="1"/>
      <c r="Z27" s="1"/>
      <c r="AA27" s="1"/>
      <c r="AB27" s="1"/>
      <c r="AC27" s="1"/>
      <c r="AD27" s="1"/>
      <c r="AE27" s="1"/>
    </row>
    <row r="28" ht="22" customHeight="1">
      <c r="A28" s="1"/>
      <c r="B28" s="1"/>
      <c r="C28" s="12" t="str">
        <v>Klanten betalen na 0, 1 of 2 hele maanden. Kosten worden meteen betaald; geen leverancierskrediet. Btw wordt per kwartaal in de volgende maand betaald; credits schuiven door. De belastingreserve wordt ieder kwartaal betaald als budgetafspraak. Gebruik voor je echte dossier de werkelijke aangifte-, voorafbetalings- en aanslagmomenten.</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row>
    <row r="29" ht="22"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row>
    <row r="30" ht="22"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row>
    <row r="31" ht="22"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row>
    <row r="32" ht="22" customHeight="1">
      <c r="A32" s="1"/>
      <c r="B32" s="1"/>
      <c r="C32" s="17" t="str">
        <v>6. Lees resultaat én bankstand</v>
      </c>
      <c r="D32" s="17"/>
      <c r="E32" s="17"/>
      <c r="F32" s="17"/>
      <c r="G32" s="17"/>
      <c r="H32" s="17"/>
      <c r="I32" s="17"/>
      <c r="J32" s="17"/>
      <c r="K32" s="17"/>
      <c r="L32" s="17"/>
      <c r="M32" s="1"/>
      <c r="N32" s="1"/>
      <c r="O32" s="1"/>
      <c r="P32" s="1"/>
      <c r="Q32" s="1"/>
      <c r="R32" s="1"/>
      <c r="S32" s="1"/>
      <c r="T32" s="1"/>
      <c r="U32" s="1"/>
      <c r="V32" s="1"/>
      <c r="W32" s="1"/>
      <c r="X32" s="1"/>
      <c r="Y32" s="1"/>
      <c r="Z32" s="1"/>
      <c r="AA32" s="1"/>
      <c r="AB32" s="1"/>
      <c r="AC32" s="1"/>
      <c r="AD32" s="1"/>
      <c r="AE32" s="1"/>
    </row>
    <row r="33" ht="22" customHeight="1">
      <c r="A33" s="1"/>
      <c r="B33" s="1"/>
      <c r="C33" s="12" t="str">
        <v>Een positief resultaat is geen vrij uitkeerbaar bedrag. Een negatief kassaldo is ontbrekende financiering. Extra voor gewenste kasbuffer rekent hoeveel bijkomende middelen nodig zijn om elke maand de zelfgekozen buffer te halen.</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row>
    <row r="34" ht="22"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row>
    <row r="35" ht="22"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row>
    <row r="36" ht="22"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row>
    <row r="37" ht="22" customHeight="1">
      <c r="A37" s="1"/>
      <c r="B37" s="1"/>
      <c r="C37" s="17" t="str">
        <v>7. Bewaar formules</v>
      </c>
      <c r="D37" s="17"/>
      <c r="E37" s="17"/>
      <c r="F37" s="17"/>
      <c r="G37" s="17"/>
      <c r="H37" s="17"/>
      <c r="I37" s="17"/>
      <c r="J37" s="17"/>
      <c r="K37" s="17"/>
      <c r="L37" s="17"/>
      <c r="M37" s="1"/>
      <c r="N37" s="1"/>
      <c r="O37" s="1"/>
      <c r="P37" s="1"/>
      <c r="Q37" s="1"/>
      <c r="R37" s="1"/>
      <c r="S37" s="1"/>
      <c r="T37" s="1"/>
      <c r="U37" s="1"/>
      <c r="V37" s="1"/>
      <c r="W37" s="1"/>
      <c r="X37" s="1"/>
      <c r="Y37" s="1"/>
      <c r="Z37" s="1"/>
      <c r="AA37" s="1"/>
      <c r="AB37" s="1"/>
      <c r="AC37" s="1"/>
      <c r="AD37" s="1"/>
      <c r="AE37" s="1"/>
    </row>
    <row r="38" ht="22" customHeight="1">
      <c r="A38" s="1"/>
      <c r="B38" s="1"/>
      <c r="C38" s="12" t="str">
        <v>Rekencellen zijn beveiligd tegen onbedoeld overschrijven. De invoercellen in Aannames blijven vrij. De bladbeveiliging heeft geen wachtwoord; hef die bewust op als je het model uitbreidt. Controleer daarna alle aansluitingen opnieuw.</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row>
    <row r="39" ht="22"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row>
    <row r="40" ht="22"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row>
    <row r="41" ht="22"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row>
    <row r="42" ht="22" customHeight="1">
      <c r="A42" s="1"/>
      <c r="B42" s="1"/>
      <c r="C42" s="17" t="str">
        <v>8. Wat ontbreekt voor jouw notaris</v>
      </c>
      <c r="D42" s="17"/>
      <c r="E42" s="17"/>
      <c r="F42" s="17"/>
      <c r="G42" s="17"/>
      <c r="H42" s="17"/>
      <c r="I42" s="17"/>
      <c r="J42" s="17"/>
      <c r="K42" s="17"/>
      <c r="L42" s="17"/>
      <c r="M42" s="1"/>
      <c r="N42" s="1"/>
      <c r="O42" s="1"/>
      <c r="P42" s="1"/>
      <c r="Q42" s="1"/>
      <c r="R42" s="1"/>
      <c r="S42" s="1"/>
      <c r="T42" s="1"/>
      <c r="U42" s="1"/>
      <c r="V42" s="1"/>
      <c r="W42" s="1"/>
      <c r="X42" s="1"/>
      <c r="Y42" s="1"/>
      <c r="Z42" s="1"/>
      <c r="AA42" s="1"/>
      <c r="AB42" s="1"/>
      <c r="AC42" s="1"/>
      <c r="AD42" s="1"/>
      <c r="AE42" s="1"/>
    </row>
    <row r="43" ht="22" customHeight="1">
      <c r="A43" s="1"/>
      <c r="B43" s="1"/>
      <c r="C43" s="12" t="str">
        <v>Vul de concrete activiteit, bronstukken, financieringstoezeggingen en zekerheden, oprichters en eventuele externe deskundige aan. Zet de projecties om naar het passende wettelijke schema. Dit sjabloon is een rekenhulp, geen ondertekend financieel plan en geen bevestiging van aansprakelijkheidsbescherming.</v>
      </c>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row>
    <row r="44" ht="22"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row>
    <row r="45" ht="22"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row>
    <row r="46" ht="22"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row>
    <row r="47" ht="22" customHeight="1">
      <c r="A47" s="1"/>
      <c r="B47" s="1"/>
      <c r="C47" s="17" t="str">
        <v>9. Afbakening</v>
      </c>
      <c r="D47" s="17"/>
      <c r="E47" s="17"/>
      <c r="F47" s="17"/>
      <c r="G47" s="17"/>
      <c r="H47" s="17"/>
      <c r="I47" s="17"/>
      <c r="J47" s="17"/>
      <c r="K47" s="17"/>
      <c r="L47" s="17"/>
      <c r="M47" s="1"/>
      <c r="N47" s="1"/>
      <c r="O47" s="1"/>
      <c r="P47" s="1"/>
      <c r="Q47" s="1"/>
      <c r="R47" s="1"/>
      <c r="S47" s="1"/>
      <c r="T47" s="1"/>
      <c r="U47" s="1"/>
      <c r="V47" s="1"/>
      <c r="W47" s="1"/>
      <c r="X47" s="1"/>
      <c r="Y47" s="1"/>
      <c r="Z47" s="1"/>
      <c r="AA47" s="1"/>
      <c r="AB47" s="1"/>
      <c r="AC47" s="1"/>
      <c r="AD47" s="1"/>
      <c r="AE47" s="1"/>
    </row>
    <row r="48" ht="22" customHeight="1">
      <c r="A48" s="1"/>
      <c r="B48" s="1"/>
      <c r="C48" s="12" t="str">
        <v>Horizon: 24 maanden vanaf de gekozen startmaand, per jaar 12 maanden. Geen voorraad, personeel, dividend, privébelasting, subsidie, leasing, extra capex of seizoenspatroon. Het rekenpercentage belasting is geen definitieve fiscale berekening.</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row>
    <row r="49" ht="22"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row>
    <row r="50" ht="22"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ht="22"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ht="22" customHeight="1">
      <c r="A52" s="1"/>
      <c r="B52" s="1"/>
      <c r="C52" s="17" t="str">
        <v>10. Bewaar onderbouwing</v>
      </c>
      <c r="D52" s="17"/>
      <c r="E52" s="17"/>
      <c r="F52" s="17"/>
      <c r="G52" s="17"/>
      <c r="H52" s="17"/>
      <c r="I52" s="17"/>
      <c r="J52" s="17"/>
      <c r="K52" s="17"/>
      <c r="L52" s="17"/>
      <c r="M52" s="1"/>
      <c r="N52" s="1"/>
      <c r="O52" s="1"/>
      <c r="P52" s="1"/>
      <c r="Q52" s="1"/>
      <c r="R52" s="1"/>
      <c r="S52" s="1"/>
      <c r="T52" s="1"/>
      <c r="U52" s="1"/>
      <c r="V52" s="1"/>
      <c r="W52" s="1"/>
      <c r="X52" s="1"/>
      <c r="Y52" s="1"/>
      <c r="Z52" s="1"/>
      <c r="AA52" s="1"/>
      <c r="AB52" s="1"/>
      <c r="AC52" s="1"/>
      <c r="AD52" s="1"/>
      <c r="AE52" s="1"/>
    </row>
    <row r="53" ht="22" customHeight="1">
      <c r="A53" s="1"/>
      <c r="B53" s="1"/>
      <c r="C53" s="12" t="str">
        <v>Voeg offertes, contracten, bezettingsraming, kredietaanbod en betalingsafspraken bij jouw dossier. Werk het plan na de start bij met echte cijfers. Een derde prognosejaar kan nuttig zijn voor beheer, maar vervangt de wettelijke minimuminhoud niet.</v>
      </c>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ht="22"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ht="22"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sheetData>
  <sheetProtection sheet="1" objects="1" scenarios="1" selectLockedCells="0" selectUnlockedCells="0"/>
  <mergeCells>
    <mergeCell ref="C8:L10"/>
    <mergeCell ref="C13:L15"/>
    <mergeCell ref="C18:L20"/>
    <mergeCell ref="C23:L25"/>
    <mergeCell ref="C28:L30"/>
    <mergeCell ref="C33:L35"/>
    <mergeCell ref="C38:L40"/>
    <mergeCell ref="C43:L45"/>
    <mergeCell ref="C48:L50"/>
    <mergeCell ref="C53:L55"/>
  </mergeCells>
  <pageMargins left="0.7" right="0.7" top="0.75" bottom="0.75" header="0.3" footer="0.3"/>
</worksheet>
</file>