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Employees" sheetId="2" r:id="rId5"/>
    <sheet state="visible" name="Assumptions" sheetId="3" r:id="rId6"/>
    <sheet state="visible" name="Position Model" sheetId="4" r:id="rId7"/>
    <sheet state="visible" name="Wage-Mix Impact" sheetId="5" r:id="rId8"/>
    <sheet state="visible" name="Variance Projection" sheetId="6" r:id="rId9"/>
    <sheet state="visible" name="Staffing Compliance" sheetId="7" r:id="rId10"/>
    <sheet state="visible" name="Turnover Cost" sheetId="8" r:id="rId11"/>
    <sheet state="visible" name="Next Steps" sheetId="9" r:id="rId12"/>
  </sheets>
  <definedNames/>
  <calcPr/>
  <extLst>
    <ext uri="GoogleSheetsCustomDataVersion2">
      <go:sheetsCustomData xmlns:go="http://customooxmlschemas.google.com/" r:id="rId13" roundtripDataChecksum="+8XPxYgrIOnwcB6nwLxDHNYEsHcDCJeosWFlz1wWeNg="/>
    </ext>
  </extLst>
</workbook>
</file>

<file path=xl/sharedStrings.xml><?xml version="1.0" encoding="utf-8"?>
<sst xmlns="http://schemas.openxmlformats.org/spreadsheetml/2006/main" count="728" uniqueCount="431">
  <si>
    <t>WORKFORCE PLANNING · COMPREHENSIVE EDITION</t>
  </si>
  <si>
    <t>Multi-site healthcare
workforce planner</t>
  </si>
  <si>
    <t>Employees</t>
  </si>
  <si>
    <t>Position-level roster meets a real total-comp model. Shift differentials, overtime accrual, health insurance, 401(k) match, workers' comp by class, per-state SDI + PFL, per diem treated distinctly, CMS SNF + CA nurse-ratio staffing floors, turnover + recruitment as a hidden cost line. Everything the wage-mix conversation actually requires.</t>
  </si>
  <si>
    <t>Your roster. Every column feeds the model. Cols Q–T recompute automatically.</t>
  </si>
  <si>
    <t>EDIT HERE</t>
  </si>
  <si>
    <t>Cols B–P are editable. Cols Q (Gross wages), R (Employer burden), S (Annual total-comp), T (As-if-permanent baseline) are auto-computed.</t>
  </si>
  <si>
    <t>Site</t>
  </si>
  <si>
    <t>First</t>
  </si>
  <si>
    <t>Last</t>
  </si>
  <si>
    <t>Role</t>
  </si>
  <si>
    <t>Tier</t>
  </si>
  <si>
    <t>Type</t>
  </si>
  <si>
    <t>How to use this workbook</t>
  </si>
  <si>
    <t>Shift</t>
  </si>
  <si>
    <t>Wkly hrs</t>
  </si>
  <si>
    <t>Assumptions</t>
  </si>
  <si>
    <t>Hourly $</t>
  </si>
  <si>
    <t>FTE</t>
  </si>
  <si>
    <t>OT hrs/yr</t>
  </si>
  <si>
    <t>Cert $/hr</t>
  </si>
  <si>
    <t>Start</t>
  </si>
  <si>
    <t>End</t>
  </si>
  <si>
    <t>Every rate the model uses. Change any cell here and every downstream number updates.</t>
  </si>
  <si>
    <t>Notes</t>
  </si>
  <si>
    <t>Gross wages</t>
  </si>
  <si>
    <t>Employer burden</t>
  </si>
  <si>
    <t>Annual total-comp</t>
  </si>
  <si>
    <t>BASE PARAMETERS</t>
  </si>
  <si>
    <t>As-if-permanent</t>
  </si>
  <si>
    <t>Annual hours per FTE at 40 hrs/wk</t>
  </si>
  <si>
    <t>Riverside Regional</t>
  </si>
  <si>
    <t>Sarah</t>
  </si>
  <si>
    <t>Thompson</t>
  </si>
  <si>
    <t>1</t>
  </si>
  <si>
    <t>Reference constant. Each employee's weekly hrs col drives actual hours.</t>
  </si>
  <si>
    <t>RN</t>
  </si>
  <si>
    <t>senior</t>
  </si>
  <si>
    <t>Edit the Employees tab.</t>
  </si>
  <si>
    <t>Projection window (months)</t>
  </si>
  <si>
    <t>permanent</t>
  </si>
  <si>
    <t>day</t>
  </si>
  <si>
    <t>Used in Variance Projection.</t>
  </si>
  <si>
    <t>PAYROLL LOAD — % OF GROSS WAGES</t>
  </si>
  <si>
    <t>PTO accrual (permanent only)</t>
  </si>
  <si>
    <t>Add or replace rows with your own roster. Every column feeds the model: shift + weekly hrs drive shift differential and OT accrual, cert premium captures charge / preceptor / CCRN pay, employment type routes benefits + tax correctly.</t>
  </si>
  <si>
    <t>≈ 4 weeks paid time off. Per-diem, travel, agency exempt.</t>
  </si>
  <si>
    <t>FICA + Medicare</t>
  </si>
  <si>
    <t>US employer portion. Applied to permanent + per-diem.</t>
  </si>
  <si>
    <t>Bonus + retention accrual (permanent only)</t>
  </si>
  <si>
    <t>Annual retention pool. Per-diem, travel, agency exempt.</t>
  </si>
  <si>
    <t>WORKERS' COMP — BY JOB CLASS</t>
  </si>
  <si>
    <t>Clinical (RN/LPN/CNA/NP/CRNA/ST/RT/etc.)</t>
  </si>
  <si>
    <t>Rate reflects clinical-role injury exposure. Adjust to your carrier.</t>
  </si>
  <si>
    <t>Non-clinical (admin/IT/HR/finance/billing)</t>
  </si>
  <si>
    <t>Office-role rate. Adjust to your carrier.</t>
  </si>
  <si>
    <t>FIXED BENEFITS — $/EMPLOYEE/YEAR</t>
  </si>
  <si>
    <t>Health insurance $ per permanent FTE</t>
  </si>
  <si>
    <t>2</t>
  </si>
  <si>
    <t>Employer contribution. Prorated by FTE.</t>
  </si>
  <si>
    <t>Health insurance $ per per-diem FTE</t>
  </si>
  <si>
    <t>Tune the Assumptions tab.</t>
  </si>
  <si>
    <t>Reduced-benefits tier if per-diem hits eligibility threshold.</t>
  </si>
  <si>
    <t>401(k) / 403(b) match % of gross (perm only)</t>
  </si>
  <si>
    <t>Employer match on eligible wages. Per-diem, travel, agency exempt.</t>
  </si>
  <si>
    <t>Life + AD&amp;D $ per permanent FTE</t>
  </si>
  <si>
    <t>Basic coverage. Prorated by FTE.</t>
  </si>
  <si>
    <t>Benefits (health insurance, 401k, WC by class), shift differentials, per-state SDI + PFL, turnover rates and recruitment cost per role, CMS + CA staffing floors. Defaults reflect 2026 mid-market ranges.</t>
  </si>
  <si>
    <t>SHIFT DIFFERENTIALS — $/HOUR</t>
  </si>
  <si>
    <t>Differential $/hr</t>
  </si>
  <si>
    <t>Applied per hour worked, on top of base hourly. Update to your differential schedule.</t>
  </si>
  <si>
    <t>evening</t>
  </si>
  <si>
    <t>night</t>
  </si>
  <si>
    <t>weekend</t>
  </si>
  <si>
    <t>rotate</t>
  </si>
  <si>
    <t>SITES — PAYROLL TAX BY STATE (SUTA + FUTA)</t>
  </si>
  <si>
    <t>3</t>
  </si>
  <si>
    <t>State</t>
  </si>
  <si>
    <t>Payroll tax %</t>
  </si>
  <si>
    <t>Read Wage-Mix Impact, Staffing Compliance, and Turnover Cost.</t>
  </si>
  <si>
    <t>TX</t>
  </si>
  <si>
    <t>Pacific Coast Medical</t>
  </si>
  <si>
    <t>CA</t>
  </si>
  <si>
    <t>Wage-Mix Impact shows Baseline vs Actual with Swing %. Staffing Compliance flags CMS SNF and CA Title 22 gaps. Turnover Cost reveals the hidden line your budget probably ignores.</t>
  </si>
  <si>
    <t>Empire State Hospital</t>
  </si>
  <si>
    <t>NY</t>
  </si>
  <si>
    <t>Sunbelt Community Health</t>
  </si>
  <si>
    <t>FL</t>
  </si>
  <si>
    <t>STATE-SPECIFIC LEVIES — SDI + PFL</t>
  </si>
  <si>
    <t>SDI %</t>
  </si>
  <si>
    <t>PFL %</t>
  </si>
  <si>
    <t>State Disability + Paid Family Leave levies where applicable. Add rows for other states.</t>
  </si>
  <si>
    <t>ROLE CLASSIFICATION — CLINICAL VS NON-CLINICAL</t>
  </si>
  <si>
    <t>What's in this workbook</t>
  </si>
  <si>
    <t>Class</t>
  </si>
  <si>
    <t>clinical</t>
  </si>
  <si>
    <t>2019-03-15</t>
  </si>
  <si>
    <t>Drives Workers' Comp rate lookup for each employee. Add rows for any new roles.</t>
  </si>
  <si>
    <t>LPN</t>
  </si>
  <si>
    <t>ICU charge nurse (+$3 charge diff)</t>
  </si>
  <si>
    <t>CNA</t>
  </si>
  <si>
    <t>NP</t>
  </si>
  <si>
    <t>CRNA</t>
  </si>
  <si>
    <t>Your roster. Site, role, tier, type, shift, weekly hrs, hourly, FTE, OT hrs, cert premium.</t>
  </si>
  <si>
    <t>PA</t>
  </si>
  <si>
    <t>ST</t>
  </si>
  <si>
    <t>MA</t>
  </si>
  <si>
    <t>RT</t>
  </si>
  <si>
    <t>Benefits load, health ins, 401k, WC by class, shift diffs, per-state SDI + PFL, turnover, staffing floors.</t>
  </si>
  <si>
    <t>PT</t>
  </si>
  <si>
    <t>OT</t>
  </si>
  <si>
    <t>RD</t>
  </si>
  <si>
    <t>MSW</t>
  </si>
  <si>
    <t>MD</t>
  </si>
  <si>
    <t>Pharm_Tech</t>
  </si>
  <si>
    <t>Coder</t>
  </si>
  <si>
    <t>non-clinical</t>
  </si>
  <si>
    <t>IT</t>
  </si>
  <si>
    <t>HR</t>
  </si>
  <si>
    <t>Finance</t>
  </si>
  <si>
    <t>Admin</t>
  </si>
  <si>
    <t>Billing</t>
  </si>
  <si>
    <t>TURNOVER + RECRUITMENT COST — BY ROLE CATEGORY</t>
  </si>
  <si>
    <t>Role category</t>
  </si>
  <si>
    <t>Annual turnover %</t>
  </si>
  <si>
    <t>Recruitment cost $/hire</t>
  </si>
  <si>
    <t>Recruitment cost = agency fee + sign-on + orientation + productivity ramp. Turnover cost is the hidden line most budgets omit.</t>
  </si>
  <si>
    <t>NP / CRNA / PA</t>
  </si>
  <si>
    <t>Allied (RT/PT/OT/RD/MSW/ST/Pharm_Tech)</t>
  </si>
  <si>
    <t>Non-clinical (Coder/IT/HR/Admin/etc.)</t>
  </si>
  <si>
    <t>STAFFING COMPLIANCE FLOORS</t>
  </si>
  <si>
    <t>Rule</t>
  </si>
  <si>
    <t>Position Model</t>
  </si>
  <si>
    <t>Value</t>
  </si>
  <si>
    <t>Applies to</t>
  </si>
  <si>
    <t>Auto-computed. Headcount + FTE + gross + burden + total-comp by site and by employment type.</t>
  </si>
  <si>
    <t>CMS SNF total nursing HPRD</t>
  </si>
  <si>
    <t>All SNFs (2024 rule)</t>
  </si>
  <si>
    <t>CMS SNF RN HPRD</t>
  </si>
  <si>
    <t>Wage-Mix Impact</t>
  </si>
  <si>
    <t>All SNFs (2024 rule); RN 24/7 required</t>
  </si>
  <si>
    <t>Baseline vs actual. Swing $ and Swing % per site + RN only.</t>
  </si>
  <si>
    <t>CMS SNF Nurse Aide HPRD</t>
  </si>
  <si>
    <t>CA Title 22 ICU RN:patient</t>
  </si>
  <si>
    <t>CA hospitals — 1 RN : 2 patients</t>
  </si>
  <si>
    <t>Variance Projection</t>
  </si>
  <si>
    <t>CA Title 22 Med-Surg RN:patient</t>
  </si>
  <si>
    <t>6-month monthly trajectory + ±5pp mix sensitivity.</t>
  </si>
  <si>
    <t>CA hospitals — 1 RN : 5 patients</t>
  </si>
  <si>
    <t>CA Title 22 ED RN:patient</t>
  </si>
  <si>
    <t>CA hospitals — 1 RN : 4 patients</t>
  </si>
  <si>
    <t>CA Title 22 L&amp;D RN:patient</t>
  </si>
  <si>
    <t>Staffing Compliance</t>
  </si>
  <si>
    <t>CMS SNF HPRD floor + CA Title 22 nurse:patient ratio. Required FTE vs actual + gap $.</t>
  </si>
  <si>
    <t>Turnover Cost</t>
  </si>
  <si>
    <t>Annual replacement cost by role class. The hidden budget line.</t>
  </si>
  <si>
    <t>Next Steps</t>
  </si>
  <si>
    <t>How to read your Swing % + Staffing gap + Turnover cost, and what to do about each.</t>
  </si>
  <si>
    <r>
      <rPr>
        <rFont val="Arial"/>
        <b/>
        <color rgb="FFFFFFFF"/>
        <sz val="12.0"/>
      </rPr>
      <t xml:space="preserve">Want to run this against your live GL and payroll, with drivers, scenarios, always-current numbers, and staffing-floor compliance monitoring?
Talk to a Centage FP&amp;A operator.  →  centage.com  ·  </t>
    </r>
    <r>
      <rPr>
        <rFont val="Arial"/>
        <b/>
        <color rgb="FF00C6AE"/>
        <sz val="12.0"/>
        <u/>
      </rPr>
      <t>Book a Demo</t>
    </r>
    <r>
      <rPr>
        <rFont val="Arial"/>
        <b/>
        <color rgb="FFFFFFFF"/>
        <sz val="12.0"/>
      </rPr>
      <t>.</t>
    </r>
  </si>
  <si>
    <t>Multi-Site Healthcare Workforce Planner  ·  © 2026 Centage — for evaluation use</t>
  </si>
  <si>
    <t>James</t>
  </si>
  <si>
    <t>Okafor</t>
  </si>
  <si>
    <t>mid</t>
  </si>
  <si>
    <t>2021-06-01</t>
  </si>
  <si>
    <t>Position model</t>
  </si>
  <si>
    <t>Nights</t>
  </si>
  <si>
    <t>Auto-computed. Site-level rollup by employment type. Locked — driven by Employees.</t>
  </si>
  <si>
    <t>PER SITE — HEADCOUNT · FTE · TOTAL-COMP</t>
  </si>
  <si>
    <t>Headcount</t>
  </si>
  <si>
    <t>Total FTE</t>
  </si>
  <si>
    <t>Permanent FTE</t>
  </si>
  <si>
    <t>Per-diem FTE</t>
  </si>
  <si>
    <t>Travel FTE</t>
  </si>
  <si>
    <t>Agency FTE</t>
  </si>
  <si>
    <t>Permanent $</t>
  </si>
  <si>
    <t>Travel + Agency $</t>
  </si>
  <si>
    <t>Site total $</t>
  </si>
  <si>
    <t>Wage-mix impact</t>
  </si>
  <si>
    <t>Baseline vs actual — the swing $ and swing % that belong in front of your CFO.</t>
  </si>
  <si>
    <t>HEADLINE NUMBER</t>
  </si>
  <si>
    <t>Maria</t>
  </si>
  <si>
    <t>Gutierrez</t>
  </si>
  <si>
    <t>RN wage-mix swing</t>
  </si>
  <si>
    <t>entry</t>
  </si>
  <si>
    <t>2023-08-14</t>
  </si>
  <si>
    <t>New-grad cohort</t>
  </si>
  <si>
    <t>vs 100% permanent baseline (full-load: benefits, health ins, 401k, taxes, WC)</t>
  </si>
  <si>
    <t>Below 5% is safe. 5–15% material. Above 15% structural.</t>
  </si>
  <si>
    <t>PER SITE — ALL CLINICAL ROLES</t>
  </si>
  <si>
    <t>Baseline (100% permanent) $</t>
  </si>
  <si>
    <t>Actual (your mix) $</t>
  </si>
  <si>
    <t>Swing $</t>
  </si>
  <si>
    <t>Swing %</t>
  </si>
  <si>
    <t>Read</t>
  </si>
  <si>
    <t>David</t>
  </si>
  <si>
    <t>Chen</t>
  </si>
  <si>
    <t>All sites</t>
  </si>
  <si>
    <t>2020-11-01</t>
  </si>
  <si>
    <t>Variance projection</t>
  </si>
  <si>
    <t>Part-time nights</t>
  </si>
  <si>
    <t>6-month monthly trajectory + sensitivity if your mix drifts.</t>
  </si>
  <si>
    <t>MONTHLY TRAJECTORY</t>
  </si>
  <si>
    <t>Month</t>
  </si>
  <si>
    <t>Baseline monthly $</t>
  </si>
  <si>
    <t>Actual monthly $</t>
  </si>
  <si>
    <t>Cumulative swing $</t>
  </si>
  <si>
    <t>6-MONTH CUMULATIVE SWING</t>
  </si>
  <si>
    <t>PER SITE — RN ONLY</t>
  </si>
  <si>
    <t>Month 1</t>
  </si>
  <si>
    <t>RN ONLY — WHERE THE WAGE-MIX STORY LIVES</t>
  </si>
  <si>
    <t>Month 2</t>
  </si>
  <si>
    <t>Month 3</t>
  </si>
  <si>
    <t>Month 4</t>
  </si>
  <si>
    <t>Month 5</t>
  </si>
  <si>
    <t>Month 6</t>
  </si>
  <si>
    <t>SENSITIVITY — WHAT IF THE MIX DRIFTS</t>
  </si>
  <si>
    <t>Scenario</t>
  </si>
  <si>
    <t>Actual annual ($)</t>
  </si>
  <si>
    <t>This scenario ($)</t>
  </si>
  <si>
    <t>Delta ($)</t>
  </si>
  <si>
    <t>Agency +5pp of RN mix</t>
  </si>
  <si>
    <t>Agency −5pp of RN mix</t>
  </si>
  <si>
    <t>Travel +5pp of RN mix</t>
  </si>
  <si>
    <t>Priya</t>
  </si>
  <si>
    <t>Nair</t>
  </si>
  <si>
    <t>Travel −5pp of RN mix</t>
  </si>
  <si>
    <t>2022-02-28</t>
  </si>
  <si>
    <t>Permanent +10pp (mix shift back)</t>
  </si>
  <si>
    <t>OT +50 hrs/RN/yr avg</t>
  </si>
  <si>
    <t>Shift-diff +$1/hr blended</t>
  </si>
  <si>
    <t>Approximations: agency at ~2× permanent effective cost, travel at ~1.5×, OT delta assumes ~50 hrs/RN/yr shift, shift-diff blended across ~60% of RN hours. Precise scenario modeling with driver-based inputs is what Centage does.</t>
  </si>
  <si>
    <t>Kevin</t>
  </si>
  <si>
    <t>Walsh</t>
  </si>
  <si>
    <t>2023-01-09</t>
  </si>
  <si>
    <t>Staffing compliance</t>
  </si>
  <si>
    <t>CMS SNF HPRD floor + CA Title 22 nurse-to-patient ratio. Required FTE vs actual, gap in FTE and dollars.</t>
  </si>
  <si>
    <t>CMS SNF STAFFING FLOOR (2024 RULE) — TOTAL NURSING HPRD, RN HPRD, NA HPRD</t>
  </si>
  <si>
    <t>Enter your average daily census (residents) per site. Model computes required nursing hours and RN FTE against your actual RN FTE.</t>
  </si>
  <si>
    <t>Avg daily census</t>
  </si>
  <si>
    <t>Total nursing hrs/day required</t>
  </si>
  <si>
    <t>RN hrs/day required</t>
  </si>
  <si>
    <t>Required RN FTE</t>
  </si>
  <si>
    <t>Actual RN FTE</t>
  </si>
  <si>
    <t>RN FTE gap</t>
  </si>
  <si>
    <t>Est. annual gap $</t>
  </si>
  <si>
    <t>Angela</t>
  </si>
  <si>
    <t>Brooks</t>
  </si>
  <si>
    <t>travel</t>
  </si>
  <si>
    <t>2026-01-15</t>
  </si>
  <si>
    <t>2026-07-14</t>
  </si>
  <si>
    <t>13-week travel contract</t>
  </si>
  <si>
    <t>CA TITLE 22 NURSE-TO-PATIENT RATIO — CA HOSPITALS ONLY</t>
  </si>
  <si>
    <t>Enter your CA hospital's typical daily census by unit. Model computes minimum required RN FTE per Title 22 ratios.</t>
  </si>
  <si>
    <t>Unit</t>
  </si>
  <si>
    <t>Ratio (RN:pt)</t>
  </si>
  <si>
    <t>Avg census (pts)</t>
  </si>
  <si>
    <t>ICU</t>
  </si>
  <si>
    <t>1:2</t>
  </si>
  <si>
    <t>Pacific Coast Medical (CA)</t>
  </si>
  <si>
    <t>Med-Surg</t>
  </si>
  <si>
    <t>1:5</t>
  </si>
  <si>
    <t>ED</t>
  </si>
  <si>
    <t>1:4</t>
  </si>
  <si>
    <t>L&amp;D</t>
  </si>
  <si>
    <t>CA total (all units)</t>
  </si>
  <si>
    <t>Gap FTE</t>
  </si>
  <si>
    <t>Turnover cost</t>
  </si>
  <si>
    <t>Annual replacement cost by role category. The hidden line most budgets omit.</t>
  </si>
  <si>
    <t>PER SITE — ROLE-WEIGHTED TURNOVER REPLACEMENT COST</t>
  </si>
  <si>
    <t>RN FTE</t>
  </si>
  <si>
    <t>LPN FTE</t>
  </si>
  <si>
    <t>CNA FTE</t>
  </si>
  <si>
    <t>Other clinical + non-clin FTE</t>
  </si>
  <si>
    <t>Weighted annual turnover cost $</t>
  </si>
  <si>
    <t>% of site total-comp</t>
  </si>
  <si>
    <t>Terrence</t>
  </si>
  <si>
    <t>Moss</t>
  </si>
  <si>
    <t>2026-03-01</t>
  </si>
  <si>
    <t>2026-08-31</t>
  </si>
  <si>
    <t>All sites (RN only)</t>
  </si>
  <si>
    <t>Linda</t>
  </si>
  <si>
    <t>Farmer</t>
  </si>
  <si>
    <t>per_diem</t>
  </si>
  <si>
    <t>Internal weekend PRN pool</t>
  </si>
  <si>
    <t>Next steps</t>
  </si>
  <si>
    <t>HIDDEN COST TAKEAWAY</t>
  </si>
  <si>
    <t>Annual replacement cost your budget probably omits</t>
  </si>
  <si>
    <t>Three numbers to read: Swing %, Staffing gap FTE, Turnover cost. What each means and what to do.</t>
  </si>
  <si>
    <t>1. Wage-mix swing %</t>
  </si>
  <si>
    <t>Oscar</t>
  </si>
  <si>
    <t>Reyes</t>
  </si>
  <si>
    <t>&lt; 5%</t>
  </si>
  <si>
    <t>Safe zone</t>
  </si>
  <si>
    <t>2018-07-23</t>
  </si>
  <si>
    <t>Mix modeling likely OK. Monitor quarterly. Retention is your tension, not variance.</t>
  </si>
  <si>
    <t>Hospitalist NP</t>
  </si>
  <si>
    <t>5 – 15%</t>
  </si>
  <si>
    <t>Material variance</t>
  </si>
  <si>
    <t>Real drift. Model a 2-year permanent-hire ramp against contract renewal cadence. Payoff usually 12–18 months.</t>
  </si>
  <si>
    <t>&gt; 15%</t>
  </si>
  <si>
    <t>Structural risk</t>
  </si>
  <si>
    <t>Budget is structurally wrong. Full workforce re-plan: permanent hiring pipeline, contract runoff, CFO-level scenario reforecast.</t>
  </si>
  <si>
    <t>2. Staffing compliance gap (FTE)</t>
  </si>
  <si>
    <t>≤ 0</t>
  </si>
  <si>
    <t>In compliance</t>
  </si>
  <si>
    <t>You meet CMS SNF and CA Title 22 floors. Track quarterly as census shifts.</t>
  </si>
  <si>
    <t>+1–3</t>
  </si>
  <si>
    <t>Marginal exposure</t>
  </si>
  <si>
    <t>You're within one PRN or per-diem hire of a citation. Prioritize the gap FTE in your Q1 hiring plan.</t>
  </si>
  <si>
    <t>&gt; +3</t>
  </si>
  <si>
    <t>Immediate action</t>
  </si>
  <si>
    <t>Structural non-compliance. Escalate to your Chief Nursing Officer and General Counsel this week. Fine risk plus reputational exposure.</t>
  </si>
  <si>
    <t>3. Turnover cost (% of total-comp)</t>
  </si>
  <si>
    <t>Healthy churn</t>
  </si>
  <si>
    <t>Under industry median. Continue retention monitoring.</t>
  </si>
  <si>
    <t>5–10%</t>
  </si>
  <si>
    <t>Attention line</t>
  </si>
  <si>
    <t>Above average. Invest in nurse residency, clinical ladder, stay interviews. Payback ~12 months.</t>
  </si>
  <si>
    <t>Grace</t>
  </si>
  <si>
    <t>&gt; 10%</t>
  </si>
  <si>
    <t>Critical churn</t>
  </si>
  <si>
    <t>You are financing recruitment with future budget. Restructure comp bands + immediate retention program. Every 1pp reduction is 6-figure savings at scale.</t>
  </si>
  <si>
    <t>2020-05-11</t>
  </si>
  <si>
    <t>Respiratory therapist</t>
  </si>
  <si>
    <t>Talk to a Centage FP&amp;A advisor</t>
  </si>
  <si>
    <r>
      <rPr>
        <rFont val="Arial"/>
        <color rgb="FFDDE8E3"/>
        <sz val="11.0"/>
      </rPr>
      <t xml:space="preserve">30 minutes. We'll walk this workbook against your live payroll + GL data, model a 2-year permanent-hire ramp against contract renewal, wire staffing-floor compliance monitoring, and show a driver-based always-current forecast.
centage.com  ·  </t>
    </r>
    <r>
      <rPr>
        <rFont val="Arial"/>
        <color rgb="FF00C6AE"/>
        <sz val="11.0"/>
      </rPr>
      <t>Book a Demo</t>
    </r>
  </si>
  <si>
    <t>— The Centage team</t>
  </si>
  <si>
    <t>Emily</t>
  </si>
  <si>
    <t>Park</t>
  </si>
  <si>
    <t>2017-05-01</t>
  </si>
  <si>
    <t>OR supervisor (+$3 charge)</t>
  </si>
  <si>
    <t>Nathan</t>
  </si>
  <si>
    <t>Bishop</t>
  </si>
  <si>
    <t>2022-09-12</t>
  </si>
  <si>
    <t>Chloe</t>
  </si>
  <si>
    <t>Martinez</t>
  </si>
  <si>
    <t>2024-02-05</t>
  </si>
  <si>
    <t>Ryan</t>
  </si>
  <si>
    <t>Powell</t>
  </si>
  <si>
    <t>2021-04-19</t>
  </si>
  <si>
    <t>Surgical tech</t>
  </si>
  <si>
    <t>Megan</t>
  </si>
  <si>
    <t>Hughes</t>
  </si>
  <si>
    <t>2020-08-03</t>
  </si>
  <si>
    <t>Anthony</t>
  </si>
  <si>
    <t>Scott</t>
  </si>
  <si>
    <t>2026-02-01</t>
  </si>
  <si>
    <t>2026-07-31</t>
  </si>
  <si>
    <t>13-week</t>
  </si>
  <si>
    <t>Sofia</t>
  </si>
  <si>
    <t>Diaz</t>
  </si>
  <si>
    <t>2016-11-14</t>
  </si>
  <si>
    <t>Marcus</t>
  </si>
  <si>
    <t>King</t>
  </si>
  <si>
    <t>Internal PRN pool</t>
  </si>
  <si>
    <t>Bell</t>
  </si>
  <si>
    <t>2019-08-20</t>
  </si>
  <si>
    <t>Case manager</t>
  </si>
  <si>
    <t>Anita</t>
  </si>
  <si>
    <t>Shah</t>
  </si>
  <si>
    <t>2014-06-01</t>
  </si>
  <si>
    <t>Hospitalist MD (salaried, hourly-equivalent)</t>
  </si>
  <si>
    <t>Rachel</t>
  </si>
  <si>
    <t>Adams</t>
  </si>
  <si>
    <t>2015-09-01</t>
  </si>
  <si>
    <t>Med-Surg unit manager (+$5 lead diff)</t>
  </si>
  <si>
    <t>Tyler</t>
  </si>
  <si>
    <t>Green</t>
  </si>
  <si>
    <t>2021-01-11</t>
  </si>
  <si>
    <t>Jennifer</t>
  </si>
  <si>
    <t>Lee</t>
  </si>
  <si>
    <t>2023-07-03</t>
  </si>
  <si>
    <t>Brian</t>
  </si>
  <si>
    <t>Carter</t>
  </si>
  <si>
    <t>2022-05-17</t>
  </si>
  <si>
    <t>Samantha</t>
  </si>
  <si>
    <t>Walker</t>
  </si>
  <si>
    <t>2023-10-23</t>
  </si>
  <si>
    <t>Derek</t>
  </si>
  <si>
    <t>Hall</t>
  </si>
  <si>
    <t>2019-12-02</t>
  </si>
  <si>
    <t>Tiffany</t>
  </si>
  <si>
    <t>Young</t>
  </si>
  <si>
    <t>2026-04-01</t>
  </si>
  <si>
    <t>2026-09-30</t>
  </si>
  <si>
    <t>Travel</t>
  </si>
  <si>
    <t>Craig</t>
  </si>
  <si>
    <t>Allen</t>
  </si>
  <si>
    <t>2026-03-15</t>
  </si>
  <si>
    <t>2026-09-14</t>
  </si>
  <si>
    <t>Dana</t>
  </si>
  <si>
    <t>Rivera</t>
  </si>
  <si>
    <t>2020-06-08</t>
  </si>
  <si>
    <t>Patrick</t>
  </si>
  <si>
    <t>Nelson</t>
  </si>
  <si>
    <t>Internal weekend PRN</t>
  </si>
  <si>
    <t>Terri</t>
  </si>
  <si>
    <t>Owens</t>
  </si>
  <si>
    <t>2021-11-15</t>
  </si>
  <si>
    <t>Inpatient pharm</t>
  </si>
  <si>
    <t>Anderson</t>
  </si>
  <si>
    <t>2016-04-22</t>
  </si>
  <si>
    <t>ED charge (+$3)</t>
  </si>
  <si>
    <t>Patel</t>
  </si>
  <si>
    <t>2020-10-05</t>
  </si>
  <si>
    <t>Amanda</t>
  </si>
  <si>
    <t>Wright</t>
  </si>
  <si>
    <t>2024-01-08</t>
  </si>
  <si>
    <t>Ethan</t>
  </si>
  <si>
    <t>Foster</t>
  </si>
  <si>
    <t>2022-06-19</t>
  </si>
  <si>
    <t>Isabelle</t>
  </si>
  <si>
    <t>Cruz</t>
  </si>
  <si>
    <t>2026-02-15</t>
  </si>
  <si>
    <t>2026-08-14</t>
  </si>
  <si>
    <t>Wesley</t>
  </si>
  <si>
    <t>Kim</t>
  </si>
  <si>
    <t>2026-04-15</t>
  </si>
  <si>
    <t>2026-10-14</t>
  </si>
  <si>
    <t>Nora</t>
  </si>
  <si>
    <t>Bennett</t>
  </si>
  <si>
    <t>2021-09-13</t>
  </si>
  <si>
    <t>Part-time</t>
  </si>
  <si>
    <t>Jamal</t>
  </si>
  <si>
    <t>agency</t>
  </si>
  <si>
    <t>Agency contract</t>
  </si>
  <si>
    <t>Devon</t>
  </si>
  <si>
    <t>Ross</t>
  </si>
  <si>
    <t>2020-03-01</t>
  </si>
  <si>
    <t>Non-clinical: medical coder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</si>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</sst>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$&quot;#,##0.00"/>
    <numFmt numFmtId="165" formatCode="&quot;$&quot;#,##0"/>
    <numFmt numFmtId="166" formatCode="yyyy-mm-dd"/>
    <numFmt numFmtId="167" formatCode="0.0%"/>
    <numFmt numFmtId="168" formatCode="+0.0%;-0.0%;0.0%"/>
    <numFmt numFmtId="169" formatCode="&quot;$&quot;#,##0;[Red]-&quot;$&quot;#,##0"/>
    <numFmt numFmtId="170" formatCode="#,##0.0"/>
    <numFmt numFmtId="171" formatCode="+0.00;-0.00;0.00"/>
  </numFmts>
  <fonts count="37">
    <font>
      <sz val="11.0"/>
      <color theme="1"/>
      <name val="Calibri"/>
      <scheme val="minor"/>
    </font>
    <font>
      <sz val="11.0"/>
      <color theme="1"/>
      <name val="Calibri"/>
    </font>
    <font>
      <b/>
      <sz val="10.0"/>
      <color rgb="FF00C6AE"/>
      <name val="Aptos"/>
    </font>
    <font/>
    <font>
      <b/>
      <sz val="32.0"/>
      <color rgb="FF103426"/>
      <name val="Aptos"/>
    </font>
    <font>
      <b/>
      <sz val="22.0"/>
      <color rgb="FFFFFFFF"/>
      <name val="Aptos"/>
    </font>
    <font>
      <sz val="11.0"/>
      <color rgb="FF3B4441"/>
      <name val="Aptos"/>
    </font>
    <font>
      <sz val="11.0"/>
      <color rgb="FFB6C7BF"/>
      <name val="Aptos"/>
    </font>
    <font>
      <b/>
      <sz val="9.0"/>
      <color rgb="FF00C6AE"/>
      <name val="Aptos"/>
    </font>
    <font>
      <sz val="10.0"/>
      <color rgb="FF3B4441"/>
      <name val="Aptos"/>
    </font>
    <font>
      <b/>
      <sz val="10.0"/>
      <color rgb="FFFFFFFF"/>
      <name val="Aptos"/>
    </font>
    <font>
      <b/>
      <sz val="14.0"/>
      <color rgb="FF103426"/>
      <name val="Aptos"/>
    </font>
    <font>
      <sz val="11.0"/>
      <color rgb="FF081410"/>
      <name val="Aptos"/>
    </font>
    <font>
      <sz val="10.0"/>
      <color rgb="FF081410"/>
      <name val="Aptos"/>
    </font>
    <font>
      <b/>
      <sz val="11.0"/>
      <color rgb="FF103426"/>
      <name val="Consolas"/>
    </font>
    <font>
      <b/>
      <sz val="12.0"/>
      <color rgb="FF103426"/>
      <name val="Aptos"/>
    </font>
    <font>
      <sz val="10.0"/>
      <color rgb="FF081410"/>
      <name val="Consolas"/>
    </font>
    <font>
      <b/>
      <sz val="11.0"/>
      <color rgb="FF103426"/>
      <name val="Aptos"/>
    </font>
    <font>
      <b/>
      <sz val="10.0"/>
      <color rgb="FF103426"/>
      <name val="Consolas"/>
    </font>
    <font>
      <b/>
      <u/>
      <sz val="12.0"/>
      <color rgb="FFFFFFFF"/>
      <name val="Aptos"/>
    </font>
    <font>
      <sz val="9.0"/>
      <color rgb="FF6B7773"/>
      <name val="Arial"/>
    </font>
    <font>
      <i/>
      <sz val="10.0"/>
      <color rgb="FF6B7773"/>
      <name val="Consolas"/>
    </font>
    <font>
      <b/>
      <sz val="12.0"/>
      <color rgb="FFFFFFFF"/>
      <name val="Aptos"/>
    </font>
    <font>
      <b/>
      <sz val="44.0"/>
      <color rgb="FF00C6AE"/>
      <name val="Aptos"/>
    </font>
    <font>
      <sz val="10.0"/>
      <color rgb="FFB6C7BF"/>
      <name val="Aptos"/>
    </font>
    <font>
      <i/>
      <sz val="9.0"/>
      <color rgb="FF6B7773"/>
      <name val="Aptos"/>
    </font>
    <font>
      <b/>
      <sz val="10.0"/>
      <color rgb="FFC24545"/>
      <name val="Consolas"/>
    </font>
    <font>
      <b/>
      <sz val="11.0"/>
      <color rgb="FFFFFFFF"/>
      <name val="Aptos"/>
    </font>
    <font>
      <b/>
      <sz val="11.0"/>
      <color rgb="FFFFFFFF"/>
      <name val="Consolas"/>
    </font>
    <font>
      <b/>
      <sz val="36.0"/>
      <color rgb="FFFFFFFF"/>
      <name val="Aptos"/>
    </font>
    <font>
      <sz val="10.0"/>
      <color rgb="FFFFFFFF"/>
      <name val="Aptos"/>
    </font>
    <font>
      <b/>
      <sz val="36.0"/>
      <color rgb="FF00C6AE"/>
      <name val="Aptos"/>
    </font>
    <font>
      <b/>
      <sz val="12.0"/>
      <color rgb="FF081410"/>
      <name val="Aptos"/>
    </font>
    <font>
      <b/>
      <sz val="18.0"/>
      <color rgb="FFFFFFFF"/>
      <name val="Arial"/>
    </font>
    <font>
      <sz val="11.0"/>
      <color rgb="FFDDE8E3"/>
      <name val="Aptos"/>
    </font>
    <font>
      <i/>
      <sz val="10.0"/>
      <color rgb="FF6B7773"/>
      <name val="Aptos"/>
    </font>
    <font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6F8F7"/>
        <bgColor rgb="FFF6F8F7"/>
      </patternFill>
    </fill>
    <fill>
      <patternFill patternType="solid">
        <fgColor rgb="FF103426"/>
        <bgColor rgb="FF103426"/>
      </patternFill>
    </fill>
    <fill>
      <patternFill patternType="solid">
        <fgColor rgb="FF00C6AE"/>
        <bgColor rgb="FF00C6AE"/>
      </patternFill>
    </fill>
    <fill>
      <patternFill patternType="solid">
        <fgColor rgb="FFE6F9F6"/>
        <bgColor rgb="FFE6F9F6"/>
      </patternFill>
    </fill>
    <fill>
      <patternFill patternType="solid">
        <fgColor rgb="FFF3F5F4"/>
        <bgColor rgb="FFF3F5F4"/>
      </patternFill>
    </fill>
    <fill>
      <patternFill patternType="solid">
        <fgColor rgb="FF081410"/>
        <bgColor rgb="FF081410"/>
      </patternFill>
    </fill>
    <fill>
      <patternFill patternType="solid">
        <fgColor rgb="FFFFFFFF"/>
        <bgColor rgb="FFFFFFFF"/>
      </patternFill>
    </fill>
    <fill>
      <patternFill patternType="solid">
        <fgColor rgb="FFF2960E"/>
        <bgColor rgb="FFF2960E"/>
      </patternFill>
    </fill>
    <fill>
      <patternFill patternType="solid">
        <fgColor rgb="FFC24545"/>
        <bgColor rgb="FFC24545"/>
      </patternFill>
    </fill>
  </fills>
  <borders count="12">
    <border/>
    <border>
      <left/>
      <right/>
      <top/>
      <bottom/>
    </border>
    <border>
      <left/>
      <top/>
      <bottom/>
    </border>
    <border>
      <top/>
      <bottom/>
    </border>
    <border>
      <left/>
      <top/>
    </border>
    <border>
      <top/>
    </border>
    <border>
      <left/>
    </border>
    <border>
      <bottom style="medium">
        <color rgb="FF00C6AE"/>
      </bottom>
    </border>
    <border>
      <bottom style="thin">
        <color rgb="FFE6EAE8"/>
      </bottom>
    </border>
    <border>
      <left/>
      <right/>
      <top/>
    </border>
    <border>
      <left/>
      <right/>
    </border>
    <border>
      <top style="medium">
        <color rgb="FF103426"/>
      </top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left" vertical="center"/>
    </xf>
    <xf borderId="3" fillId="0" fontId="3" numFmtId="0" xfId="0" applyBorder="1" applyFont="1"/>
    <xf borderId="4" fillId="2" fontId="4" numFmtId="0" xfId="0" applyAlignment="1" applyBorder="1" applyFont="1">
      <alignment horizontal="left" shrinkToFit="0" vertical="center" wrapText="1"/>
    </xf>
    <xf borderId="5" fillId="0" fontId="3" numFmtId="0" xfId="0" applyBorder="1" applyFont="1"/>
    <xf borderId="6" fillId="0" fontId="3" numFmtId="0" xfId="0" applyBorder="1" applyFont="1"/>
    <xf borderId="2" fillId="3" fontId="5" numFmtId="0" xfId="0" applyAlignment="1" applyBorder="1" applyFill="1" applyFont="1">
      <alignment horizontal="left" vertical="center"/>
    </xf>
    <xf borderId="4" fillId="2" fontId="6" numFmtId="0" xfId="0" applyAlignment="1" applyBorder="1" applyFont="1">
      <alignment horizontal="left" shrinkToFit="0" vertical="top" wrapText="1"/>
    </xf>
    <xf borderId="2" fillId="3" fontId="7" numFmtId="0" xfId="0" applyAlignment="1" applyBorder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horizontal="left"/>
    </xf>
    <xf borderId="1" fillId="4" fontId="1" numFmtId="0" xfId="0" applyBorder="1" applyFill="1" applyFont="1"/>
    <xf borderId="7" fillId="3" fontId="10" numFmtId="0" xfId="0" applyAlignment="1" applyBorder="1" applyFont="1">
      <alignment horizontal="left" shrinkToFit="0" vertical="center" wrapText="1"/>
    </xf>
    <xf borderId="2" fillId="2" fontId="11" numFmtId="0" xfId="0" applyBorder="1" applyFont="1"/>
    <xf borderId="0" fillId="0" fontId="12" numFmtId="0" xfId="0" applyAlignment="1" applyFont="1">
      <alignment vertical="center"/>
    </xf>
    <xf borderId="8" fillId="0" fontId="13" numFmtId="0" xfId="0" applyAlignment="1" applyBorder="1" applyFont="1">
      <alignment horizontal="left" vertical="center"/>
    </xf>
    <xf borderId="1" fillId="5" fontId="14" numFmtId="3" xfId="0" applyAlignment="1" applyBorder="1" applyFill="1" applyFont="1" applyNumberFormat="1">
      <alignment horizontal="right" vertical="center"/>
    </xf>
    <xf borderId="9" fillId="4" fontId="5" numFmtId="0" xfId="0" applyAlignment="1" applyBorder="1" applyFont="1">
      <alignment horizontal="center" vertical="center"/>
    </xf>
    <xf borderId="0" fillId="0" fontId="9" numFmtId="0" xfId="0" applyAlignment="1" applyFont="1">
      <alignment shrinkToFit="0" vertical="center" wrapText="1"/>
    </xf>
    <xf borderId="2" fillId="2" fontId="15" numFmtId="0" xfId="0" applyAlignment="1" applyBorder="1" applyFont="1">
      <alignment horizontal="left" vertical="center"/>
    </xf>
    <xf borderId="1" fillId="5" fontId="14" numFmtId="1" xfId="0" applyAlignment="1" applyBorder="1" applyFont="1" applyNumberFormat="1">
      <alignment horizontal="right" vertical="center"/>
    </xf>
    <xf borderId="8" fillId="0" fontId="16" numFmtId="1" xfId="0" applyAlignment="1" applyBorder="1" applyFont="1" applyNumberFormat="1">
      <alignment horizontal="right" vertical="center"/>
    </xf>
    <xf borderId="8" fillId="0" fontId="16" numFmtId="164" xfId="0" applyAlignment="1" applyBorder="1" applyFont="1" applyNumberFormat="1">
      <alignment horizontal="right" vertical="center"/>
    </xf>
    <xf borderId="10" fillId="0" fontId="3" numFmtId="0" xfId="0" applyBorder="1" applyFont="1"/>
    <xf borderId="1" fillId="5" fontId="14" numFmtId="10" xfId="0" applyAlignment="1" applyBorder="1" applyFont="1" applyNumberFormat="1">
      <alignment horizontal="right" vertical="center"/>
    </xf>
    <xf borderId="2" fillId="2" fontId="6" numFmtId="0" xfId="0" applyAlignment="1" applyBorder="1" applyFont="1">
      <alignment horizontal="left" shrinkToFit="0" vertical="top" wrapText="1"/>
    </xf>
    <xf borderId="1" fillId="5" fontId="14" numFmtId="165" xfId="0" applyAlignment="1" applyBorder="1" applyFont="1" applyNumberFormat="1">
      <alignment horizontal="right" vertical="center"/>
    </xf>
    <xf borderId="1" fillId="3" fontId="10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1" fillId="5" fontId="16" numFmtId="164" xfId="0" applyAlignment="1" applyBorder="1" applyFont="1" applyNumberFormat="1">
      <alignment horizontal="right" vertical="center"/>
    </xf>
    <xf borderId="1" fillId="6" fontId="13" numFmtId="0" xfId="0" applyAlignment="1" applyBorder="1" applyFill="1" applyFont="1">
      <alignment vertical="center"/>
    </xf>
    <xf borderId="1" fillId="5" fontId="16" numFmtId="10" xfId="0" applyAlignment="1" applyBorder="1" applyFont="1" applyNumberFormat="1">
      <alignment horizontal="right" vertical="center"/>
    </xf>
    <xf borderId="8" fillId="0" fontId="16" numFmtId="2" xfId="0" applyAlignment="1" applyBorder="1" applyFont="1" applyNumberFormat="1">
      <alignment horizontal="right" vertical="center"/>
    </xf>
    <xf borderId="1" fillId="5" fontId="13" numFmtId="0" xfId="0" applyAlignment="1" applyBorder="1" applyFont="1">
      <alignment vertical="center"/>
    </xf>
    <xf borderId="8" fillId="0" fontId="13" numFmtId="166" xfId="0" applyAlignment="1" applyBorder="1" applyFont="1" applyNumberFormat="1">
      <alignment horizontal="left" vertical="center"/>
    </xf>
    <xf borderId="2" fillId="2" fontId="17" numFmtId="0" xfId="0" applyAlignment="1" applyBorder="1" applyFont="1">
      <alignment horizontal="left" vertical="center"/>
    </xf>
    <xf borderId="2" fillId="2" fontId="6" numFmtId="0" xfId="0" applyAlignment="1" applyBorder="1" applyFont="1">
      <alignment horizontal="left" shrinkToFit="0" vertical="center" wrapText="1"/>
    </xf>
    <xf borderId="1" fillId="5" fontId="16" numFmtId="167" xfId="0" applyAlignment="1" applyBorder="1" applyFont="1" applyNumberFormat="1">
      <alignment horizontal="right" vertical="center"/>
    </xf>
    <xf borderId="1" fillId="5" fontId="16" numFmtId="165" xfId="0" applyAlignment="1" applyBorder="1" applyFont="1" applyNumberFormat="1">
      <alignment horizontal="right" vertical="center"/>
    </xf>
    <xf borderId="8" fillId="5" fontId="16" numFmtId="165" xfId="0" applyAlignment="1" applyBorder="1" applyFont="1" applyNumberFormat="1">
      <alignment horizontal="right" vertical="center"/>
    </xf>
    <xf borderId="2" fillId="3" fontId="10" numFmtId="0" xfId="0" applyAlignment="1" applyBorder="1" applyFont="1">
      <alignment vertical="center"/>
    </xf>
    <xf borderId="1" fillId="5" fontId="16" numFmtId="2" xfId="0" applyAlignment="1" applyBorder="1" applyFont="1" applyNumberFormat="1">
      <alignment horizontal="right" vertical="center"/>
    </xf>
    <xf borderId="0" fillId="0" fontId="9" numFmtId="0" xfId="0" applyAlignment="1" applyFont="1">
      <alignment vertical="center"/>
    </xf>
    <xf borderId="2" fillId="6" fontId="9" numFmtId="0" xfId="0" applyAlignment="1" applyBorder="1" applyFont="1">
      <alignment vertical="center"/>
    </xf>
    <xf borderId="8" fillId="5" fontId="18" numFmtId="165" xfId="0" applyAlignment="1" applyBorder="1" applyFont="1" applyNumberFormat="1">
      <alignment horizontal="right" vertical="center"/>
    </xf>
    <xf borderId="4" fillId="3" fontId="19" numFmtId="0" xfId="0" applyAlignment="1" applyBorder="1" applyFont="1">
      <alignment horizontal="left" readingOrder="0" shrinkToFit="0" vertical="center" wrapText="1"/>
    </xf>
    <xf borderId="2" fillId="2" fontId="20" numFmtId="0" xfId="0" applyAlignment="1" applyBorder="1" applyFont="1">
      <alignment horizontal="left" readingOrder="0" vertical="center"/>
    </xf>
    <xf borderId="8" fillId="5" fontId="21" numFmtId="165" xfId="0" applyAlignment="1" applyBorder="1" applyFont="1" applyNumberFormat="1">
      <alignment horizontal="right" vertical="center"/>
    </xf>
    <xf borderId="8" fillId="6" fontId="13" numFmtId="0" xfId="0" applyAlignment="1" applyBorder="1" applyFont="1">
      <alignment horizontal="left" vertical="center"/>
    </xf>
    <xf borderId="8" fillId="6" fontId="16" numFmtId="1" xfId="0" applyAlignment="1" applyBorder="1" applyFont="1" applyNumberFormat="1">
      <alignment horizontal="right" vertical="center"/>
    </xf>
    <xf borderId="8" fillId="6" fontId="16" numFmtId="164" xfId="0" applyAlignment="1" applyBorder="1" applyFont="1" applyNumberFormat="1">
      <alignment horizontal="right" vertical="center"/>
    </xf>
    <xf borderId="8" fillId="6" fontId="16" numFmtId="2" xfId="0" applyAlignment="1" applyBorder="1" applyFont="1" applyNumberFormat="1">
      <alignment horizontal="right" vertical="center"/>
    </xf>
    <xf borderId="8" fillId="6" fontId="13" numFmtId="166" xfId="0" applyAlignment="1" applyBorder="1" applyFont="1" applyNumberFormat="1">
      <alignment horizontal="left" vertical="center"/>
    </xf>
    <xf borderId="0" fillId="0" fontId="17" numFmtId="0" xfId="0" applyAlignment="1" applyFont="1">
      <alignment vertical="center"/>
    </xf>
    <xf borderId="8" fillId="0" fontId="16" numFmtId="3" xfId="0" applyAlignment="1" applyBorder="1" applyFont="1" applyNumberFormat="1">
      <alignment horizontal="right" vertical="center"/>
    </xf>
    <xf borderId="8" fillId="0" fontId="16" numFmtId="165" xfId="0" applyAlignment="1" applyBorder="1" applyFont="1" applyNumberFormat="1">
      <alignment horizontal="right" vertical="center"/>
    </xf>
    <xf borderId="8" fillId="0" fontId="18" numFmtId="165" xfId="0" applyAlignment="1" applyBorder="1" applyFont="1" applyNumberFormat="1">
      <alignment horizontal="right" vertical="center"/>
    </xf>
    <xf borderId="1" fillId="6" fontId="17" numFmtId="0" xfId="0" applyAlignment="1" applyBorder="1" applyFont="1">
      <alignment vertical="center"/>
    </xf>
    <xf borderId="8" fillId="6" fontId="16" numFmtId="3" xfId="0" applyAlignment="1" applyBorder="1" applyFont="1" applyNumberFormat="1">
      <alignment horizontal="right" vertical="center"/>
    </xf>
    <xf borderId="4" fillId="3" fontId="22" numFmtId="0" xfId="0" applyAlignment="1" applyBorder="1" applyFont="1">
      <alignment horizontal="left" vertical="center"/>
    </xf>
    <xf borderId="4" fillId="7" fontId="23" numFmtId="168" xfId="0" applyAlignment="1" applyBorder="1" applyFill="1" applyFont="1" applyNumberFormat="1">
      <alignment horizontal="center" vertical="center"/>
    </xf>
    <xf borderId="4" fillId="3" fontId="24" numFmtId="0" xfId="0" applyAlignment="1" applyBorder="1" applyFont="1">
      <alignment horizontal="left" shrinkToFit="0" vertical="center" wrapText="1"/>
    </xf>
    <xf borderId="8" fillId="6" fontId="16" numFmtId="165" xfId="0" applyAlignment="1" applyBorder="1" applyFont="1" applyNumberFormat="1">
      <alignment horizontal="right" vertical="center"/>
    </xf>
    <xf borderId="0" fillId="0" fontId="25" numFmtId="0" xfId="0" applyAlignment="1" applyFont="1">
      <alignment horizontal="center" shrinkToFit="0" vertical="center" wrapText="1"/>
    </xf>
    <xf borderId="7" fillId="3" fontId="10" numFmtId="0" xfId="0" applyAlignment="1" applyBorder="1" applyFont="1">
      <alignment horizontal="left" vertical="center"/>
    </xf>
    <xf borderId="8" fillId="6" fontId="18" numFmtId="165" xfId="0" applyAlignment="1" applyBorder="1" applyFont="1" applyNumberFormat="1">
      <alignment horizontal="right" vertical="center"/>
    </xf>
    <xf borderId="8" fillId="0" fontId="26" numFmtId="165" xfId="0" applyAlignment="1" applyBorder="1" applyFont="1" applyNumberFormat="1">
      <alignment horizontal="right" vertical="center"/>
    </xf>
    <xf borderId="8" fillId="0" fontId="26" numFmtId="168" xfId="0" applyAlignment="1" applyBorder="1" applyFont="1" applyNumberFormat="1">
      <alignment horizontal="right" vertical="center"/>
    </xf>
    <xf borderId="8" fillId="6" fontId="26" numFmtId="165" xfId="0" applyAlignment="1" applyBorder="1" applyFont="1" applyNumberFormat="1">
      <alignment horizontal="right" vertical="center"/>
    </xf>
    <xf borderId="8" fillId="6" fontId="26" numFmtId="168" xfId="0" applyAlignment="1" applyBorder="1" applyFont="1" applyNumberFormat="1">
      <alignment horizontal="right" vertical="center"/>
    </xf>
    <xf borderId="1" fillId="3" fontId="27" numFmtId="0" xfId="0" applyAlignment="1" applyBorder="1" applyFont="1">
      <alignment vertical="center"/>
    </xf>
    <xf borderId="1" fillId="3" fontId="28" numFmtId="165" xfId="0" applyAlignment="1" applyBorder="1" applyFont="1" applyNumberFormat="1">
      <alignment horizontal="right" vertical="center"/>
    </xf>
    <xf borderId="1" fillId="3" fontId="28" numFmtId="168" xfId="0" applyAlignment="1" applyBorder="1" applyFont="1" applyNumberFormat="1">
      <alignment horizontal="right" vertical="center"/>
    </xf>
    <xf borderId="1" fillId="3" fontId="27" numFmtId="0" xfId="0" applyAlignment="1" applyBorder="1" applyFont="1">
      <alignment horizontal="left" vertical="center"/>
    </xf>
    <xf borderId="0" fillId="0" fontId="8" numFmtId="0" xfId="0" applyAlignment="1" applyFont="1">
      <alignment horizontal="center"/>
    </xf>
    <xf borderId="1" fillId="3" fontId="28" numFmtId="3" xfId="0" applyAlignment="1" applyBorder="1" applyFont="1" applyNumberFormat="1">
      <alignment horizontal="right" vertical="center"/>
    </xf>
    <xf borderId="1" fillId="3" fontId="28" numFmtId="2" xfId="0" applyAlignment="1" applyBorder="1" applyFont="1" applyNumberFormat="1">
      <alignment horizontal="right" vertical="center"/>
    </xf>
    <xf borderId="4" fillId="7" fontId="29" numFmtId="169" xfId="0" applyAlignment="1" applyBorder="1" applyFont="1" applyNumberFormat="1">
      <alignment horizontal="center" vertical="center"/>
    </xf>
    <xf borderId="1" fillId="6" fontId="12" numFmtId="0" xfId="0" applyAlignment="1" applyBorder="1" applyFont="1">
      <alignment vertical="center"/>
    </xf>
    <xf borderId="8" fillId="0" fontId="16" numFmtId="169" xfId="0" applyAlignment="1" applyBorder="1" applyFont="1" applyNumberFormat="1">
      <alignment horizontal="right" vertical="center"/>
    </xf>
    <xf borderId="8" fillId="0" fontId="18" numFmtId="169" xfId="0" applyAlignment="1" applyBorder="1" applyFont="1" applyNumberFormat="1">
      <alignment horizontal="right" vertical="center"/>
    </xf>
    <xf borderId="8" fillId="6" fontId="16" numFmtId="169" xfId="0" applyAlignment="1" applyBorder="1" applyFont="1" applyNumberFormat="1">
      <alignment horizontal="right" vertical="center"/>
    </xf>
    <xf borderId="8" fillId="6" fontId="18" numFmtId="169" xfId="0" applyAlignment="1" applyBorder="1" applyFont="1" applyNumberFormat="1">
      <alignment horizontal="right" vertical="center"/>
    </xf>
    <xf borderId="0" fillId="0" fontId="25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8" fillId="5" fontId="16" numFmtId="3" xfId="0" applyAlignment="1" applyBorder="1" applyFont="1" applyNumberFormat="1">
      <alignment horizontal="right" vertical="center"/>
    </xf>
    <xf borderId="8" fillId="0" fontId="16" numFmtId="170" xfId="0" applyAlignment="1" applyBorder="1" applyFont="1" applyNumberFormat="1">
      <alignment horizontal="right" vertical="center"/>
    </xf>
    <xf borderId="8" fillId="0" fontId="26" numFmtId="171" xfId="0" applyAlignment="1" applyBorder="1" applyFont="1" applyNumberFormat="1">
      <alignment horizontal="right" vertical="center"/>
    </xf>
    <xf borderId="8" fillId="6" fontId="16" numFmtId="170" xfId="0" applyAlignment="1" applyBorder="1" applyFont="1" applyNumberFormat="1">
      <alignment horizontal="right" vertical="center"/>
    </xf>
    <xf borderId="8" fillId="6" fontId="26" numFmtId="171" xfId="0" applyAlignment="1" applyBorder="1" applyFont="1" applyNumberFormat="1">
      <alignment horizontal="right" vertical="center"/>
    </xf>
    <xf borderId="2" fillId="3" fontId="27" numFmtId="0" xfId="0" applyAlignment="1" applyBorder="1" applyFont="1">
      <alignment vertical="center"/>
    </xf>
    <xf borderId="1" fillId="3" fontId="30" numFmtId="0" xfId="0" applyAlignment="1" applyBorder="1" applyFont="1">
      <alignment horizontal="right" vertical="center"/>
    </xf>
    <xf borderId="1" fillId="3" fontId="28" numFmtId="171" xfId="0" applyAlignment="1" applyBorder="1" applyFont="1" applyNumberFormat="1">
      <alignment horizontal="right" vertical="center"/>
    </xf>
    <xf borderId="8" fillId="0" fontId="26" numFmtId="167" xfId="0" applyAlignment="1" applyBorder="1" applyFont="1" applyNumberFormat="1">
      <alignment horizontal="right" vertical="center"/>
    </xf>
    <xf borderId="8" fillId="6" fontId="26" numFmtId="167" xfId="0" applyAlignment="1" applyBorder="1" applyFont="1" applyNumberFormat="1">
      <alignment horizontal="right" vertical="center"/>
    </xf>
    <xf borderId="1" fillId="3" fontId="28" numFmtId="167" xfId="0" applyAlignment="1" applyBorder="1" applyFont="1" applyNumberFormat="1">
      <alignment horizontal="right" vertical="center"/>
    </xf>
    <xf borderId="4" fillId="7" fontId="31" numFmtId="165" xfId="0" applyAlignment="1" applyBorder="1" applyFont="1" applyNumberFormat="1">
      <alignment horizontal="center" vertical="center"/>
    </xf>
    <xf borderId="2" fillId="2" fontId="11" numFmtId="0" xfId="0" applyAlignment="1" applyBorder="1" applyFont="1">
      <alignment horizontal="left" vertical="center"/>
    </xf>
    <xf borderId="1" fillId="4" fontId="15" numFmtId="0" xfId="0" applyAlignment="1" applyBorder="1" applyFont="1">
      <alignment horizontal="center" vertical="center"/>
    </xf>
    <xf borderId="2" fillId="8" fontId="11" numFmtId="0" xfId="0" applyAlignment="1" applyBorder="1" applyFill="1" applyFont="1">
      <alignment horizontal="left" vertical="center"/>
    </xf>
    <xf borderId="1" fillId="8" fontId="1" numFmtId="0" xfId="0" applyBorder="1" applyFont="1"/>
    <xf borderId="2" fillId="8" fontId="6" numFmtId="0" xfId="0" applyAlignment="1" applyBorder="1" applyFont="1">
      <alignment horizontal="left" shrinkToFit="0" vertical="top" wrapText="1"/>
    </xf>
    <xf borderId="1" fillId="9" fontId="32" numFmtId="0" xfId="0" applyAlignment="1" applyBorder="1" applyFill="1" applyFont="1">
      <alignment horizontal="center" vertical="center"/>
    </xf>
    <xf borderId="1" fillId="10" fontId="22" numFmtId="0" xfId="0" applyAlignment="1" applyBorder="1" applyFill="1" applyFont="1">
      <alignment horizontal="center" vertical="center"/>
    </xf>
    <xf borderId="2" fillId="3" fontId="33" numFmtId="0" xfId="0" applyAlignment="1" applyBorder="1" applyFont="1">
      <alignment horizontal="left" vertical="center"/>
    </xf>
    <xf borderId="4" fillId="3" fontId="34" numFmtId="0" xfId="0" applyAlignment="1" applyBorder="1" applyFont="1">
      <alignment horizontal="left" readingOrder="0" shrinkToFit="0" vertical="top" wrapText="1"/>
    </xf>
    <xf borderId="1" fillId="3" fontId="1" numFmtId="0" xfId="0" applyBorder="1" applyFont="1"/>
    <xf borderId="2" fillId="2" fontId="35" numFmtId="0" xfId="0" applyAlignment="1" applyBorder="1" applyFont="1">
      <alignment horizontal="left"/>
    </xf>
    <xf borderId="0" fillId="0" fontId="36" numFmtId="0" xfId="0" applyFont="1"/>
    <xf borderId="11" fillId="0" fontId="17" numFmtId="0" xfId="0" applyBorder="1" applyFont="1"/>
    <xf borderId="11" fillId="0" fontId="1" numFmtId="0" xfId="0" applyBorder="1" applyFont="1"/>
    <xf borderId="11" fillId="0" fontId="14" numFmtId="2" xfId="0" applyAlignment="1" applyBorder="1" applyFont="1" applyNumberFormat="1">
      <alignment horizontal="right" vertical="center"/>
    </xf>
    <xf borderId="11" fillId="0" fontId="14" numFmtId="165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095500" cy="57150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entage.com/book-a-demo?utm_source=worksheet&amp;utm_medium=link&amp;utm_campaign=wfp-healthcare&amp;utm_content=book+a+demo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entage.com/book-a-demo?utm_source=worksheet&amp;utm_medium=link&amp;utm_campaign=wfp-healthcare&amp;utm_content=book+a+demo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C6AE"/>
    <pageSetUpPr fitToPage="1"/>
  </sheetPr>
  <sheetViews>
    <sheetView showGridLines="0" workbookViewId="0"/>
  </sheetViews>
  <sheetFormatPr customHeight="1" defaultColWidth="14.43" defaultRowHeight="15.0"/>
  <cols>
    <col customWidth="1" min="1" max="2" width="3.0"/>
    <col customWidth="1" min="3" max="11" width="22.0"/>
    <col customWidth="1" min="12" max="12" width="3.0"/>
    <col customWidth="1" min="13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ht="9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>
      <c r="A7" s="1"/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1"/>
    </row>
    <row r="8" ht="39.75" customHeight="1">
      <c r="A8" s="1"/>
      <c r="B8" s="4" t="s">
        <v>1</v>
      </c>
      <c r="C8" s="5"/>
      <c r="D8" s="5"/>
      <c r="E8" s="5"/>
      <c r="F8" s="5"/>
      <c r="G8" s="5"/>
      <c r="H8" s="5"/>
      <c r="I8" s="5"/>
      <c r="J8" s="5"/>
      <c r="K8" s="5"/>
      <c r="L8" s="1"/>
    </row>
    <row r="9" ht="39.75" customHeight="1">
      <c r="A9" s="1"/>
      <c r="B9" s="6"/>
      <c r="L9" s="1"/>
    </row>
    <row r="10" ht="9.75" customHeight="1">
      <c r="A10" s="1"/>
      <c r="B10" s="6"/>
      <c r="L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ht="21.75" customHeight="1">
      <c r="A12" s="1"/>
      <c r="B12" s="8" t="s">
        <v>3</v>
      </c>
      <c r="C12" s="5"/>
      <c r="D12" s="5"/>
      <c r="E12" s="5"/>
      <c r="F12" s="5"/>
      <c r="G12" s="5"/>
      <c r="H12" s="5"/>
      <c r="I12" s="5"/>
      <c r="J12" s="5"/>
      <c r="K12" s="5"/>
      <c r="L12" s="1"/>
    </row>
    <row r="13" ht="39.75" customHeight="1">
      <c r="A13" s="1"/>
      <c r="B13" s="6"/>
      <c r="L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ht="3.0" customHeight="1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21.75" customHeight="1">
      <c r="A17" s="1"/>
      <c r="B17" s="14" t="s">
        <v>13</v>
      </c>
      <c r="C17" s="3"/>
      <c r="D17" s="3"/>
      <c r="E17" s="3"/>
      <c r="F17" s="3"/>
      <c r="G17" s="3"/>
      <c r="H17" s="3"/>
      <c r="I17" s="3"/>
      <c r="J17" s="3"/>
      <c r="K17" s="3"/>
      <c r="L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21.75" customHeight="1">
      <c r="A19" s="1"/>
      <c r="B19" s="18" t="s">
        <v>34</v>
      </c>
      <c r="C19" s="20" t="s">
        <v>38</v>
      </c>
      <c r="D19" s="3"/>
      <c r="E19" s="3"/>
      <c r="F19" s="3"/>
      <c r="G19" s="3"/>
      <c r="H19" s="3"/>
      <c r="I19" s="3"/>
      <c r="J19" s="3"/>
      <c r="K19" s="3"/>
      <c r="L19" s="1"/>
    </row>
    <row r="20" ht="42.0" customHeight="1">
      <c r="A20" s="1"/>
      <c r="B20" s="24"/>
      <c r="C20" s="26" t="s">
        <v>45</v>
      </c>
      <c r="D20" s="3"/>
      <c r="E20" s="3"/>
      <c r="F20" s="3"/>
      <c r="G20" s="3"/>
      <c r="H20" s="3"/>
      <c r="I20" s="3"/>
      <c r="J20" s="3"/>
      <c r="K20" s="3"/>
      <c r="L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21.75" customHeight="1">
      <c r="A22" s="1"/>
      <c r="B22" s="18" t="s">
        <v>58</v>
      </c>
      <c r="C22" s="20" t="s">
        <v>61</v>
      </c>
      <c r="D22" s="3"/>
      <c r="E22" s="3"/>
      <c r="F22" s="3"/>
      <c r="G22" s="3"/>
      <c r="H22" s="3"/>
      <c r="I22" s="3"/>
      <c r="J22" s="3"/>
      <c r="K22" s="3"/>
      <c r="L22" s="1"/>
    </row>
    <row r="23" ht="42.0" customHeight="1">
      <c r="A23" s="1"/>
      <c r="B23" s="24"/>
      <c r="C23" s="26" t="s">
        <v>67</v>
      </c>
      <c r="D23" s="3"/>
      <c r="E23" s="3"/>
      <c r="F23" s="3"/>
      <c r="G23" s="3"/>
      <c r="H23" s="3"/>
      <c r="I23" s="3"/>
      <c r="J23" s="3"/>
      <c r="K23" s="3"/>
      <c r="L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21.75" customHeight="1">
      <c r="A25" s="1"/>
      <c r="B25" s="18" t="s">
        <v>76</v>
      </c>
      <c r="C25" s="20" t="s">
        <v>79</v>
      </c>
      <c r="D25" s="3"/>
      <c r="E25" s="3"/>
      <c r="F25" s="3"/>
      <c r="G25" s="3"/>
      <c r="H25" s="3"/>
      <c r="I25" s="3"/>
      <c r="J25" s="3"/>
      <c r="K25" s="3"/>
      <c r="L25" s="1"/>
    </row>
    <row r="26" ht="42.0" customHeight="1">
      <c r="A26" s="1"/>
      <c r="B26" s="24"/>
      <c r="C26" s="26" t="s">
        <v>83</v>
      </c>
      <c r="D26" s="3"/>
      <c r="E26" s="3"/>
      <c r="F26" s="3"/>
      <c r="G26" s="3"/>
      <c r="H26" s="3"/>
      <c r="I26" s="3"/>
      <c r="J26" s="3"/>
      <c r="K26" s="3"/>
      <c r="L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21.75" customHeight="1">
      <c r="A29" s="1"/>
      <c r="B29" s="14" t="s">
        <v>93</v>
      </c>
      <c r="C29" s="3"/>
      <c r="D29" s="3"/>
      <c r="E29" s="3"/>
      <c r="F29" s="3"/>
      <c r="G29" s="3"/>
      <c r="H29" s="3"/>
      <c r="I29" s="3"/>
      <c r="J29" s="3"/>
      <c r="K29" s="3"/>
      <c r="L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9.5" customHeight="1">
      <c r="A31" s="1"/>
      <c r="B31" s="12"/>
      <c r="C31" s="36" t="s">
        <v>2</v>
      </c>
      <c r="D31" s="3"/>
      <c r="E31" s="3"/>
      <c r="F31" s="37" t="s">
        <v>103</v>
      </c>
      <c r="G31" s="3"/>
      <c r="H31" s="3"/>
      <c r="I31" s="3"/>
      <c r="J31" s="3"/>
      <c r="K31" s="3"/>
      <c r="L31" s="1"/>
    </row>
    <row r="32" ht="19.5" customHeight="1">
      <c r="A32" s="1"/>
      <c r="B32" s="12"/>
      <c r="C32" s="36" t="s">
        <v>16</v>
      </c>
      <c r="D32" s="3"/>
      <c r="E32" s="3"/>
      <c r="F32" s="37" t="s">
        <v>108</v>
      </c>
      <c r="G32" s="3"/>
      <c r="H32" s="3"/>
      <c r="I32" s="3"/>
      <c r="J32" s="3"/>
      <c r="K32" s="3"/>
      <c r="L32" s="1"/>
    </row>
    <row r="33" ht="19.5" customHeight="1">
      <c r="A33" s="1"/>
      <c r="B33" s="12"/>
      <c r="C33" s="36" t="s">
        <v>132</v>
      </c>
      <c r="D33" s="3"/>
      <c r="E33" s="3"/>
      <c r="F33" s="37" t="s">
        <v>135</v>
      </c>
      <c r="G33" s="3"/>
      <c r="H33" s="3"/>
      <c r="I33" s="3"/>
      <c r="J33" s="3"/>
      <c r="K33" s="3"/>
      <c r="L33" s="1"/>
    </row>
    <row r="34" ht="19.5" customHeight="1">
      <c r="A34" s="1"/>
      <c r="B34" s="12"/>
      <c r="C34" s="36" t="s">
        <v>139</v>
      </c>
      <c r="D34" s="3"/>
      <c r="E34" s="3"/>
      <c r="F34" s="37" t="s">
        <v>141</v>
      </c>
      <c r="G34" s="3"/>
      <c r="H34" s="3"/>
      <c r="I34" s="3"/>
      <c r="J34" s="3"/>
      <c r="K34" s="3"/>
      <c r="L34" s="1"/>
    </row>
    <row r="35" ht="19.5" customHeight="1">
      <c r="A35" s="1"/>
      <c r="B35" s="12"/>
      <c r="C35" s="36" t="s">
        <v>145</v>
      </c>
      <c r="D35" s="3"/>
      <c r="E35" s="3"/>
      <c r="F35" s="37" t="s">
        <v>147</v>
      </c>
      <c r="G35" s="3"/>
      <c r="H35" s="3"/>
      <c r="I35" s="3"/>
      <c r="J35" s="3"/>
      <c r="K35" s="3"/>
      <c r="L35" s="1"/>
    </row>
    <row r="36" ht="19.5" customHeight="1">
      <c r="A36" s="1"/>
      <c r="B36" s="12"/>
      <c r="C36" s="36" t="s">
        <v>152</v>
      </c>
      <c r="D36" s="3"/>
      <c r="E36" s="3"/>
      <c r="F36" s="37" t="s">
        <v>153</v>
      </c>
      <c r="G36" s="3"/>
      <c r="H36" s="3"/>
      <c r="I36" s="3"/>
      <c r="J36" s="3"/>
      <c r="K36" s="3"/>
      <c r="L36" s="1"/>
    </row>
    <row r="37" ht="19.5" customHeight="1">
      <c r="A37" s="1"/>
      <c r="B37" s="12"/>
      <c r="C37" s="36" t="s">
        <v>154</v>
      </c>
      <c r="D37" s="3"/>
      <c r="E37" s="3"/>
      <c r="F37" s="37" t="s">
        <v>155</v>
      </c>
      <c r="G37" s="3"/>
      <c r="H37" s="3"/>
      <c r="I37" s="3"/>
      <c r="J37" s="3"/>
      <c r="K37" s="3"/>
      <c r="L37" s="1"/>
    </row>
    <row r="38" ht="19.5" customHeight="1">
      <c r="A38" s="1"/>
      <c r="B38" s="12"/>
      <c r="C38" s="36" t="s">
        <v>156</v>
      </c>
      <c r="D38" s="3"/>
      <c r="E38" s="3"/>
      <c r="F38" s="37" t="s">
        <v>157</v>
      </c>
      <c r="G38" s="3"/>
      <c r="H38" s="3"/>
      <c r="I38" s="3"/>
      <c r="J38" s="3"/>
      <c r="K38" s="3"/>
      <c r="L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ht="25.5" customHeight="1">
      <c r="A41" s="1"/>
      <c r="B41" s="46" t="s">
        <v>158</v>
      </c>
      <c r="C41" s="5"/>
      <c r="D41" s="5"/>
      <c r="E41" s="5"/>
      <c r="F41" s="5"/>
      <c r="G41" s="5"/>
      <c r="H41" s="5"/>
      <c r="I41" s="5"/>
      <c r="J41" s="5"/>
      <c r="K41" s="5"/>
      <c r="L41" s="1"/>
    </row>
    <row r="42" ht="25.5" customHeight="1">
      <c r="A42" s="1"/>
      <c r="B42" s="6"/>
      <c r="L42" s="1"/>
    </row>
    <row r="43" ht="25.5" customHeight="1">
      <c r="A43" s="1"/>
      <c r="B43" s="6"/>
      <c r="L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5.75" customHeight="1">
      <c r="A45" s="1"/>
      <c r="B45" s="47" t="s">
        <v>159</v>
      </c>
      <c r="C45" s="3"/>
      <c r="D45" s="3"/>
      <c r="E45" s="3"/>
      <c r="F45" s="3"/>
      <c r="G45" s="3"/>
      <c r="H45" s="3"/>
      <c r="I45" s="3"/>
      <c r="J45" s="3"/>
      <c r="K45" s="3"/>
      <c r="L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B7:K7"/>
    <mergeCell ref="B8:K10"/>
    <mergeCell ref="B12:K13"/>
    <mergeCell ref="B17:K17"/>
    <mergeCell ref="B19:B20"/>
    <mergeCell ref="C19:K19"/>
    <mergeCell ref="C20:K20"/>
    <mergeCell ref="B22:B23"/>
    <mergeCell ref="C22:K22"/>
    <mergeCell ref="C23:K23"/>
    <mergeCell ref="B25:B26"/>
    <mergeCell ref="C25:K25"/>
    <mergeCell ref="C26:K26"/>
    <mergeCell ref="B29:K29"/>
    <mergeCell ref="C34:E34"/>
    <mergeCell ref="C35:E35"/>
    <mergeCell ref="C36:E36"/>
    <mergeCell ref="C37:E37"/>
    <mergeCell ref="C38:E38"/>
    <mergeCell ref="F35:K35"/>
    <mergeCell ref="F36:K36"/>
    <mergeCell ref="F37:K37"/>
    <mergeCell ref="F38:K38"/>
    <mergeCell ref="B41:K43"/>
    <mergeCell ref="B45:K45"/>
    <mergeCell ref="C31:E31"/>
    <mergeCell ref="F31:K31"/>
    <mergeCell ref="C32:E32"/>
    <mergeCell ref="F32:K32"/>
    <mergeCell ref="C33:E33"/>
    <mergeCell ref="F33:K33"/>
    <mergeCell ref="F34:K34"/>
  </mergeCells>
  <hyperlinks>
    <hyperlink r:id="rId1" ref="B41"/>
  </hyperlinks>
  <printOptions horizontalCentered="1"/>
  <pageMargins bottom="0.6000000000000001" footer="0.0" header="0.0" left="0.4" right="0.4" top="0.6000000000000001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03426"/>
    <pageSetUpPr fitToPage="1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26.0"/>
    <col customWidth="1" min="3" max="3" width="10.0"/>
    <col customWidth="1" min="4" max="4" width="12.0"/>
    <col customWidth="1" min="5" max="6" width="8.0"/>
    <col customWidth="1" min="7" max="7" width="12.0"/>
    <col customWidth="1" min="8" max="8" width="9.0"/>
    <col customWidth="1" min="9" max="9" width="8.0"/>
    <col customWidth="1" min="10" max="10" width="10.0"/>
    <col customWidth="1" min="11" max="11" width="6.0"/>
    <col customWidth="1" min="12" max="12" width="7.0"/>
    <col customWidth="1" min="13" max="13" width="9.0"/>
    <col customWidth="1" min="14" max="15" width="12.0"/>
    <col customWidth="1" min="16" max="16" width="22.0"/>
    <col customWidth="1" min="17" max="17" width="14.0"/>
    <col customWidth="1" min="18" max="20" width="16.0"/>
    <col customWidth="1" min="21" max="26" width="8.71"/>
  </cols>
  <sheetData>
    <row r="1" ht="43.5" customHeight="1">
      <c r="A1" s="7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>
      <c r="A2" s="9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5.75" customHeight="1">
      <c r="B3" s="10" t="s">
        <v>5</v>
      </c>
    </row>
    <row r="4" ht="18.0" customHeight="1">
      <c r="B4" s="11" t="s">
        <v>6</v>
      </c>
    </row>
    <row r="6" ht="31.5" customHeight="1"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3" t="s">
        <v>12</v>
      </c>
      <c r="H6" s="13" t="s">
        <v>14</v>
      </c>
      <c r="I6" s="13" t="s">
        <v>15</v>
      </c>
      <c r="J6" s="13" t="s">
        <v>17</v>
      </c>
      <c r="K6" s="13" t="s">
        <v>18</v>
      </c>
      <c r="L6" s="13" t="s">
        <v>19</v>
      </c>
      <c r="M6" s="13" t="s">
        <v>20</v>
      </c>
      <c r="N6" s="13" t="s">
        <v>21</v>
      </c>
      <c r="O6" s="13" t="s">
        <v>22</v>
      </c>
      <c r="P6" s="13" t="s">
        <v>24</v>
      </c>
      <c r="Q6" s="13" t="s">
        <v>25</v>
      </c>
      <c r="R6" s="13" t="s">
        <v>26</v>
      </c>
      <c r="S6" s="13" t="s">
        <v>27</v>
      </c>
      <c r="T6" s="13" t="s">
        <v>29</v>
      </c>
    </row>
    <row r="7" ht="21.75" customHeight="1">
      <c r="B7" s="16" t="s">
        <v>31</v>
      </c>
      <c r="C7" s="16" t="s">
        <v>32</v>
      </c>
      <c r="D7" s="16" t="s">
        <v>33</v>
      </c>
      <c r="E7" s="16" t="s">
        <v>36</v>
      </c>
      <c r="F7" s="16" t="s">
        <v>37</v>
      </c>
      <c r="G7" s="16" t="s">
        <v>40</v>
      </c>
      <c r="H7" s="16" t="s">
        <v>41</v>
      </c>
      <c r="I7" s="22">
        <v>36.0</v>
      </c>
      <c r="J7" s="23">
        <v>58.5</v>
      </c>
      <c r="K7" s="33">
        <v>1.0</v>
      </c>
      <c r="L7" s="22">
        <v>80.0</v>
      </c>
      <c r="M7" s="23">
        <v>3.0</v>
      </c>
      <c r="N7" s="35" t="s">
        <v>96</v>
      </c>
      <c r="O7" s="35"/>
      <c r="P7" s="16" t="s">
        <v>99</v>
      </c>
      <c r="Q7" s="40">
        <f>IF(OR(J7="",I7="",K7="",G7=""),"",IF(OR(G7="travel",G7="agency",G7="contract_1099"),J7*I7*52*K7,((J7+IFERROR(VLOOKUP(H7,Assumptions!$B$25:$C$29,2,FALSE),0)+IF(M7="",0,M7))*I7*52*K7)+(IF(L7="",0,L7)*J7*1.5*K7)))</f>
        <v>122148</v>
      </c>
      <c r="R7" s="40">
        <f>IF(Q7="","",IF(G7="permanent",Q7*(Assumptions!$C$9+Assumptions!$C$10+Assumptions!$C$11+IF(IFERROR(VLOOKUP(E7,Assumptions!$B$47:$C$67,2,FALSE),"clinical")="clinical",Assumptions!$C$14,Assumptions!$C$15)+IFERROR(VLOOKUP(B7,Assumptions!$B$33:$D$36,3,FALSE),0)+IFERROR(VLOOKUP(IFERROR(VLOOKUP(B7,Assumptions!$B$33:$D$36,2,FALSE),""),Assumptions!$B$40:$D$43,2,FALSE),0)+IFERROR(VLOOKUP(IFERROR(VLOOKUP(B7,Assumptions!$B$33:$D$36,2,FALSE),""),Assumptions!$B$40:$D$43,3,FALSE),0)+Assumptions!$C$20)+Assumptions!$C$18*K7+Assumptions!$C$21*K7,IF(G7="per_diem",Q7*(Assumptions!$C$10+IF(IFERROR(VLOOKUP(E7,Assumptions!$B$47:$C$67,2,FALSE),"clinical")="clinical",Assumptions!$C$14,Assumptions!$C$15)+IFERROR(VLOOKUP(B7,Assumptions!$B$33:$D$36,3,FALSE),0)+IFERROR(VLOOKUP(IFERROR(VLOOKUP(B7,Assumptions!$B$33:$D$36,2,FALSE),""),Assumptions!$B$40:$D$43,2,FALSE),0)+IFERROR(VLOOKUP(IFERROR(VLOOKUP(B7,Assumptions!$B$33:$D$36,2,FALSE),""),Assumptions!$B$40:$D$43,3,FALSE),0))+Assumptions!$C$19*K7,0)))</f>
        <v>55040.058</v>
      </c>
      <c r="S7" s="45">
        <f t="shared" ref="S7:S47" si="1">IF(Q7="","",Q7+R7)</f>
        <v>177188.058</v>
      </c>
      <c r="T7" s="48">
        <f>IF(Q7="","",IF(G7="permanent",S7,IFERROR(AVERAGEIFS(Employees!$J$7:$J$67,Employees!$B$7:$B$67,B7,Employees!$E$7:$E$67,E7,Employees!$G$7:$G$67,"permanent")*I7*52*K7*(1+Assumptions!$C$9+Assumptions!$C$10+Assumptions!$C$11+IF(IFERROR(VLOOKUP(E7,Assumptions!$B$47:$C$67,2,FALSE),"clinical")="clinical",Assumptions!$C$14,Assumptions!$C$15)+IFERROR(VLOOKUP(B7,Assumptions!$B$33:$D$36,3,FALSE),0)+IFERROR(VLOOKUP(IFERROR(VLOOKUP(B7,Assumptions!$B$33:$D$36,2,FALSE),""),Assumptions!$B$40:$D$43,2,FALSE),0)+IFERROR(VLOOKUP(IFERROR(VLOOKUP(B7,Assumptions!$B$33:$D$36,2,FALSE),""),Assumptions!$B$40:$D$43,3,FALSE),0)+Assumptions!$C$20)+Assumptions!$C$18*K7+Assumptions!$C$21*K7,S7)))</f>
        <v>177188.058</v>
      </c>
    </row>
    <row r="8" ht="21.75" customHeight="1">
      <c r="B8" s="49" t="s">
        <v>31</v>
      </c>
      <c r="C8" s="49" t="s">
        <v>160</v>
      </c>
      <c r="D8" s="49" t="s">
        <v>161</v>
      </c>
      <c r="E8" s="49" t="s">
        <v>36</v>
      </c>
      <c r="F8" s="49" t="s">
        <v>162</v>
      </c>
      <c r="G8" s="49" t="s">
        <v>40</v>
      </c>
      <c r="H8" s="49" t="s">
        <v>72</v>
      </c>
      <c r="I8" s="50">
        <v>36.0</v>
      </c>
      <c r="J8" s="51">
        <v>46.0</v>
      </c>
      <c r="K8" s="52">
        <v>1.0</v>
      </c>
      <c r="L8" s="50">
        <v>120.0</v>
      </c>
      <c r="M8" s="51">
        <v>0.0</v>
      </c>
      <c r="N8" s="53" t="s">
        <v>163</v>
      </c>
      <c r="O8" s="53"/>
      <c r="P8" s="49" t="s">
        <v>165</v>
      </c>
      <c r="Q8" s="40">
        <f>IF(OR(J8="",I8="",K8="",G8=""),"",IF(OR(G8="travel",G8="agency",G8="contract_1099"),J8*I8*52*K8,((J8+IFERROR(VLOOKUP(H8,Assumptions!$B$25:$C$29,2,FALSE),0)+IF(M8="",0,M8))*I8*52*K8)+(IF(L8="",0,L8)*J8*1.5*K8)))</f>
        <v>103752</v>
      </c>
      <c r="R8" s="40">
        <f>IF(Q8="","",IF(G8="permanent",Q8*(Assumptions!$C$9+Assumptions!$C$10+Assumptions!$C$11+IF(IFERROR(VLOOKUP(E8,Assumptions!$B$47:$C$67,2,FALSE),"clinical")="clinical",Assumptions!$C$14,Assumptions!$C$15)+IFERROR(VLOOKUP(B8,Assumptions!$B$33:$D$36,3,FALSE),0)+IFERROR(VLOOKUP(IFERROR(VLOOKUP(B8,Assumptions!$B$33:$D$36,2,FALSE),""),Assumptions!$B$40:$D$43,2,FALSE),0)+IFERROR(VLOOKUP(IFERROR(VLOOKUP(B8,Assumptions!$B$33:$D$36,2,FALSE),""),Assumptions!$B$40:$D$43,3,FALSE),0)+Assumptions!$C$20)+Assumptions!$C$18*K8+Assumptions!$C$21*K8,IF(G8="per_diem",Q8*(Assumptions!$C$10+IF(IFERROR(VLOOKUP(E8,Assumptions!$B$47:$C$67,2,FALSE),"clinical")="clinical",Assumptions!$C$14,Assumptions!$C$15)+IFERROR(VLOOKUP(B8,Assumptions!$B$33:$D$36,3,FALSE),0)+IFERROR(VLOOKUP(IFERROR(VLOOKUP(B8,Assumptions!$B$33:$D$36,2,FALSE),""),Assumptions!$B$40:$D$43,2,FALSE),0)+IFERROR(VLOOKUP(IFERROR(VLOOKUP(B8,Assumptions!$B$33:$D$36,2,FALSE),""),Assumptions!$B$40:$D$43,3,FALSE),0))+Assumptions!$C$19*K8,0)))</f>
        <v>48445.092</v>
      </c>
      <c r="S8" s="45">
        <f t="shared" si="1"/>
        <v>152197.092</v>
      </c>
      <c r="T8" s="48">
        <f>IF(Q8="","",IF(G8="permanent",S8,IFERROR(AVERAGEIFS(Employees!$J$7:$J$67,Employees!$B$7:$B$67,B8,Employees!$E$7:$E$67,E8,Employees!$G$7:$G$67,"permanent")*I8*52*K8*(1+Assumptions!$C$9+Assumptions!$C$10+Assumptions!$C$11+IF(IFERROR(VLOOKUP(E8,Assumptions!$B$47:$C$67,2,FALSE),"clinical")="clinical",Assumptions!$C$14,Assumptions!$C$15)+IFERROR(VLOOKUP(B8,Assumptions!$B$33:$D$36,3,FALSE),0)+IFERROR(VLOOKUP(IFERROR(VLOOKUP(B8,Assumptions!$B$33:$D$36,2,FALSE),""),Assumptions!$B$40:$D$43,2,FALSE),0)+IFERROR(VLOOKUP(IFERROR(VLOOKUP(B8,Assumptions!$B$33:$D$36,2,FALSE),""),Assumptions!$B$40:$D$43,3,FALSE),0)+Assumptions!$C$20)+Assumptions!$C$18*K8+Assumptions!$C$21*K8,S8)))</f>
        <v>152197.092</v>
      </c>
    </row>
    <row r="9" ht="21.75" customHeight="1">
      <c r="B9" s="16" t="s">
        <v>31</v>
      </c>
      <c r="C9" s="16" t="s">
        <v>180</v>
      </c>
      <c r="D9" s="16" t="s">
        <v>181</v>
      </c>
      <c r="E9" s="16" t="s">
        <v>36</v>
      </c>
      <c r="F9" s="16" t="s">
        <v>183</v>
      </c>
      <c r="G9" s="16" t="s">
        <v>40</v>
      </c>
      <c r="H9" s="16" t="s">
        <v>41</v>
      </c>
      <c r="I9" s="22">
        <v>36.0</v>
      </c>
      <c r="J9" s="23">
        <v>38.75</v>
      </c>
      <c r="K9" s="33">
        <v>1.0</v>
      </c>
      <c r="L9" s="22">
        <v>60.0</v>
      </c>
      <c r="M9" s="23">
        <v>0.0</v>
      </c>
      <c r="N9" s="35" t="s">
        <v>184</v>
      </c>
      <c r="O9" s="35"/>
      <c r="P9" s="16" t="s">
        <v>185</v>
      </c>
      <c r="Q9" s="40">
        <f>IF(OR(J9="",I9="",K9="",G9=""),"",IF(OR(G9="travel",G9="agency",G9="contract_1099"),J9*I9*52*K9,((J9+IFERROR(VLOOKUP(H9,Assumptions!$B$25:$C$29,2,FALSE),0)+IF(M9="",0,M9))*I9*52*K9)+(IF(L9="",0,L9)*J9*1.5*K9)))</f>
        <v>76027.5</v>
      </c>
      <c r="R9" s="40">
        <f>IF(Q9="","",IF(G9="permanent",Q9*(Assumptions!$C$9+Assumptions!$C$10+Assumptions!$C$11+IF(IFERROR(VLOOKUP(E9,Assumptions!$B$47:$C$67,2,FALSE),"clinical")="clinical",Assumptions!$C$14,Assumptions!$C$15)+IFERROR(VLOOKUP(B9,Assumptions!$B$33:$D$36,3,FALSE),0)+IFERROR(VLOOKUP(IFERROR(VLOOKUP(B9,Assumptions!$B$33:$D$36,2,FALSE),""),Assumptions!$B$40:$D$43,2,FALSE),0)+IFERROR(VLOOKUP(IFERROR(VLOOKUP(B9,Assumptions!$B$33:$D$36,2,FALSE),""),Assumptions!$B$40:$D$43,3,FALSE),0)+Assumptions!$C$20)+Assumptions!$C$18*K9+Assumptions!$C$21*K9,IF(G9="per_diem",Q9*(Assumptions!$C$10+IF(IFERROR(VLOOKUP(E9,Assumptions!$B$47:$C$67,2,FALSE),"clinical")="clinical",Assumptions!$C$14,Assumptions!$C$15)+IFERROR(VLOOKUP(B9,Assumptions!$B$33:$D$36,3,FALSE),0)+IFERROR(VLOOKUP(IFERROR(VLOOKUP(B9,Assumptions!$B$33:$D$36,2,FALSE),""),Assumptions!$B$40:$D$43,2,FALSE),0)+IFERROR(VLOOKUP(IFERROR(VLOOKUP(B9,Assumptions!$B$33:$D$36,2,FALSE),""),Assumptions!$B$40:$D$43,3,FALSE),0))+Assumptions!$C$19*K9,0)))</f>
        <v>38505.85875</v>
      </c>
      <c r="S9" s="45">
        <f t="shared" si="1"/>
        <v>114533.3588</v>
      </c>
      <c r="T9" s="48">
        <f>IF(Q9="","",IF(G9="permanent",S9,IFERROR(AVERAGEIFS(Employees!$J$7:$J$67,Employees!$B$7:$B$67,B9,Employees!$E$7:$E$67,E9,Employees!$G$7:$G$67,"permanent")*I9*52*K9*(1+Assumptions!$C$9+Assumptions!$C$10+Assumptions!$C$11+IF(IFERROR(VLOOKUP(E9,Assumptions!$B$47:$C$67,2,FALSE),"clinical")="clinical",Assumptions!$C$14,Assumptions!$C$15)+IFERROR(VLOOKUP(B9,Assumptions!$B$33:$D$36,3,FALSE),0)+IFERROR(VLOOKUP(IFERROR(VLOOKUP(B9,Assumptions!$B$33:$D$36,2,FALSE),""),Assumptions!$B$40:$D$43,2,FALSE),0)+IFERROR(VLOOKUP(IFERROR(VLOOKUP(B9,Assumptions!$B$33:$D$36,2,FALSE),""),Assumptions!$B$40:$D$43,3,FALSE),0)+Assumptions!$C$20)+Assumptions!$C$18*K9+Assumptions!$C$21*K9,S9)))</f>
        <v>114533.3588</v>
      </c>
    </row>
    <row r="10" ht="21.75" customHeight="1">
      <c r="B10" s="49" t="s">
        <v>31</v>
      </c>
      <c r="C10" s="49" t="s">
        <v>194</v>
      </c>
      <c r="D10" s="49" t="s">
        <v>195</v>
      </c>
      <c r="E10" s="49" t="s">
        <v>36</v>
      </c>
      <c r="F10" s="49" t="s">
        <v>162</v>
      </c>
      <c r="G10" s="49" t="s">
        <v>40</v>
      </c>
      <c r="H10" s="49" t="s">
        <v>72</v>
      </c>
      <c r="I10" s="50">
        <v>36.0</v>
      </c>
      <c r="J10" s="51">
        <v>47.25</v>
      </c>
      <c r="K10" s="52">
        <v>0.9</v>
      </c>
      <c r="L10" s="50">
        <v>80.0</v>
      </c>
      <c r="M10" s="51">
        <v>0.0</v>
      </c>
      <c r="N10" s="53" t="s">
        <v>197</v>
      </c>
      <c r="O10" s="53"/>
      <c r="P10" s="49" t="s">
        <v>199</v>
      </c>
      <c r="Q10" s="40">
        <f>IF(OR(J10="",I10="",K10="",G10=""),"",IF(OR(G10="travel",G10="agency",G10="contract_1099"),J10*I10*52*K10,((J10+IFERROR(VLOOKUP(H10,Assumptions!$B$25:$C$29,2,FALSE),0)+IF(M10="",0,M10))*I10*52*K10)+(IF(L10="",0,L10)*J10*1.5*K10)))</f>
        <v>93133.8</v>
      </c>
      <c r="R10" s="40">
        <f>IF(Q10="","",IF(G10="permanent",Q10*(Assumptions!$C$9+Assumptions!$C$10+Assumptions!$C$11+IF(IFERROR(VLOOKUP(E10,Assumptions!$B$47:$C$67,2,FALSE),"clinical")="clinical",Assumptions!$C$14,Assumptions!$C$15)+IFERROR(VLOOKUP(B10,Assumptions!$B$33:$D$36,3,FALSE),0)+IFERROR(VLOOKUP(IFERROR(VLOOKUP(B10,Assumptions!$B$33:$D$36,2,FALSE),""),Assumptions!$B$40:$D$43,2,FALSE),0)+IFERROR(VLOOKUP(IFERROR(VLOOKUP(B10,Assumptions!$B$33:$D$36,2,FALSE),""),Assumptions!$B$40:$D$43,3,FALSE),0)+Assumptions!$C$20)+Assumptions!$C$18*K10+Assumptions!$C$21*K10,IF(G10="per_diem",Q10*(Assumptions!$C$10+IF(IFERROR(VLOOKUP(E10,Assumptions!$B$47:$C$67,2,FALSE),"clinical")="clinical",Assumptions!$C$14,Assumptions!$C$15)+IFERROR(VLOOKUP(B10,Assumptions!$B$33:$D$36,3,FALSE),0)+IFERROR(VLOOKUP(IFERROR(VLOOKUP(B10,Assumptions!$B$33:$D$36,2,FALSE),""),Assumptions!$B$40:$D$43,2,FALSE),0)+IFERROR(VLOOKUP(IFERROR(VLOOKUP(B10,Assumptions!$B$33:$D$36,2,FALSE),""),Assumptions!$B$40:$D$43,3,FALSE),0))+Assumptions!$C$19*K10,0)))</f>
        <v>43513.4673</v>
      </c>
      <c r="S10" s="45">
        <f t="shared" si="1"/>
        <v>136647.2673</v>
      </c>
      <c r="T10" s="48">
        <f>IF(Q10="","",IF(G10="permanent",S10,IFERROR(AVERAGEIFS(Employees!$J$7:$J$67,Employees!$B$7:$B$67,B10,Employees!$E$7:$E$67,E10,Employees!$G$7:$G$67,"permanent")*I10*52*K10*(1+Assumptions!$C$9+Assumptions!$C$10+Assumptions!$C$11+IF(IFERROR(VLOOKUP(E10,Assumptions!$B$47:$C$67,2,FALSE),"clinical")="clinical",Assumptions!$C$14,Assumptions!$C$15)+IFERROR(VLOOKUP(B10,Assumptions!$B$33:$D$36,3,FALSE),0)+IFERROR(VLOOKUP(IFERROR(VLOOKUP(B10,Assumptions!$B$33:$D$36,2,FALSE),""),Assumptions!$B$40:$D$43,2,FALSE),0)+IFERROR(VLOOKUP(IFERROR(VLOOKUP(B10,Assumptions!$B$33:$D$36,2,FALSE),""),Assumptions!$B$40:$D$43,3,FALSE),0)+Assumptions!$C$20)+Assumptions!$C$18*K10+Assumptions!$C$21*K10,S10)))</f>
        <v>136647.2673</v>
      </c>
    </row>
    <row r="11" ht="21.75" customHeight="1">
      <c r="B11" s="16" t="s">
        <v>31</v>
      </c>
      <c r="C11" s="16" t="s">
        <v>223</v>
      </c>
      <c r="D11" s="16" t="s">
        <v>224</v>
      </c>
      <c r="E11" s="16" t="s">
        <v>98</v>
      </c>
      <c r="F11" s="16" t="s">
        <v>162</v>
      </c>
      <c r="G11" s="16" t="s">
        <v>40</v>
      </c>
      <c r="H11" s="16" t="s">
        <v>71</v>
      </c>
      <c r="I11" s="22">
        <v>40.0</v>
      </c>
      <c r="J11" s="23">
        <v>31.0</v>
      </c>
      <c r="K11" s="33">
        <v>1.0</v>
      </c>
      <c r="L11" s="22">
        <v>40.0</v>
      </c>
      <c r="M11" s="23">
        <v>0.0</v>
      </c>
      <c r="N11" s="35" t="s">
        <v>226</v>
      </c>
      <c r="O11" s="35"/>
      <c r="P11" s="16"/>
      <c r="Q11" s="40">
        <f>IF(OR(J11="",I11="",K11="",G11=""),"",IF(OR(G11="travel",G11="agency",G11="contract_1099"),J11*I11*52*K11,((J11+IFERROR(VLOOKUP(H11,Assumptions!$B$25:$C$29,2,FALSE),0)+IF(M11="",0,M11))*I11*52*K11)+(IF(L11="",0,L11)*J11*1.5*K11)))</f>
        <v>72580</v>
      </c>
      <c r="R11" s="40">
        <f>IF(Q11="","",IF(G11="permanent",Q11*(Assumptions!$C$9+Assumptions!$C$10+Assumptions!$C$11+IF(IFERROR(VLOOKUP(E11,Assumptions!$B$47:$C$67,2,FALSE),"clinical")="clinical",Assumptions!$C$14,Assumptions!$C$15)+IFERROR(VLOOKUP(B11,Assumptions!$B$33:$D$36,3,FALSE),0)+IFERROR(VLOOKUP(IFERROR(VLOOKUP(B11,Assumptions!$B$33:$D$36,2,FALSE),""),Assumptions!$B$40:$D$43,2,FALSE),0)+IFERROR(VLOOKUP(IFERROR(VLOOKUP(B11,Assumptions!$B$33:$D$36,2,FALSE),""),Assumptions!$B$40:$D$43,3,FALSE),0)+Assumptions!$C$20)+Assumptions!$C$18*K11+Assumptions!$C$21*K11,IF(G11="per_diem",Q11*(Assumptions!$C$10+IF(IFERROR(VLOOKUP(E11,Assumptions!$B$47:$C$67,2,FALSE),"clinical")="clinical",Assumptions!$C$14,Assumptions!$C$15)+IFERROR(VLOOKUP(B11,Assumptions!$B$33:$D$36,3,FALSE),0)+IFERROR(VLOOKUP(IFERROR(VLOOKUP(B11,Assumptions!$B$33:$D$36,2,FALSE),""),Assumptions!$B$40:$D$43,2,FALSE),0)+IFERROR(VLOOKUP(IFERROR(VLOOKUP(B11,Assumptions!$B$33:$D$36,2,FALSE),""),Assumptions!$B$40:$D$43,3,FALSE),0))+Assumptions!$C$19*K11,0)))</f>
        <v>37269.93</v>
      </c>
      <c r="S11" s="45">
        <f t="shared" si="1"/>
        <v>109849.93</v>
      </c>
      <c r="T11" s="48">
        <f>IF(Q11="","",IF(G11="permanent",S11,IFERROR(AVERAGEIFS(Employees!$J$7:$J$67,Employees!$B$7:$B$67,B11,Employees!$E$7:$E$67,E11,Employees!$G$7:$G$67,"permanent")*I11*52*K11*(1+Assumptions!$C$9+Assumptions!$C$10+Assumptions!$C$11+IF(IFERROR(VLOOKUP(E11,Assumptions!$B$47:$C$67,2,FALSE),"clinical")="clinical",Assumptions!$C$14,Assumptions!$C$15)+IFERROR(VLOOKUP(B11,Assumptions!$B$33:$D$36,3,FALSE),0)+IFERROR(VLOOKUP(IFERROR(VLOOKUP(B11,Assumptions!$B$33:$D$36,2,FALSE),""),Assumptions!$B$40:$D$43,2,FALSE),0)+IFERROR(VLOOKUP(IFERROR(VLOOKUP(B11,Assumptions!$B$33:$D$36,2,FALSE),""),Assumptions!$B$40:$D$43,3,FALSE),0)+Assumptions!$C$20)+Assumptions!$C$18*K11+Assumptions!$C$21*K11,S11)))</f>
        <v>109849.93</v>
      </c>
    </row>
    <row r="12" ht="21.75" customHeight="1">
      <c r="B12" s="49" t="s">
        <v>31</v>
      </c>
      <c r="C12" s="49" t="s">
        <v>231</v>
      </c>
      <c r="D12" s="49" t="s">
        <v>232</v>
      </c>
      <c r="E12" s="49" t="s">
        <v>100</v>
      </c>
      <c r="F12" s="49" t="s">
        <v>183</v>
      </c>
      <c r="G12" s="49" t="s">
        <v>40</v>
      </c>
      <c r="H12" s="49" t="s">
        <v>41</v>
      </c>
      <c r="I12" s="50">
        <v>40.0</v>
      </c>
      <c r="J12" s="51">
        <v>22.5</v>
      </c>
      <c r="K12" s="52">
        <v>1.0</v>
      </c>
      <c r="L12" s="50">
        <v>60.0</v>
      </c>
      <c r="M12" s="51">
        <v>0.0</v>
      </c>
      <c r="N12" s="53" t="s">
        <v>233</v>
      </c>
      <c r="O12" s="53"/>
      <c r="P12" s="49"/>
      <c r="Q12" s="40">
        <f>IF(OR(J12="",I12="",K12="",G12=""),"",IF(OR(G12="travel",G12="agency",G12="contract_1099"),J12*I12*52*K12,((J12+IFERROR(VLOOKUP(H12,Assumptions!$B$25:$C$29,2,FALSE),0)+IF(M12="",0,M12))*I12*52*K12)+(IF(L12="",0,L12)*J12*1.5*K12)))</f>
        <v>48825</v>
      </c>
      <c r="R12" s="40">
        <f>IF(Q12="","",IF(G12="permanent",Q12*(Assumptions!$C$9+Assumptions!$C$10+Assumptions!$C$11+IF(IFERROR(VLOOKUP(E12,Assumptions!$B$47:$C$67,2,FALSE),"clinical")="clinical",Assumptions!$C$14,Assumptions!$C$15)+IFERROR(VLOOKUP(B12,Assumptions!$B$33:$D$36,3,FALSE),0)+IFERROR(VLOOKUP(IFERROR(VLOOKUP(B12,Assumptions!$B$33:$D$36,2,FALSE),""),Assumptions!$B$40:$D$43,2,FALSE),0)+IFERROR(VLOOKUP(IFERROR(VLOOKUP(B12,Assumptions!$B$33:$D$36,2,FALSE),""),Assumptions!$B$40:$D$43,3,FALSE),0)+Assumptions!$C$20)+Assumptions!$C$18*K12+Assumptions!$C$21*K12,IF(G12="per_diem",Q12*(Assumptions!$C$10+IF(IFERROR(VLOOKUP(E12,Assumptions!$B$47:$C$67,2,FALSE),"clinical")="clinical",Assumptions!$C$14,Assumptions!$C$15)+IFERROR(VLOOKUP(B12,Assumptions!$B$33:$D$36,3,FALSE),0)+IFERROR(VLOOKUP(IFERROR(VLOOKUP(B12,Assumptions!$B$33:$D$36,2,FALSE),""),Assumptions!$B$40:$D$43,2,FALSE),0)+IFERROR(VLOOKUP(IFERROR(VLOOKUP(B12,Assumptions!$B$33:$D$36,2,FALSE),""),Assumptions!$B$40:$D$43,3,FALSE),0))+Assumptions!$C$19*K12,0)))</f>
        <v>28753.7625</v>
      </c>
      <c r="S12" s="45">
        <f t="shared" si="1"/>
        <v>77578.7625</v>
      </c>
      <c r="T12" s="48">
        <f>IF(Q12="","",IF(G12="permanent",S12,IFERROR(AVERAGEIFS(Employees!$J$7:$J$67,Employees!$B$7:$B$67,B12,Employees!$E$7:$E$67,E12,Employees!$G$7:$G$67,"permanent")*I12*52*K12*(1+Assumptions!$C$9+Assumptions!$C$10+Assumptions!$C$11+IF(IFERROR(VLOOKUP(E12,Assumptions!$B$47:$C$67,2,FALSE),"clinical")="clinical",Assumptions!$C$14,Assumptions!$C$15)+IFERROR(VLOOKUP(B12,Assumptions!$B$33:$D$36,3,FALSE),0)+IFERROR(VLOOKUP(IFERROR(VLOOKUP(B12,Assumptions!$B$33:$D$36,2,FALSE),""),Assumptions!$B$40:$D$43,2,FALSE),0)+IFERROR(VLOOKUP(IFERROR(VLOOKUP(B12,Assumptions!$B$33:$D$36,2,FALSE),""),Assumptions!$B$40:$D$43,3,FALSE),0)+Assumptions!$C$20)+Assumptions!$C$18*K12+Assumptions!$C$21*K12,S12)))</f>
        <v>77578.7625</v>
      </c>
    </row>
    <row r="13" ht="21.75" customHeight="1">
      <c r="B13" s="16" t="s">
        <v>31</v>
      </c>
      <c r="C13" s="16" t="s">
        <v>245</v>
      </c>
      <c r="D13" s="16" t="s">
        <v>246</v>
      </c>
      <c r="E13" s="16" t="s">
        <v>36</v>
      </c>
      <c r="F13" s="16" t="s">
        <v>37</v>
      </c>
      <c r="G13" s="16" t="s">
        <v>247</v>
      </c>
      <c r="H13" s="16" t="s">
        <v>41</v>
      </c>
      <c r="I13" s="22">
        <v>40.0</v>
      </c>
      <c r="J13" s="23">
        <v>88.0</v>
      </c>
      <c r="K13" s="33">
        <v>1.0</v>
      </c>
      <c r="L13" s="22">
        <v>0.0</v>
      </c>
      <c r="M13" s="23">
        <v>0.0</v>
      </c>
      <c r="N13" s="35" t="s">
        <v>248</v>
      </c>
      <c r="O13" s="35" t="s">
        <v>249</v>
      </c>
      <c r="P13" s="16" t="s">
        <v>250</v>
      </c>
      <c r="Q13" s="40">
        <f>IF(OR(J13="",I13="",K13="",G13=""),"",IF(OR(G13="travel",G13="agency",G13="contract_1099"),J13*I13*52*K13,((J13+IFERROR(VLOOKUP(H13,Assumptions!$B$25:$C$29,2,FALSE),0)+IF(M13="",0,M13))*I13*52*K13)+(IF(L13="",0,L13)*J13*1.5*K13)))</f>
        <v>183040</v>
      </c>
      <c r="R13" s="40">
        <f>IF(Q13="","",IF(G13="permanent",Q13*(Assumptions!$C$9+Assumptions!$C$10+Assumptions!$C$11+IF(IFERROR(VLOOKUP(E13,Assumptions!$B$47:$C$67,2,FALSE),"clinical")="clinical",Assumptions!$C$14,Assumptions!$C$15)+IFERROR(VLOOKUP(B13,Assumptions!$B$33:$D$36,3,FALSE),0)+IFERROR(VLOOKUP(IFERROR(VLOOKUP(B13,Assumptions!$B$33:$D$36,2,FALSE),""),Assumptions!$B$40:$D$43,2,FALSE),0)+IFERROR(VLOOKUP(IFERROR(VLOOKUP(B13,Assumptions!$B$33:$D$36,2,FALSE),""),Assumptions!$B$40:$D$43,3,FALSE),0)+Assumptions!$C$20)+Assumptions!$C$18*K13+Assumptions!$C$21*K13,IF(G13="per_diem",Q13*(Assumptions!$C$10+IF(IFERROR(VLOOKUP(E13,Assumptions!$B$47:$C$67,2,FALSE),"clinical")="clinical",Assumptions!$C$14,Assumptions!$C$15)+IFERROR(VLOOKUP(B13,Assumptions!$B$33:$D$36,3,FALSE),0)+IFERROR(VLOOKUP(IFERROR(VLOOKUP(B13,Assumptions!$B$33:$D$36,2,FALSE),""),Assumptions!$B$40:$D$43,2,FALSE),0)+IFERROR(VLOOKUP(IFERROR(VLOOKUP(B13,Assumptions!$B$33:$D$36,2,FALSE),""),Assumptions!$B$40:$D$43,3,FALSE),0))+Assumptions!$C$19*K13,0)))</f>
        <v>0</v>
      </c>
      <c r="S13" s="45">
        <f t="shared" si="1"/>
        <v>183040</v>
      </c>
      <c r="T13" s="48">
        <f>IF(Q13="","",IF(G13="permanent",S13,IFERROR(AVERAGEIFS(Employees!$J$7:$J$67,Employees!$B$7:$B$67,B13,Employees!$E$7:$E$67,E13,Employees!$G$7:$G$67,"permanent")*I13*52*K13*(1+Assumptions!$C$9+Assumptions!$C$10+Assumptions!$C$11+IF(IFERROR(VLOOKUP(E13,Assumptions!$B$47:$C$67,2,FALSE),"clinical")="clinical",Assumptions!$C$14,Assumptions!$C$15)+IFERROR(VLOOKUP(B13,Assumptions!$B$33:$D$36,3,FALSE),0)+IFERROR(VLOOKUP(IFERROR(VLOOKUP(B13,Assumptions!$B$33:$D$36,2,FALSE),""),Assumptions!$B$40:$D$43,2,FALSE),0)+IFERROR(VLOOKUP(IFERROR(VLOOKUP(B13,Assumptions!$B$33:$D$36,2,FALSE),""),Assumptions!$B$40:$D$43,3,FALSE),0)+Assumptions!$C$20)+Assumptions!$C$18*K13+Assumptions!$C$21*K13,S13)))</f>
        <v>145823.01</v>
      </c>
    </row>
    <row r="14" ht="21.75" customHeight="1">
      <c r="B14" s="49" t="s">
        <v>31</v>
      </c>
      <c r="C14" s="49" t="s">
        <v>275</v>
      </c>
      <c r="D14" s="49" t="s">
        <v>276</v>
      </c>
      <c r="E14" s="49" t="s">
        <v>36</v>
      </c>
      <c r="F14" s="49" t="s">
        <v>162</v>
      </c>
      <c r="G14" s="49" t="s">
        <v>247</v>
      </c>
      <c r="H14" s="49" t="s">
        <v>72</v>
      </c>
      <c r="I14" s="50">
        <v>40.0</v>
      </c>
      <c r="J14" s="51">
        <v>79.5</v>
      </c>
      <c r="K14" s="52">
        <v>1.0</v>
      </c>
      <c r="L14" s="50">
        <v>0.0</v>
      </c>
      <c r="M14" s="51">
        <v>0.0</v>
      </c>
      <c r="N14" s="53" t="s">
        <v>277</v>
      </c>
      <c r="O14" s="53" t="s">
        <v>278</v>
      </c>
      <c r="P14" s="49"/>
      <c r="Q14" s="40">
        <f>IF(OR(J14="",I14="",K14="",G14=""),"",IF(OR(G14="travel",G14="agency",G14="contract_1099"),J14*I14*52*K14,((J14+IFERROR(VLOOKUP(H14,Assumptions!$B$25:$C$29,2,FALSE),0)+IF(M14="",0,M14))*I14*52*K14)+(IF(L14="",0,L14)*J14*1.5*K14)))</f>
        <v>165360</v>
      </c>
      <c r="R14" s="40">
        <f>IF(Q14="","",IF(G14="permanent",Q14*(Assumptions!$C$9+Assumptions!$C$10+Assumptions!$C$11+IF(IFERROR(VLOOKUP(E14,Assumptions!$B$47:$C$67,2,FALSE),"clinical")="clinical",Assumptions!$C$14,Assumptions!$C$15)+IFERROR(VLOOKUP(B14,Assumptions!$B$33:$D$36,3,FALSE),0)+IFERROR(VLOOKUP(IFERROR(VLOOKUP(B14,Assumptions!$B$33:$D$36,2,FALSE),""),Assumptions!$B$40:$D$43,2,FALSE),0)+IFERROR(VLOOKUP(IFERROR(VLOOKUP(B14,Assumptions!$B$33:$D$36,2,FALSE),""),Assumptions!$B$40:$D$43,3,FALSE),0)+Assumptions!$C$20)+Assumptions!$C$18*K14+Assumptions!$C$21*K14,IF(G14="per_diem",Q14*(Assumptions!$C$10+IF(IFERROR(VLOOKUP(E14,Assumptions!$B$47:$C$67,2,FALSE),"clinical")="clinical",Assumptions!$C$14,Assumptions!$C$15)+IFERROR(VLOOKUP(B14,Assumptions!$B$33:$D$36,3,FALSE),0)+IFERROR(VLOOKUP(IFERROR(VLOOKUP(B14,Assumptions!$B$33:$D$36,2,FALSE),""),Assumptions!$B$40:$D$43,2,FALSE),0)+IFERROR(VLOOKUP(IFERROR(VLOOKUP(B14,Assumptions!$B$33:$D$36,2,FALSE),""),Assumptions!$B$40:$D$43,3,FALSE),0))+Assumptions!$C$19*K14,0)))</f>
        <v>0</v>
      </c>
      <c r="S14" s="45">
        <f t="shared" si="1"/>
        <v>165360</v>
      </c>
      <c r="T14" s="48">
        <f>IF(Q14="","",IF(G14="permanent",S14,IFERROR(AVERAGEIFS(Employees!$J$7:$J$67,Employees!$B$7:$B$67,B14,Employees!$E$7:$E$67,E14,Employees!$G$7:$G$67,"permanent")*I14*52*K14*(1+Assumptions!$C$9+Assumptions!$C$10+Assumptions!$C$11+IF(IFERROR(VLOOKUP(E14,Assumptions!$B$47:$C$67,2,FALSE),"clinical")="clinical",Assumptions!$C$14,Assumptions!$C$15)+IFERROR(VLOOKUP(B14,Assumptions!$B$33:$D$36,3,FALSE),0)+IFERROR(VLOOKUP(IFERROR(VLOOKUP(B14,Assumptions!$B$33:$D$36,2,FALSE),""),Assumptions!$B$40:$D$43,2,FALSE),0)+IFERROR(VLOOKUP(IFERROR(VLOOKUP(B14,Assumptions!$B$33:$D$36,2,FALSE),""),Assumptions!$B$40:$D$43,3,FALSE),0)+Assumptions!$C$20)+Assumptions!$C$18*K14+Assumptions!$C$21*K14,S14)))</f>
        <v>145823.01</v>
      </c>
    </row>
    <row r="15" ht="21.75" customHeight="1">
      <c r="B15" s="16" t="s">
        <v>31</v>
      </c>
      <c r="C15" s="16" t="s">
        <v>280</v>
      </c>
      <c r="D15" s="16" t="s">
        <v>281</v>
      </c>
      <c r="E15" s="16" t="s">
        <v>36</v>
      </c>
      <c r="F15" s="16" t="s">
        <v>37</v>
      </c>
      <c r="G15" s="16" t="s">
        <v>282</v>
      </c>
      <c r="H15" s="16" t="s">
        <v>73</v>
      </c>
      <c r="I15" s="22">
        <v>24.0</v>
      </c>
      <c r="J15" s="23">
        <v>52.0</v>
      </c>
      <c r="K15" s="33">
        <v>0.6</v>
      </c>
      <c r="L15" s="22">
        <v>0.0</v>
      </c>
      <c r="M15" s="23">
        <v>0.0</v>
      </c>
      <c r="N15" s="35"/>
      <c r="O15" s="35"/>
      <c r="P15" s="16" t="s">
        <v>283</v>
      </c>
      <c r="Q15" s="40">
        <f>IF(OR(J15="",I15="",K15="",G15=""),"",IF(OR(G15="travel",G15="agency",G15="contract_1099"),J15*I15*52*K15,((J15+IFERROR(VLOOKUP(H15,Assumptions!$B$25:$C$29,2,FALSE),0)+IF(M15="",0,M15))*I15*52*K15)+(IF(L15="",0,L15)*J15*1.5*K15)))</f>
        <v>41932.8</v>
      </c>
      <c r="R15" s="40">
        <f>IF(Q15="","",IF(G15="permanent",Q15*(Assumptions!$C$9+Assumptions!$C$10+Assumptions!$C$11+IF(IFERROR(VLOOKUP(E15,Assumptions!$B$47:$C$67,2,FALSE),"clinical")="clinical",Assumptions!$C$14,Assumptions!$C$15)+IFERROR(VLOOKUP(B15,Assumptions!$B$33:$D$36,3,FALSE),0)+IFERROR(VLOOKUP(IFERROR(VLOOKUP(B15,Assumptions!$B$33:$D$36,2,FALSE),""),Assumptions!$B$40:$D$43,2,FALSE),0)+IFERROR(VLOOKUP(IFERROR(VLOOKUP(B15,Assumptions!$B$33:$D$36,2,FALSE),""),Assumptions!$B$40:$D$43,3,FALSE),0)+Assumptions!$C$20)+Assumptions!$C$18*K15+Assumptions!$C$21*K15,IF(G15="per_diem",Q15*(Assumptions!$C$10+IF(IFERROR(VLOOKUP(E15,Assumptions!$B$47:$C$67,2,FALSE),"clinical")="clinical",Assumptions!$C$14,Assumptions!$C$15)+IFERROR(VLOOKUP(B15,Assumptions!$B$33:$D$36,3,FALSE),0)+IFERROR(VLOOKUP(IFERROR(VLOOKUP(B15,Assumptions!$B$33:$D$36,2,FALSE),""),Assumptions!$B$40:$D$43,2,FALSE),0)+IFERROR(VLOOKUP(IFERROR(VLOOKUP(B15,Assumptions!$B$33:$D$36,2,FALSE),""),Assumptions!$B$40:$D$43,3,FALSE),0))+Assumptions!$C$19*K15,0)))</f>
        <v>11504.3328</v>
      </c>
      <c r="S15" s="45">
        <f t="shared" si="1"/>
        <v>53437.1328</v>
      </c>
      <c r="T15" s="48">
        <f>IF(Q15="","",IF(G15="permanent",S15,IFERROR(AVERAGEIFS(Employees!$J$7:$J$67,Employees!$B$7:$B$67,B15,Employees!$E$7:$E$67,E15,Employees!$G$7:$G$67,"permanent")*I15*52*K15*(1+Assumptions!$C$9+Assumptions!$C$10+Assumptions!$C$11+IF(IFERROR(VLOOKUP(E15,Assumptions!$B$47:$C$67,2,FALSE),"clinical")="clinical",Assumptions!$C$14,Assumptions!$C$15)+IFERROR(VLOOKUP(B15,Assumptions!$B$33:$D$36,3,FALSE),0)+IFERROR(VLOOKUP(IFERROR(VLOOKUP(B15,Assumptions!$B$33:$D$36,2,FALSE),""),Assumptions!$B$40:$D$43,2,FALSE),0)+IFERROR(VLOOKUP(IFERROR(VLOOKUP(B15,Assumptions!$B$33:$D$36,2,FALSE),""),Assumptions!$B$40:$D$43,3,FALSE),0)+Assumptions!$C$20)+Assumptions!$C$18*K15+Assumptions!$C$21*K15,S15)))</f>
        <v>55196.2836</v>
      </c>
    </row>
    <row r="16" ht="21.75" customHeight="1">
      <c r="B16" s="49" t="s">
        <v>31</v>
      </c>
      <c r="C16" s="49" t="s">
        <v>289</v>
      </c>
      <c r="D16" s="49" t="s">
        <v>290</v>
      </c>
      <c r="E16" s="49" t="s">
        <v>101</v>
      </c>
      <c r="F16" s="49" t="s">
        <v>37</v>
      </c>
      <c r="G16" s="49" t="s">
        <v>40</v>
      </c>
      <c r="H16" s="49" t="s">
        <v>41</v>
      </c>
      <c r="I16" s="50">
        <v>40.0</v>
      </c>
      <c r="J16" s="51">
        <v>68.0</v>
      </c>
      <c r="K16" s="52">
        <v>1.0</v>
      </c>
      <c r="L16" s="50">
        <v>0.0</v>
      </c>
      <c r="M16" s="51">
        <v>0.0</v>
      </c>
      <c r="N16" s="53" t="s">
        <v>293</v>
      </c>
      <c r="O16" s="53"/>
      <c r="P16" s="49" t="s">
        <v>295</v>
      </c>
      <c r="Q16" s="40">
        <f>IF(OR(J16="",I16="",K16="",G16=""),"",IF(OR(G16="travel",G16="agency",G16="contract_1099"),J16*I16*52*K16,((J16+IFERROR(VLOOKUP(H16,Assumptions!$B$25:$C$29,2,FALSE),0)+IF(M16="",0,M16))*I16*52*K16)+(IF(L16="",0,L16)*J16*1.5*K16)))</f>
        <v>141440</v>
      </c>
      <c r="R16" s="40">
        <f>IF(Q16="","",IF(G16="permanent",Q16*(Assumptions!$C$9+Assumptions!$C$10+Assumptions!$C$11+IF(IFERROR(VLOOKUP(E16,Assumptions!$B$47:$C$67,2,FALSE),"clinical")="clinical",Assumptions!$C$14,Assumptions!$C$15)+IFERROR(VLOOKUP(B16,Assumptions!$B$33:$D$36,3,FALSE),0)+IFERROR(VLOOKUP(IFERROR(VLOOKUP(B16,Assumptions!$B$33:$D$36,2,FALSE),""),Assumptions!$B$40:$D$43,2,FALSE),0)+IFERROR(VLOOKUP(IFERROR(VLOOKUP(B16,Assumptions!$B$33:$D$36,2,FALSE),""),Assumptions!$B$40:$D$43,3,FALSE),0)+Assumptions!$C$20)+Assumptions!$C$18*K16+Assumptions!$C$21*K16,IF(G16="per_diem",Q16*(Assumptions!$C$10+IF(IFERROR(VLOOKUP(E16,Assumptions!$B$47:$C$67,2,FALSE),"clinical")="clinical",Assumptions!$C$14,Assumptions!$C$15)+IFERROR(VLOOKUP(B16,Assumptions!$B$33:$D$36,3,FALSE),0)+IFERROR(VLOOKUP(IFERROR(VLOOKUP(B16,Assumptions!$B$33:$D$36,2,FALSE),""),Assumptions!$B$40:$D$43,2,FALSE),0)+IFERROR(VLOOKUP(IFERROR(VLOOKUP(B16,Assumptions!$B$33:$D$36,2,FALSE),""),Assumptions!$B$40:$D$43,3,FALSE),0))+Assumptions!$C$19*K16,0)))</f>
        <v>61956.24</v>
      </c>
      <c r="S16" s="45">
        <f t="shared" si="1"/>
        <v>203396.24</v>
      </c>
      <c r="T16" s="48">
        <f>IF(Q16="","",IF(G16="permanent",S16,IFERROR(AVERAGEIFS(Employees!$J$7:$J$67,Employees!$B$7:$B$67,B16,Employees!$E$7:$E$67,E16,Employees!$G$7:$G$67,"permanent")*I16*52*K16*(1+Assumptions!$C$9+Assumptions!$C$10+Assumptions!$C$11+IF(IFERROR(VLOOKUP(E16,Assumptions!$B$47:$C$67,2,FALSE),"clinical")="clinical",Assumptions!$C$14,Assumptions!$C$15)+IFERROR(VLOOKUP(B16,Assumptions!$B$33:$D$36,3,FALSE),0)+IFERROR(VLOOKUP(IFERROR(VLOOKUP(B16,Assumptions!$B$33:$D$36,2,FALSE),""),Assumptions!$B$40:$D$43,2,FALSE),0)+IFERROR(VLOOKUP(IFERROR(VLOOKUP(B16,Assumptions!$B$33:$D$36,2,FALSE),""),Assumptions!$B$40:$D$43,3,FALSE),0)+Assumptions!$C$20)+Assumptions!$C$18*K16+Assumptions!$C$21*K16,S16)))</f>
        <v>203396.24</v>
      </c>
    </row>
    <row r="17" ht="21.75" customHeight="1">
      <c r="B17" s="16" t="s">
        <v>31</v>
      </c>
      <c r="C17" s="16" t="s">
        <v>318</v>
      </c>
      <c r="D17" s="16" t="s">
        <v>195</v>
      </c>
      <c r="E17" s="16" t="s">
        <v>107</v>
      </c>
      <c r="F17" s="16" t="s">
        <v>162</v>
      </c>
      <c r="G17" s="16" t="s">
        <v>40</v>
      </c>
      <c r="H17" s="16" t="s">
        <v>74</v>
      </c>
      <c r="I17" s="22">
        <v>36.0</v>
      </c>
      <c r="J17" s="23">
        <v>42.0</v>
      </c>
      <c r="K17" s="33">
        <v>1.0</v>
      </c>
      <c r="L17" s="22">
        <v>60.0</v>
      </c>
      <c r="M17" s="23">
        <v>0.0</v>
      </c>
      <c r="N17" s="35" t="s">
        <v>322</v>
      </c>
      <c r="O17" s="35"/>
      <c r="P17" s="16" t="s">
        <v>323</v>
      </c>
      <c r="Q17" s="40">
        <f>IF(OR(J17="",I17="",K17="",G17=""),"",IF(OR(G17="travel",G17="agency",G17="contract_1099"),J17*I17*52*K17,((J17+IFERROR(VLOOKUP(H17,Assumptions!$B$25:$C$29,2,FALSE),0)+IF(M17="",0,M17))*I17*52*K17)+(IF(L17="",0,L17)*J17*1.5*K17)))</f>
        <v>88020</v>
      </c>
      <c r="R17" s="40">
        <f>IF(Q17="","",IF(G17="permanent",Q17*(Assumptions!$C$9+Assumptions!$C$10+Assumptions!$C$11+IF(IFERROR(VLOOKUP(E17,Assumptions!$B$47:$C$67,2,FALSE),"clinical")="clinical",Assumptions!$C$14,Assumptions!$C$15)+IFERROR(VLOOKUP(B17,Assumptions!$B$33:$D$36,3,FALSE),0)+IFERROR(VLOOKUP(IFERROR(VLOOKUP(B17,Assumptions!$B$33:$D$36,2,FALSE),""),Assumptions!$B$40:$D$43,2,FALSE),0)+IFERROR(VLOOKUP(IFERROR(VLOOKUP(B17,Assumptions!$B$33:$D$36,2,FALSE),""),Assumptions!$B$40:$D$43,3,FALSE),0)+Assumptions!$C$20)+Assumptions!$C$18*K17+Assumptions!$C$21*K17,IF(G17="per_diem",Q17*(Assumptions!$C$10+IF(IFERROR(VLOOKUP(E17,Assumptions!$B$47:$C$67,2,FALSE),"clinical")="clinical",Assumptions!$C$14,Assumptions!$C$15)+IFERROR(VLOOKUP(B17,Assumptions!$B$33:$D$36,3,FALSE),0)+IFERROR(VLOOKUP(IFERROR(VLOOKUP(B17,Assumptions!$B$33:$D$36,2,FALSE),""),Assumptions!$B$40:$D$43,2,FALSE),0)+IFERROR(VLOOKUP(IFERROR(VLOOKUP(B17,Assumptions!$B$33:$D$36,2,FALSE),""),Assumptions!$B$40:$D$43,3,FALSE),0))+Assumptions!$C$19*K17,0)))</f>
        <v>42805.17</v>
      </c>
      <c r="S17" s="45">
        <f t="shared" si="1"/>
        <v>130825.17</v>
      </c>
      <c r="T17" s="48">
        <f>IF(Q17="","",IF(G17="permanent",S17,IFERROR(AVERAGEIFS(Employees!$J$7:$J$67,Employees!$B$7:$B$67,B17,Employees!$E$7:$E$67,E17,Employees!$G$7:$G$67,"permanent")*I17*52*K17*(1+Assumptions!$C$9+Assumptions!$C$10+Assumptions!$C$11+IF(IFERROR(VLOOKUP(E17,Assumptions!$B$47:$C$67,2,FALSE),"clinical")="clinical",Assumptions!$C$14,Assumptions!$C$15)+IFERROR(VLOOKUP(B17,Assumptions!$B$33:$D$36,3,FALSE),0)+IFERROR(VLOOKUP(IFERROR(VLOOKUP(B17,Assumptions!$B$33:$D$36,2,FALSE),""),Assumptions!$B$40:$D$43,2,FALSE),0)+IFERROR(VLOOKUP(IFERROR(VLOOKUP(B17,Assumptions!$B$33:$D$36,2,FALSE),""),Assumptions!$B$40:$D$43,3,FALSE),0)+Assumptions!$C$20)+Assumptions!$C$18*K17+Assumptions!$C$21*K17,S17)))</f>
        <v>130825.17</v>
      </c>
    </row>
    <row r="18" ht="21.75" customHeight="1">
      <c r="B18" s="49" t="s">
        <v>81</v>
      </c>
      <c r="C18" s="49" t="s">
        <v>327</v>
      </c>
      <c r="D18" s="49" t="s">
        <v>328</v>
      </c>
      <c r="E18" s="49" t="s">
        <v>36</v>
      </c>
      <c r="F18" s="49" t="s">
        <v>37</v>
      </c>
      <c r="G18" s="49" t="s">
        <v>40</v>
      </c>
      <c r="H18" s="49" t="s">
        <v>41</v>
      </c>
      <c r="I18" s="50">
        <v>36.0</v>
      </c>
      <c r="J18" s="51">
        <v>62.0</v>
      </c>
      <c r="K18" s="52">
        <v>1.0</v>
      </c>
      <c r="L18" s="50">
        <v>40.0</v>
      </c>
      <c r="M18" s="51">
        <v>3.0</v>
      </c>
      <c r="N18" s="53" t="s">
        <v>329</v>
      </c>
      <c r="O18" s="53"/>
      <c r="P18" s="49" t="s">
        <v>330</v>
      </c>
      <c r="Q18" s="40">
        <f>IF(OR(J18="",I18="",K18="",G18=""),"",IF(OR(G18="travel",G18="agency",G18="contract_1099"),J18*I18*52*K18,((J18+IFERROR(VLOOKUP(H18,Assumptions!$B$25:$C$29,2,FALSE),0)+IF(M18="",0,M18))*I18*52*K18)+(IF(L18="",0,L18)*J18*1.5*K18)))</f>
        <v>125400</v>
      </c>
      <c r="R18" s="40">
        <f>IF(Q18="","",IF(G18="permanent",Q18*(Assumptions!$C$9+Assumptions!$C$10+Assumptions!$C$11+IF(IFERROR(VLOOKUP(E18,Assumptions!$B$47:$C$67,2,FALSE),"clinical")="clinical",Assumptions!$C$14,Assumptions!$C$15)+IFERROR(VLOOKUP(B18,Assumptions!$B$33:$D$36,3,FALSE),0)+IFERROR(VLOOKUP(IFERROR(VLOOKUP(B18,Assumptions!$B$33:$D$36,2,FALSE),""),Assumptions!$B$40:$D$43,2,FALSE),0)+IFERROR(VLOOKUP(IFERROR(VLOOKUP(B18,Assumptions!$B$33:$D$36,2,FALSE),""),Assumptions!$B$40:$D$43,3,FALSE),0)+Assumptions!$C$20)+Assumptions!$C$18*K18+Assumptions!$C$21*K18,IF(G18="per_diem",Q18*(Assumptions!$C$10+IF(IFERROR(VLOOKUP(E18,Assumptions!$B$47:$C$67,2,FALSE),"clinical")="clinical",Assumptions!$C$14,Assumptions!$C$15)+IFERROR(VLOOKUP(B18,Assumptions!$B$33:$D$36,3,FALSE),0)+IFERROR(VLOOKUP(IFERROR(VLOOKUP(B18,Assumptions!$B$33:$D$36,2,FALSE),""),Assumptions!$B$40:$D$43,2,FALSE),0)+IFERROR(VLOOKUP(IFERROR(VLOOKUP(B18,Assumptions!$B$33:$D$36,2,FALSE),""),Assumptions!$B$40:$D$43,3,FALSE),0))+Assumptions!$C$19*K18,0)))</f>
        <v>59090.1</v>
      </c>
      <c r="S18" s="45">
        <f t="shared" si="1"/>
        <v>184490.1</v>
      </c>
      <c r="T18" s="48">
        <f>IF(Q18="","",IF(G18="permanent",S18,IFERROR(AVERAGEIFS(Employees!$J$7:$J$67,Employees!$B$7:$B$67,B18,Employees!$E$7:$E$67,E18,Employees!$G$7:$G$67,"permanent")*I18*52*K18*(1+Assumptions!$C$9+Assumptions!$C$10+Assumptions!$C$11+IF(IFERROR(VLOOKUP(E18,Assumptions!$B$47:$C$67,2,FALSE),"clinical")="clinical",Assumptions!$C$14,Assumptions!$C$15)+IFERROR(VLOOKUP(B18,Assumptions!$B$33:$D$36,3,FALSE),0)+IFERROR(VLOOKUP(IFERROR(VLOOKUP(B18,Assumptions!$B$33:$D$36,2,FALSE),""),Assumptions!$B$40:$D$43,2,FALSE),0)+IFERROR(VLOOKUP(IFERROR(VLOOKUP(B18,Assumptions!$B$33:$D$36,2,FALSE),""),Assumptions!$B$40:$D$43,3,FALSE),0)+Assumptions!$C$20)+Assumptions!$C$18*K18+Assumptions!$C$21*K18,S18)))</f>
        <v>184490.1</v>
      </c>
    </row>
    <row r="19" ht="21.75" customHeight="1">
      <c r="B19" s="16" t="s">
        <v>81</v>
      </c>
      <c r="C19" s="16" t="s">
        <v>331</v>
      </c>
      <c r="D19" s="16" t="s">
        <v>332</v>
      </c>
      <c r="E19" s="16" t="s">
        <v>36</v>
      </c>
      <c r="F19" s="16" t="s">
        <v>162</v>
      </c>
      <c r="G19" s="16" t="s">
        <v>40</v>
      </c>
      <c r="H19" s="16" t="s">
        <v>71</v>
      </c>
      <c r="I19" s="22">
        <v>36.0</v>
      </c>
      <c r="J19" s="23">
        <v>49.75</v>
      </c>
      <c r="K19" s="33">
        <v>1.0</v>
      </c>
      <c r="L19" s="22">
        <v>80.0</v>
      </c>
      <c r="M19" s="23">
        <v>0.0</v>
      </c>
      <c r="N19" s="35" t="s">
        <v>333</v>
      </c>
      <c r="O19" s="35"/>
      <c r="P19" s="16"/>
      <c r="Q19" s="40">
        <f>IF(OR(J19="",I19="",K19="",G19=""),"",IF(OR(G19="travel",G19="agency",G19="contract_1099"),J19*I19*52*K19,((J19+IFERROR(VLOOKUP(H19,Assumptions!$B$25:$C$29,2,FALSE),0)+IF(M19="",0,M19))*I19*52*K19)+(IF(L19="",0,L19)*J19*1.5*K19)))</f>
        <v>104718</v>
      </c>
      <c r="R19" s="40">
        <f>IF(Q19="","",IF(G19="permanent",Q19*(Assumptions!$C$9+Assumptions!$C$10+Assumptions!$C$11+IF(IFERROR(VLOOKUP(E19,Assumptions!$B$47:$C$67,2,FALSE),"clinical")="clinical",Assumptions!$C$14,Assumptions!$C$15)+IFERROR(VLOOKUP(B19,Assumptions!$B$33:$D$36,3,FALSE),0)+IFERROR(VLOOKUP(IFERROR(VLOOKUP(B19,Assumptions!$B$33:$D$36,2,FALSE),""),Assumptions!$B$40:$D$43,2,FALSE),0)+IFERROR(VLOOKUP(IFERROR(VLOOKUP(B19,Assumptions!$B$33:$D$36,2,FALSE),""),Assumptions!$B$40:$D$43,3,FALSE),0)+Assumptions!$C$20)+Assumptions!$C$18*K19+Assumptions!$C$21*K19,IF(G19="per_diem",Q19*(Assumptions!$C$10+IF(IFERROR(VLOOKUP(E19,Assumptions!$B$47:$C$67,2,FALSE),"clinical")="clinical",Assumptions!$C$14,Assumptions!$C$15)+IFERROR(VLOOKUP(B19,Assumptions!$B$33:$D$36,3,FALSE),0)+IFERROR(VLOOKUP(IFERROR(VLOOKUP(B19,Assumptions!$B$33:$D$36,2,FALSE),""),Assumptions!$B$40:$D$43,2,FALSE),0)+IFERROR(VLOOKUP(IFERROR(VLOOKUP(B19,Assumptions!$B$33:$D$36,2,FALSE),""),Assumptions!$B$40:$D$43,3,FALSE),0))+Assumptions!$C$19*K19,0)))</f>
        <v>51199.917</v>
      </c>
      <c r="S19" s="45">
        <f t="shared" si="1"/>
        <v>155917.917</v>
      </c>
      <c r="T19" s="48">
        <f>IF(Q19="","",IF(G19="permanent",S19,IFERROR(AVERAGEIFS(Employees!$J$7:$J$67,Employees!$B$7:$B$67,B19,Employees!$E$7:$E$67,E19,Employees!$G$7:$G$67,"permanent")*I19*52*K19*(1+Assumptions!$C$9+Assumptions!$C$10+Assumptions!$C$11+IF(IFERROR(VLOOKUP(E19,Assumptions!$B$47:$C$67,2,FALSE),"clinical")="clinical",Assumptions!$C$14,Assumptions!$C$15)+IFERROR(VLOOKUP(B19,Assumptions!$B$33:$D$36,3,FALSE),0)+IFERROR(VLOOKUP(IFERROR(VLOOKUP(B19,Assumptions!$B$33:$D$36,2,FALSE),""),Assumptions!$B$40:$D$43,2,FALSE),0)+IFERROR(VLOOKUP(IFERROR(VLOOKUP(B19,Assumptions!$B$33:$D$36,2,FALSE),""),Assumptions!$B$40:$D$43,3,FALSE),0)+Assumptions!$C$20)+Assumptions!$C$18*K19+Assumptions!$C$21*K19,S19)))</f>
        <v>155917.917</v>
      </c>
    </row>
    <row r="20" ht="21.75" customHeight="1">
      <c r="B20" s="49" t="s">
        <v>81</v>
      </c>
      <c r="C20" s="49" t="s">
        <v>334</v>
      </c>
      <c r="D20" s="49" t="s">
        <v>335</v>
      </c>
      <c r="E20" s="49" t="s">
        <v>36</v>
      </c>
      <c r="F20" s="49" t="s">
        <v>183</v>
      </c>
      <c r="G20" s="49" t="s">
        <v>40</v>
      </c>
      <c r="H20" s="49" t="s">
        <v>41</v>
      </c>
      <c r="I20" s="50">
        <v>36.0</v>
      </c>
      <c r="J20" s="51">
        <v>41.5</v>
      </c>
      <c r="K20" s="52">
        <v>1.0</v>
      </c>
      <c r="L20" s="50">
        <v>40.0</v>
      </c>
      <c r="M20" s="51">
        <v>0.0</v>
      </c>
      <c r="N20" s="53" t="s">
        <v>336</v>
      </c>
      <c r="O20" s="53"/>
      <c r="P20" s="49"/>
      <c r="Q20" s="40">
        <f>IF(OR(J20="",I20="",K20="",G20=""),"",IF(OR(G20="travel",G20="agency",G20="contract_1099"),J20*I20*52*K20,((J20+IFERROR(VLOOKUP(H20,Assumptions!$B$25:$C$29,2,FALSE),0)+IF(M20="",0,M20))*I20*52*K20)+(IF(L20="",0,L20)*J20*1.5*K20)))</f>
        <v>80178</v>
      </c>
      <c r="R20" s="40">
        <f>IF(Q20="","",IF(G20="permanent",Q20*(Assumptions!$C$9+Assumptions!$C$10+Assumptions!$C$11+IF(IFERROR(VLOOKUP(E20,Assumptions!$B$47:$C$67,2,FALSE),"clinical")="clinical",Assumptions!$C$14,Assumptions!$C$15)+IFERROR(VLOOKUP(B20,Assumptions!$B$33:$D$36,3,FALSE),0)+IFERROR(VLOOKUP(IFERROR(VLOOKUP(B20,Assumptions!$B$33:$D$36,2,FALSE),""),Assumptions!$B$40:$D$43,2,FALSE),0)+IFERROR(VLOOKUP(IFERROR(VLOOKUP(B20,Assumptions!$B$33:$D$36,2,FALSE),""),Assumptions!$B$40:$D$43,3,FALSE),0)+Assumptions!$C$20)+Assumptions!$C$18*K20+Assumptions!$C$21*K20,IF(G20="per_diem",Q20*(Assumptions!$C$10+IF(IFERROR(VLOOKUP(E20,Assumptions!$B$47:$C$67,2,FALSE),"clinical")="clinical",Assumptions!$C$14,Assumptions!$C$15)+IFERROR(VLOOKUP(B20,Assumptions!$B$33:$D$36,3,FALSE),0)+IFERROR(VLOOKUP(IFERROR(VLOOKUP(B20,Assumptions!$B$33:$D$36,2,FALSE),""),Assumptions!$B$40:$D$43,2,FALSE),0)+IFERROR(VLOOKUP(IFERROR(VLOOKUP(B20,Assumptions!$B$33:$D$36,2,FALSE),""),Assumptions!$B$40:$D$43,3,FALSE),0))+Assumptions!$C$19*K20,0)))</f>
        <v>41837.907</v>
      </c>
      <c r="S20" s="45">
        <f t="shared" si="1"/>
        <v>122015.907</v>
      </c>
      <c r="T20" s="48">
        <f>IF(Q20="","",IF(G20="permanent",S20,IFERROR(AVERAGEIFS(Employees!$J$7:$J$67,Employees!$B$7:$B$67,B20,Employees!$E$7:$E$67,E20,Employees!$G$7:$G$67,"permanent")*I20*52*K20*(1+Assumptions!$C$9+Assumptions!$C$10+Assumptions!$C$11+IF(IFERROR(VLOOKUP(E20,Assumptions!$B$47:$C$67,2,FALSE),"clinical")="clinical",Assumptions!$C$14,Assumptions!$C$15)+IFERROR(VLOOKUP(B20,Assumptions!$B$33:$D$36,3,FALSE),0)+IFERROR(VLOOKUP(IFERROR(VLOOKUP(B20,Assumptions!$B$33:$D$36,2,FALSE),""),Assumptions!$B$40:$D$43,2,FALSE),0)+IFERROR(VLOOKUP(IFERROR(VLOOKUP(B20,Assumptions!$B$33:$D$36,2,FALSE),""),Assumptions!$B$40:$D$43,3,FALSE),0)+Assumptions!$C$20)+Assumptions!$C$18*K20+Assumptions!$C$21*K20,S20)))</f>
        <v>122015.907</v>
      </c>
    </row>
    <row r="21" ht="21.75" customHeight="1">
      <c r="B21" s="16" t="s">
        <v>81</v>
      </c>
      <c r="C21" s="16" t="s">
        <v>337</v>
      </c>
      <c r="D21" s="16" t="s">
        <v>338</v>
      </c>
      <c r="E21" s="16" t="s">
        <v>105</v>
      </c>
      <c r="F21" s="16" t="s">
        <v>162</v>
      </c>
      <c r="G21" s="16" t="s">
        <v>40</v>
      </c>
      <c r="H21" s="16" t="s">
        <v>41</v>
      </c>
      <c r="I21" s="22">
        <v>40.0</v>
      </c>
      <c r="J21" s="23">
        <v>33.0</v>
      </c>
      <c r="K21" s="33">
        <v>1.0</v>
      </c>
      <c r="L21" s="22">
        <v>20.0</v>
      </c>
      <c r="M21" s="23">
        <v>0.0</v>
      </c>
      <c r="N21" s="35" t="s">
        <v>339</v>
      </c>
      <c r="O21" s="35"/>
      <c r="P21" s="16" t="s">
        <v>340</v>
      </c>
      <c r="Q21" s="40">
        <f>IF(OR(J21="",I21="",K21="",G21=""),"",IF(OR(G21="travel",G21="agency",G21="contract_1099"),J21*I21*52*K21,((J21+IFERROR(VLOOKUP(H21,Assumptions!$B$25:$C$29,2,FALSE),0)+IF(M21="",0,M21))*I21*52*K21)+(IF(L21="",0,L21)*J21*1.5*K21)))</f>
        <v>69630</v>
      </c>
      <c r="R21" s="40">
        <f>IF(Q21="","",IF(G21="permanent",Q21*(Assumptions!$C$9+Assumptions!$C$10+Assumptions!$C$11+IF(IFERROR(VLOOKUP(E21,Assumptions!$B$47:$C$67,2,FALSE),"clinical")="clinical",Assumptions!$C$14,Assumptions!$C$15)+IFERROR(VLOOKUP(B21,Assumptions!$B$33:$D$36,3,FALSE),0)+IFERROR(VLOOKUP(IFERROR(VLOOKUP(B21,Assumptions!$B$33:$D$36,2,FALSE),""),Assumptions!$B$40:$D$43,2,FALSE),0)+IFERROR(VLOOKUP(IFERROR(VLOOKUP(B21,Assumptions!$B$33:$D$36,2,FALSE),""),Assumptions!$B$40:$D$43,3,FALSE),0)+Assumptions!$C$20)+Assumptions!$C$18*K21+Assumptions!$C$21*K21,IF(G21="per_diem",Q21*(Assumptions!$C$10+IF(IFERROR(VLOOKUP(E21,Assumptions!$B$47:$C$67,2,FALSE),"clinical")="clinical",Assumptions!$C$14,Assumptions!$C$15)+IFERROR(VLOOKUP(B21,Assumptions!$B$33:$D$36,3,FALSE),0)+IFERROR(VLOOKUP(IFERROR(VLOOKUP(B21,Assumptions!$B$33:$D$36,2,FALSE),""),Assumptions!$B$40:$D$43,2,FALSE),0)+IFERROR(VLOOKUP(IFERROR(VLOOKUP(B21,Assumptions!$B$33:$D$36,2,FALSE),""),Assumptions!$B$40:$D$43,3,FALSE),0))+Assumptions!$C$19*K21,0)))</f>
        <v>37813.845</v>
      </c>
      <c r="S21" s="45">
        <f t="shared" si="1"/>
        <v>107443.845</v>
      </c>
      <c r="T21" s="48">
        <f>IF(Q21="","",IF(G21="permanent",S21,IFERROR(AVERAGEIFS(Employees!$J$7:$J$67,Employees!$B$7:$B$67,B21,Employees!$E$7:$E$67,E21,Employees!$G$7:$G$67,"permanent")*I21*52*K21*(1+Assumptions!$C$9+Assumptions!$C$10+Assumptions!$C$11+IF(IFERROR(VLOOKUP(E21,Assumptions!$B$47:$C$67,2,FALSE),"clinical")="clinical",Assumptions!$C$14,Assumptions!$C$15)+IFERROR(VLOOKUP(B21,Assumptions!$B$33:$D$36,3,FALSE),0)+IFERROR(VLOOKUP(IFERROR(VLOOKUP(B21,Assumptions!$B$33:$D$36,2,FALSE),""),Assumptions!$B$40:$D$43,2,FALSE),0)+IFERROR(VLOOKUP(IFERROR(VLOOKUP(B21,Assumptions!$B$33:$D$36,2,FALSE),""),Assumptions!$B$40:$D$43,3,FALSE),0)+Assumptions!$C$20)+Assumptions!$C$18*K21+Assumptions!$C$21*K21,S21)))</f>
        <v>107443.845</v>
      </c>
    </row>
    <row r="22" ht="21.75" customHeight="1">
      <c r="B22" s="49" t="s">
        <v>81</v>
      </c>
      <c r="C22" s="49" t="s">
        <v>341</v>
      </c>
      <c r="D22" s="49" t="s">
        <v>342</v>
      </c>
      <c r="E22" s="49" t="s">
        <v>36</v>
      </c>
      <c r="F22" s="49" t="s">
        <v>162</v>
      </c>
      <c r="G22" s="49" t="s">
        <v>40</v>
      </c>
      <c r="H22" s="49" t="s">
        <v>72</v>
      </c>
      <c r="I22" s="50">
        <v>36.0</v>
      </c>
      <c r="J22" s="51">
        <v>50.25</v>
      </c>
      <c r="K22" s="52">
        <v>0.8</v>
      </c>
      <c r="L22" s="50">
        <v>60.0</v>
      </c>
      <c r="M22" s="51">
        <v>0.0</v>
      </c>
      <c r="N22" s="53" t="s">
        <v>343</v>
      </c>
      <c r="O22" s="53"/>
      <c r="P22" s="49" t="s">
        <v>199</v>
      </c>
      <c r="Q22" s="40">
        <f>IF(OR(J22="",I22="",K22="",G22=""),"",IF(OR(G22="travel",G22="agency",G22="contract_1099"),J22*I22*52*K22,((J22+IFERROR(VLOOKUP(H22,Assumptions!$B$25:$C$29,2,FALSE),0)+IF(M22="",0,M22))*I22*52*K22)+(IF(L22="",0,L22)*J22*1.5*K22)))</f>
        <v>86360.4</v>
      </c>
      <c r="R22" s="40">
        <f>IF(Q22="","",IF(G22="permanent",Q22*(Assumptions!$C$9+Assumptions!$C$10+Assumptions!$C$11+IF(IFERROR(VLOOKUP(E22,Assumptions!$B$47:$C$67,2,FALSE),"clinical")="clinical",Assumptions!$C$14,Assumptions!$C$15)+IFERROR(VLOOKUP(B22,Assumptions!$B$33:$D$36,3,FALSE),0)+IFERROR(VLOOKUP(IFERROR(VLOOKUP(B22,Assumptions!$B$33:$D$36,2,FALSE),""),Assumptions!$B$40:$D$43,2,FALSE),0)+IFERROR(VLOOKUP(IFERROR(VLOOKUP(B22,Assumptions!$B$33:$D$36,2,FALSE),""),Assumptions!$B$40:$D$43,3,FALSE),0)+Assumptions!$C$20)+Assumptions!$C$18*K22+Assumptions!$C$21*K22,IF(G22="per_diem",Q22*(Assumptions!$C$10+IF(IFERROR(VLOOKUP(E22,Assumptions!$B$47:$C$67,2,FALSE),"clinical")="clinical",Assumptions!$C$14,Assumptions!$C$15)+IFERROR(VLOOKUP(B22,Assumptions!$B$33:$D$36,3,FALSE),0)+IFERROR(VLOOKUP(IFERROR(VLOOKUP(B22,Assumptions!$B$33:$D$36,2,FALSE),""),Assumptions!$B$40:$D$43,2,FALSE),0)+IFERROR(VLOOKUP(IFERROR(VLOOKUP(B22,Assumptions!$B$33:$D$36,2,FALSE),""),Assumptions!$B$40:$D$43,3,FALSE),0))+Assumptions!$C$19*K22,0)))</f>
        <v>41946.4926</v>
      </c>
      <c r="S22" s="45">
        <f t="shared" si="1"/>
        <v>128306.8926</v>
      </c>
      <c r="T22" s="48">
        <f>IF(Q22="","",IF(G22="permanent",S22,IFERROR(AVERAGEIFS(Employees!$J$7:$J$67,Employees!$B$7:$B$67,B22,Employees!$E$7:$E$67,E22,Employees!$G$7:$G$67,"permanent")*I22*52*K22*(1+Assumptions!$C$9+Assumptions!$C$10+Assumptions!$C$11+IF(IFERROR(VLOOKUP(E22,Assumptions!$B$47:$C$67,2,FALSE),"clinical")="clinical",Assumptions!$C$14,Assumptions!$C$15)+IFERROR(VLOOKUP(B22,Assumptions!$B$33:$D$36,3,FALSE),0)+IFERROR(VLOOKUP(IFERROR(VLOOKUP(B22,Assumptions!$B$33:$D$36,2,FALSE),""),Assumptions!$B$40:$D$43,2,FALSE),0)+IFERROR(VLOOKUP(IFERROR(VLOOKUP(B22,Assumptions!$B$33:$D$36,2,FALSE),""),Assumptions!$B$40:$D$43,3,FALSE),0)+Assumptions!$C$20)+Assumptions!$C$18*K22+Assumptions!$C$21*K22,S22)))</f>
        <v>128306.8926</v>
      </c>
    </row>
    <row r="23" ht="21.75" customHeight="1">
      <c r="B23" s="16" t="s">
        <v>81</v>
      </c>
      <c r="C23" s="16" t="s">
        <v>344</v>
      </c>
      <c r="D23" s="16" t="s">
        <v>345</v>
      </c>
      <c r="E23" s="16" t="s">
        <v>36</v>
      </c>
      <c r="F23" s="16" t="s">
        <v>37</v>
      </c>
      <c r="G23" s="16" t="s">
        <v>247</v>
      </c>
      <c r="H23" s="16" t="s">
        <v>41</v>
      </c>
      <c r="I23" s="22">
        <v>40.0</v>
      </c>
      <c r="J23" s="23">
        <v>92.0</v>
      </c>
      <c r="K23" s="33">
        <v>1.0</v>
      </c>
      <c r="L23" s="22">
        <v>0.0</v>
      </c>
      <c r="M23" s="23">
        <v>0.0</v>
      </c>
      <c r="N23" s="35" t="s">
        <v>346</v>
      </c>
      <c r="O23" s="35" t="s">
        <v>347</v>
      </c>
      <c r="P23" s="16" t="s">
        <v>348</v>
      </c>
      <c r="Q23" s="40">
        <f>IF(OR(J23="",I23="",K23="",G23=""),"",IF(OR(G23="travel",G23="agency",G23="contract_1099"),J23*I23*52*K23,((J23+IFERROR(VLOOKUP(H23,Assumptions!$B$25:$C$29,2,FALSE),0)+IF(M23="",0,M23))*I23*52*K23)+(IF(L23="",0,L23)*J23*1.5*K23)))</f>
        <v>191360</v>
      </c>
      <c r="R23" s="40">
        <f>IF(Q23="","",IF(G23="permanent",Q23*(Assumptions!$C$9+Assumptions!$C$10+Assumptions!$C$11+IF(IFERROR(VLOOKUP(E23,Assumptions!$B$47:$C$67,2,FALSE),"clinical")="clinical",Assumptions!$C$14,Assumptions!$C$15)+IFERROR(VLOOKUP(B23,Assumptions!$B$33:$D$36,3,FALSE),0)+IFERROR(VLOOKUP(IFERROR(VLOOKUP(B23,Assumptions!$B$33:$D$36,2,FALSE),""),Assumptions!$B$40:$D$43,2,FALSE),0)+IFERROR(VLOOKUP(IFERROR(VLOOKUP(B23,Assumptions!$B$33:$D$36,2,FALSE),""),Assumptions!$B$40:$D$43,3,FALSE),0)+Assumptions!$C$20)+Assumptions!$C$18*K23+Assumptions!$C$21*K23,IF(G23="per_diem",Q23*(Assumptions!$C$10+IF(IFERROR(VLOOKUP(E23,Assumptions!$B$47:$C$67,2,FALSE),"clinical")="clinical",Assumptions!$C$14,Assumptions!$C$15)+IFERROR(VLOOKUP(B23,Assumptions!$B$33:$D$36,3,FALSE),0)+IFERROR(VLOOKUP(IFERROR(VLOOKUP(B23,Assumptions!$B$33:$D$36,2,FALSE),""),Assumptions!$B$40:$D$43,2,FALSE),0)+IFERROR(VLOOKUP(IFERROR(VLOOKUP(B23,Assumptions!$B$33:$D$36,2,FALSE),""),Assumptions!$B$40:$D$43,3,FALSE),0))+Assumptions!$C$19*K23,0)))</f>
        <v>0</v>
      </c>
      <c r="S23" s="45">
        <f t="shared" si="1"/>
        <v>191360</v>
      </c>
      <c r="T23" s="48">
        <f>IF(Q23="","",IF(G23="permanent",S23,IFERROR(AVERAGEIFS(Employees!$J$7:$J$67,Employees!$B$7:$B$67,B23,Employees!$E$7:$E$67,E23,Employees!$G$7:$G$67,"permanent")*I23*52*K23*(1+Assumptions!$C$9+Assumptions!$C$10+Assumptions!$C$11+IF(IFERROR(VLOOKUP(E23,Assumptions!$B$47:$C$67,2,FALSE),"clinical")="clinical",Assumptions!$C$14,Assumptions!$C$15)+IFERROR(VLOOKUP(B23,Assumptions!$B$33:$D$36,3,FALSE),0)+IFERROR(VLOOKUP(IFERROR(VLOOKUP(B23,Assumptions!$B$33:$D$36,2,FALSE),""),Assumptions!$B$40:$D$43,2,FALSE),0)+IFERROR(VLOOKUP(IFERROR(VLOOKUP(B23,Assumptions!$B$33:$D$36,2,FALSE),""),Assumptions!$B$40:$D$43,3,FALSE),0)+Assumptions!$C$20)+Assumptions!$C$18*K23+Assumptions!$C$21*K23,S23)))</f>
        <v>157440.33</v>
      </c>
    </row>
    <row r="24" ht="21.75" customHeight="1">
      <c r="B24" s="49" t="s">
        <v>81</v>
      </c>
      <c r="C24" s="49" t="s">
        <v>349</v>
      </c>
      <c r="D24" s="49" t="s">
        <v>350</v>
      </c>
      <c r="E24" s="49" t="s">
        <v>102</v>
      </c>
      <c r="F24" s="49" t="s">
        <v>37</v>
      </c>
      <c r="G24" s="49" t="s">
        <v>40</v>
      </c>
      <c r="H24" s="49" t="s">
        <v>41</v>
      </c>
      <c r="I24" s="50">
        <v>40.0</v>
      </c>
      <c r="J24" s="51">
        <v>124.0</v>
      </c>
      <c r="K24" s="52">
        <v>1.0</v>
      </c>
      <c r="L24" s="50">
        <v>0.0</v>
      </c>
      <c r="M24" s="51">
        <v>0.0</v>
      </c>
      <c r="N24" s="53" t="s">
        <v>351</v>
      </c>
      <c r="O24" s="53"/>
      <c r="P24" s="49"/>
      <c r="Q24" s="40">
        <f>IF(OR(J24="",I24="",K24="",G24=""),"",IF(OR(G24="travel",G24="agency",G24="contract_1099"),J24*I24*52*K24,((J24+IFERROR(VLOOKUP(H24,Assumptions!$B$25:$C$29,2,FALSE),0)+IF(M24="",0,M24))*I24*52*K24)+(IF(L24="",0,L24)*J24*1.5*K24)))</f>
        <v>257920</v>
      </c>
      <c r="R24" s="40">
        <f>IF(Q24="","",IF(G24="permanent",Q24*(Assumptions!$C$9+Assumptions!$C$10+Assumptions!$C$11+IF(IFERROR(VLOOKUP(E24,Assumptions!$B$47:$C$67,2,FALSE),"clinical")="clinical",Assumptions!$C$14,Assumptions!$C$15)+IFERROR(VLOOKUP(B24,Assumptions!$B$33:$D$36,3,FALSE),0)+IFERROR(VLOOKUP(IFERROR(VLOOKUP(B24,Assumptions!$B$33:$D$36,2,FALSE),""),Assumptions!$B$40:$D$43,2,FALSE),0)+IFERROR(VLOOKUP(IFERROR(VLOOKUP(B24,Assumptions!$B$33:$D$36,2,FALSE),""),Assumptions!$B$40:$D$43,3,FALSE),0)+Assumptions!$C$20)+Assumptions!$C$18*K24+Assumptions!$C$21*K24,IF(G24="per_diem",Q24*(Assumptions!$C$10+IF(IFERROR(VLOOKUP(E24,Assumptions!$B$47:$C$67,2,FALSE),"clinical")="clinical",Assumptions!$C$14,Assumptions!$C$15)+IFERROR(VLOOKUP(B24,Assumptions!$B$33:$D$36,3,FALSE),0)+IFERROR(VLOOKUP(IFERROR(VLOOKUP(B24,Assumptions!$B$33:$D$36,2,FALSE),""),Assumptions!$B$40:$D$43,2,FALSE),0)+IFERROR(VLOOKUP(IFERROR(VLOOKUP(B24,Assumptions!$B$33:$D$36,2,FALSE),""),Assumptions!$B$40:$D$43,3,FALSE),0))+Assumptions!$C$19*K24,0)))</f>
        <v>109646.48</v>
      </c>
      <c r="S24" s="45">
        <f t="shared" si="1"/>
        <v>367566.48</v>
      </c>
      <c r="T24" s="48">
        <f>IF(Q24="","",IF(G24="permanent",S24,IFERROR(AVERAGEIFS(Employees!$J$7:$J$67,Employees!$B$7:$B$67,B24,Employees!$E$7:$E$67,E24,Employees!$G$7:$G$67,"permanent")*I24*52*K24*(1+Assumptions!$C$9+Assumptions!$C$10+Assumptions!$C$11+IF(IFERROR(VLOOKUP(E24,Assumptions!$B$47:$C$67,2,FALSE),"clinical")="clinical",Assumptions!$C$14,Assumptions!$C$15)+IFERROR(VLOOKUP(B24,Assumptions!$B$33:$D$36,3,FALSE),0)+IFERROR(VLOOKUP(IFERROR(VLOOKUP(B24,Assumptions!$B$33:$D$36,2,FALSE),""),Assumptions!$B$40:$D$43,2,FALSE),0)+IFERROR(VLOOKUP(IFERROR(VLOOKUP(B24,Assumptions!$B$33:$D$36,2,FALSE),""),Assumptions!$B$40:$D$43,3,FALSE),0)+Assumptions!$C$20)+Assumptions!$C$18*K24+Assumptions!$C$21*K24,S24)))</f>
        <v>367566.48</v>
      </c>
    </row>
    <row r="25" ht="21.75" customHeight="1">
      <c r="B25" s="16" t="s">
        <v>81</v>
      </c>
      <c r="C25" s="16" t="s">
        <v>352</v>
      </c>
      <c r="D25" s="16" t="s">
        <v>353</v>
      </c>
      <c r="E25" s="16" t="s">
        <v>36</v>
      </c>
      <c r="F25" s="16" t="s">
        <v>183</v>
      </c>
      <c r="G25" s="16" t="s">
        <v>282</v>
      </c>
      <c r="H25" s="16" t="s">
        <v>73</v>
      </c>
      <c r="I25" s="22">
        <v>24.0</v>
      </c>
      <c r="J25" s="23">
        <v>56.0</v>
      </c>
      <c r="K25" s="33">
        <v>0.6</v>
      </c>
      <c r="L25" s="22">
        <v>0.0</v>
      </c>
      <c r="M25" s="23">
        <v>0.0</v>
      </c>
      <c r="N25" s="35"/>
      <c r="O25" s="35"/>
      <c r="P25" s="16" t="s">
        <v>354</v>
      </c>
      <c r="Q25" s="40">
        <f>IF(OR(J25="",I25="",K25="",G25=""),"",IF(OR(G25="travel",G25="agency",G25="contract_1099"),J25*I25*52*K25,((J25+IFERROR(VLOOKUP(H25,Assumptions!$B$25:$C$29,2,FALSE),0)+IF(M25="",0,M25))*I25*52*K25)+(IF(L25="",0,L25)*J25*1.5*K25)))</f>
        <v>44928</v>
      </c>
      <c r="R25" s="40">
        <f>IF(Q25="","",IF(G25="permanent",Q25*(Assumptions!$C$9+Assumptions!$C$10+Assumptions!$C$11+IF(IFERROR(VLOOKUP(E25,Assumptions!$B$47:$C$67,2,FALSE),"clinical")="clinical",Assumptions!$C$14,Assumptions!$C$15)+IFERROR(VLOOKUP(B25,Assumptions!$B$33:$D$36,3,FALSE),0)+IFERROR(VLOOKUP(IFERROR(VLOOKUP(B25,Assumptions!$B$33:$D$36,2,FALSE),""),Assumptions!$B$40:$D$43,2,FALSE),0)+IFERROR(VLOOKUP(IFERROR(VLOOKUP(B25,Assumptions!$B$33:$D$36,2,FALSE),""),Assumptions!$B$40:$D$43,3,FALSE),0)+Assumptions!$C$20)+Assumptions!$C$18*K25+Assumptions!$C$21*K25,IF(G25="per_diem",Q25*(Assumptions!$C$10+IF(IFERROR(VLOOKUP(E25,Assumptions!$B$47:$C$67,2,FALSE),"clinical")="clinical",Assumptions!$C$14,Assumptions!$C$15)+IFERROR(VLOOKUP(B25,Assumptions!$B$33:$D$36,3,FALSE),0)+IFERROR(VLOOKUP(IFERROR(VLOOKUP(B25,Assumptions!$B$33:$D$36,2,FALSE),""),Assumptions!$B$40:$D$43,2,FALSE),0)+IFERROR(VLOOKUP(IFERROR(VLOOKUP(B25,Assumptions!$B$33:$D$36,2,FALSE),""),Assumptions!$B$40:$D$43,3,FALSE),0))+Assumptions!$C$19*K25,0)))</f>
        <v>13102.272</v>
      </c>
      <c r="S25" s="45">
        <f t="shared" si="1"/>
        <v>58030.272</v>
      </c>
      <c r="T25" s="48">
        <f>IF(Q25="","",IF(G25="permanent",S25,IFERROR(AVERAGEIFS(Employees!$J$7:$J$67,Employees!$B$7:$B$67,B25,Employees!$E$7:$E$67,E25,Employees!$G$7:$G$67,"permanent")*I25*52*K25*(1+Assumptions!$C$9+Assumptions!$C$10+Assumptions!$C$11+IF(IFERROR(VLOOKUP(E25,Assumptions!$B$47:$C$67,2,FALSE),"clinical")="clinical",Assumptions!$C$14,Assumptions!$C$15)+IFERROR(VLOOKUP(B25,Assumptions!$B$33:$D$36,3,FALSE),0)+IFERROR(VLOOKUP(IFERROR(VLOOKUP(B25,Assumptions!$B$33:$D$36,2,FALSE),""),Assumptions!$B$40:$D$43,2,FALSE),0)+IFERROR(VLOOKUP(IFERROR(VLOOKUP(B25,Assumptions!$B$33:$D$36,2,FALSE),""),Assumptions!$B$40:$D$43,3,FALSE),0)+Assumptions!$C$20)+Assumptions!$C$18*K25+Assumptions!$C$21*K25,S25)))</f>
        <v>59378.5188</v>
      </c>
    </row>
    <row r="26" ht="21.75" customHeight="1">
      <c r="B26" s="49" t="s">
        <v>81</v>
      </c>
      <c r="C26" s="49" t="s">
        <v>352</v>
      </c>
      <c r="D26" s="49" t="s">
        <v>355</v>
      </c>
      <c r="E26" s="49" t="s">
        <v>112</v>
      </c>
      <c r="F26" s="49" t="s">
        <v>162</v>
      </c>
      <c r="G26" s="49" t="s">
        <v>40</v>
      </c>
      <c r="H26" s="49" t="s">
        <v>41</v>
      </c>
      <c r="I26" s="50">
        <v>40.0</v>
      </c>
      <c r="J26" s="51">
        <v>38.0</v>
      </c>
      <c r="K26" s="52">
        <v>1.0</v>
      </c>
      <c r="L26" s="50">
        <v>0.0</v>
      </c>
      <c r="M26" s="51">
        <v>0.0</v>
      </c>
      <c r="N26" s="53" t="s">
        <v>356</v>
      </c>
      <c r="O26" s="53"/>
      <c r="P26" s="49" t="s">
        <v>357</v>
      </c>
      <c r="Q26" s="40">
        <f>IF(OR(J26="",I26="",K26="",G26=""),"",IF(OR(G26="travel",G26="agency",G26="contract_1099"),J26*I26*52*K26,((J26+IFERROR(VLOOKUP(H26,Assumptions!$B$25:$C$29,2,FALSE),0)+IF(M26="",0,M26))*I26*52*K26)+(IF(L26="",0,L26)*J26*1.5*K26)))</f>
        <v>79040</v>
      </c>
      <c r="R26" s="40">
        <f>IF(Q26="","",IF(G26="permanent",Q26*(Assumptions!$C$9+Assumptions!$C$10+Assumptions!$C$11+IF(IFERROR(VLOOKUP(E26,Assumptions!$B$47:$C$67,2,FALSE),"clinical")="clinical",Assumptions!$C$14,Assumptions!$C$15)+IFERROR(VLOOKUP(B26,Assumptions!$B$33:$D$36,3,FALSE),0)+IFERROR(VLOOKUP(IFERROR(VLOOKUP(B26,Assumptions!$B$33:$D$36,2,FALSE),""),Assumptions!$B$40:$D$43,2,FALSE),0)+IFERROR(VLOOKUP(IFERROR(VLOOKUP(B26,Assumptions!$B$33:$D$36,2,FALSE),""),Assumptions!$B$40:$D$43,3,FALSE),0)+Assumptions!$C$20)+Assumptions!$C$18*K26+Assumptions!$C$21*K26,IF(G26="per_diem",Q26*(Assumptions!$C$10+IF(IFERROR(VLOOKUP(E26,Assumptions!$B$47:$C$67,2,FALSE),"clinical")="clinical",Assumptions!$C$14,Assumptions!$C$15)+IFERROR(VLOOKUP(B26,Assumptions!$B$33:$D$36,3,FALSE),0)+IFERROR(VLOOKUP(IFERROR(VLOOKUP(B26,Assumptions!$B$33:$D$36,2,FALSE),""),Assumptions!$B$40:$D$43,2,FALSE),0)+IFERROR(VLOOKUP(IFERROR(VLOOKUP(B26,Assumptions!$B$33:$D$36,2,FALSE),""),Assumptions!$B$40:$D$43,3,FALSE),0))+Assumptions!$C$19*K26,0)))</f>
        <v>41403.76</v>
      </c>
      <c r="S26" s="45">
        <f t="shared" si="1"/>
        <v>120443.76</v>
      </c>
      <c r="T26" s="48">
        <f>IF(Q26="","",IF(G26="permanent",S26,IFERROR(AVERAGEIFS(Employees!$J$7:$J$67,Employees!$B$7:$B$67,B26,Employees!$E$7:$E$67,E26,Employees!$G$7:$G$67,"permanent")*I26*52*K26*(1+Assumptions!$C$9+Assumptions!$C$10+Assumptions!$C$11+IF(IFERROR(VLOOKUP(E26,Assumptions!$B$47:$C$67,2,FALSE),"clinical")="clinical",Assumptions!$C$14,Assumptions!$C$15)+IFERROR(VLOOKUP(B26,Assumptions!$B$33:$D$36,3,FALSE),0)+IFERROR(VLOOKUP(IFERROR(VLOOKUP(B26,Assumptions!$B$33:$D$36,2,FALSE),""),Assumptions!$B$40:$D$43,2,FALSE),0)+IFERROR(VLOOKUP(IFERROR(VLOOKUP(B26,Assumptions!$B$33:$D$36,2,FALSE),""),Assumptions!$B$40:$D$43,3,FALSE),0)+Assumptions!$C$20)+Assumptions!$C$18*K26+Assumptions!$C$21*K26,S26)))</f>
        <v>120443.76</v>
      </c>
    </row>
    <row r="27" ht="21.75" customHeight="1">
      <c r="B27" s="16" t="s">
        <v>81</v>
      </c>
      <c r="C27" s="16" t="s">
        <v>358</v>
      </c>
      <c r="D27" s="16" t="s">
        <v>359</v>
      </c>
      <c r="E27" s="16" t="s">
        <v>113</v>
      </c>
      <c r="F27" s="16" t="s">
        <v>37</v>
      </c>
      <c r="G27" s="16" t="s">
        <v>40</v>
      </c>
      <c r="H27" s="16" t="s">
        <v>74</v>
      </c>
      <c r="I27" s="22">
        <v>40.0</v>
      </c>
      <c r="J27" s="23">
        <v>155.0</v>
      </c>
      <c r="K27" s="33">
        <v>1.0</v>
      </c>
      <c r="L27" s="22">
        <v>0.0</v>
      </c>
      <c r="M27" s="23">
        <v>0.0</v>
      </c>
      <c r="N27" s="35" t="s">
        <v>360</v>
      </c>
      <c r="O27" s="35"/>
      <c r="P27" s="16" t="s">
        <v>361</v>
      </c>
      <c r="Q27" s="40">
        <f>IF(OR(J27="",I27="",K27="",G27=""),"",IF(OR(G27="travel",G27="agency",G27="contract_1099"),J27*I27*52*K27,((J27+IFERROR(VLOOKUP(H27,Assumptions!$B$25:$C$29,2,FALSE),0)+IF(M27="",0,M27))*I27*52*K27)+(IF(L27="",0,L27)*J27*1.5*K27)))</f>
        <v>328640</v>
      </c>
      <c r="R27" s="40">
        <f>IF(Q27="","",IF(G27="permanent",Q27*(Assumptions!$C$9+Assumptions!$C$10+Assumptions!$C$11+IF(IFERROR(VLOOKUP(E27,Assumptions!$B$47:$C$67,2,FALSE),"clinical")="clinical",Assumptions!$C$14,Assumptions!$C$15)+IFERROR(VLOOKUP(B27,Assumptions!$B$33:$D$36,3,FALSE),0)+IFERROR(VLOOKUP(IFERROR(VLOOKUP(B27,Assumptions!$B$33:$D$36,2,FALSE),""),Assumptions!$B$40:$D$43,2,FALSE),0)+IFERROR(VLOOKUP(IFERROR(VLOOKUP(B27,Assumptions!$B$33:$D$36,2,FALSE),""),Assumptions!$B$40:$D$43,3,FALSE),0)+Assumptions!$C$20)+Assumptions!$C$18*K27+Assumptions!$C$21*K27,IF(G27="per_diem",Q27*(Assumptions!$C$10+IF(IFERROR(VLOOKUP(E27,Assumptions!$B$47:$C$67,2,FALSE),"clinical")="clinical",Assumptions!$C$14,Assumptions!$C$15)+IFERROR(VLOOKUP(B27,Assumptions!$B$33:$D$36,3,FALSE),0)+IFERROR(VLOOKUP(IFERROR(VLOOKUP(B27,Assumptions!$B$33:$D$36,2,FALSE),""),Assumptions!$B$40:$D$43,2,FALSE),0)+IFERROR(VLOOKUP(IFERROR(VLOOKUP(B27,Assumptions!$B$33:$D$36,2,FALSE),""),Assumptions!$B$40:$D$43,3,FALSE),0))+Assumptions!$C$19*K27,0)))</f>
        <v>136626.16</v>
      </c>
      <c r="S27" s="45">
        <f t="shared" si="1"/>
        <v>465266.16</v>
      </c>
      <c r="T27" s="48">
        <f>IF(Q27="","",IF(G27="permanent",S27,IFERROR(AVERAGEIFS(Employees!$J$7:$J$67,Employees!$B$7:$B$67,B27,Employees!$E$7:$E$67,E27,Employees!$G$7:$G$67,"permanent")*I27*52*K27*(1+Assumptions!$C$9+Assumptions!$C$10+Assumptions!$C$11+IF(IFERROR(VLOOKUP(E27,Assumptions!$B$47:$C$67,2,FALSE),"clinical")="clinical",Assumptions!$C$14,Assumptions!$C$15)+IFERROR(VLOOKUP(B27,Assumptions!$B$33:$D$36,3,FALSE),0)+IFERROR(VLOOKUP(IFERROR(VLOOKUP(B27,Assumptions!$B$33:$D$36,2,FALSE),""),Assumptions!$B$40:$D$43,2,FALSE),0)+IFERROR(VLOOKUP(IFERROR(VLOOKUP(B27,Assumptions!$B$33:$D$36,2,FALSE),""),Assumptions!$B$40:$D$43,3,FALSE),0)+Assumptions!$C$20)+Assumptions!$C$18*K27+Assumptions!$C$21*K27,S27)))</f>
        <v>465266.16</v>
      </c>
    </row>
    <row r="28" ht="21.75" customHeight="1">
      <c r="B28" s="49" t="s">
        <v>84</v>
      </c>
      <c r="C28" s="49" t="s">
        <v>362</v>
      </c>
      <c r="D28" s="49" t="s">
        <v>363</v>
      </c>
      <c r="E28" s="49" t="s">
        <v>36</v>
      </c>
      <c r="F28" s="49" t="s">
        <v>37</v>
      </c>
      <c r="G28" s="49" t="s">
        <v>40</v>
      </c>
      <c r="H28" s="49" t="s">
        <v>41</v>
      </c>
      <c r="I28" s="50">
        <v>36.0</v>
      </c>
      <c r="J28" s="51">
        <v>64.5</v>
      </c>
      <c r="K28" s="52">
        <v>1.0</v>
      </c>
      <c r="L28" s="50">
        <v>40.0</v>
      </c>
      <c r="M28" s="51">
        <v>5.0</v>
      </c>
      <c r="N28" s="53" t="s">
        <v>364</v>
      </c>
      <c r="O28" s="53"/>
      <c r="P28" s="49" t="s">
        <v>365</v>
      </c>
      <c r="Q28" s="40">
        <f>IF(OR(J28="",I28="",K28="",G28=""),"",IF(OR(G28="travel",G28="agency",G28="contract_1099"),J28*I28*52*K28,((J28+IFERROR(VLOOKUP(H28,Assumptions!$B$25:$C$29,2,FALSE),0)+IF(M28="",0,M28))*I28*52*K28)+(IF(L28="",0,L28)*J28*1.5*K28)))</f>
        <v>133974</v>
      </c>
      <c r="R28" s="40">
        <f>IF(Q28="","",IF(G28="permanent",Q28*(Assumptions!$C$9+Assumptions!$C$10+Assumptions!$C$11+IF(IFERROR(VLOOKUP(E28,Assumptions!$B$47:$C$67,2,FALSE),"clinical")="clinical",Assumptions!$C$14,Assumptions!$C$15)+IFERROR(VLOOKUP(B28,Assumptions!$B$33:$D$36,3,FALSE),0)+IFERROR(VLOOKUP(IFERROR(VLOOKUP(B28,Assumptions!$B$33:$D$36,2,FALSE),""),Assumptions!$B$40:$D$43,2,FALSE),0)+IFERROR(VLOOKUP(IFERROR(VLOOKUP(B28,Assumptions!$B$33:$D$36,2,FALSE),""),Assumptions!$B$40:$D$43,3,FALSE),0)+Assumptions!$C$20)+Assumptions!$C$18*K28+Assumptions!$C$21*K28,IF(G28="per_diem",Q28*(Assumptions!$C$10+IF(IFERROR(VLOOKUP(E28,Assumptions!$B$47:$C$67,2,FALSE),"clinical")="clinical",Assumptions!$C$14,Assumptions!$C$15)+IFERROR(VLOOKUP(B28,Assumptions!$B$33:$D$36,3,FALSE),0)+IFERROR(VLOOKUP(IFERROR(VLOOKUP(B28,Assumptions!$B$33:$D$36,2,FALSE),""),Assumptions!$B$40:$D$43,2,FALSE),0)+IFERROR(VLOOKUP(IFERROR(VLOOKUP(B28,Assumptions!$B$33:$D$36,2,FALSE),""),Assumptions!$B$40:$D$43,3,FALSE),0))+Assumptions!$C$19*K28,0)))</f>
        <v>61825.185</v>
      </c>
      <c r="S28" s="45">
        <f t="shared" si="1"/>
        <v>195799.185</v>
      </c>
      <c r="T28" s="48">
        <f>IF(Q28="","",IF(G28="permanent",S28,IFERROR(AVERAGEIFS(Employees!$J$7:$J$67,Employees!$B$7:$B$67,B28,Employees!$E$7:$E$67,E28,Employees!$G$7:$G$67,"permanent")*I28*52*K28*(1+Assumptions!$C$9+Assumptions!$C$10+Assumptions!$C$11+IF(IFERROR(VLOOKUP(E28,Assumptions!$B$47:$C$67,2,FALSE),"clinical")="clinical",Assumptions!$C$14,Assumptions!$C$15)+IFERROR(VLOOKUP(B28,Assumptions!$B$33:$D$36,3,FALSE),0)+IFERROR(VLOOKUP(IFERROR(VLOOKUP(B28,Assumptions!$B$33:$D$36,2,FALSE),""),Assumptions!$B$40:$D$43,2,FALSE),0)+IFERROR(VLOOKUP(IFERROR(VLOOKUP(B28,Assumptions!$B$33:$D$36,2,FALSE),""),Assumptions!$B$40:$D$43,3,FALSE),0)+Assumptions!$C$20)+Assumptions!$C$18*K28+Assumptions!$C$21*K28,S28)))</f>
        <v>195799.185</v>
      </c>
    </row>
    <row r="29" ht="21.75" customHeight="1">
      <c r="B29" s="16" t="s">
        <v>84</v>
      </c>
      <c r="C29" s="16" t="s">
        <v>366</v>
      </c>
      <c r="D29" s="16" t="s">
        <v>367</v>
      </c>
      <c r="E29" s="16" t="s">
        <v>36</v>
      </c>
      <c r="F29" s="16" t="s">
        <v>162</v>
      </c>
      <c r="G29" s="16" t="s">
        <v>40</v>
      </c>
      <c r="H29" s="16" t="s">
        <v>72</v>
      </c>
      <c r="I29" s="22">
        <v>36.0</v>
      </c>
      <c r="J29" s="23">
        <v>51.0</v>
      </c>
      <c r="K29" s="33">
        <v>1.0</v>
      </c>
      <c r="L29" s="22">
        <v>100.0</v>
      </c>
      <c r="M29" s="23">
        <v>0.0</v>
      </c>
      <c r="N29" s="35" t="s">
        <v>368</v>
      </c>
      <c r="O29" s="35"/>
      <c r="P29" s="16" t="s">
        <v>165</v>
      </c>
      <c r="Q29" s="40">
        <f>IF(OR(J29="",I29="",K29="",G29=""),"",IF(OR(G29="travel",G29="agency",G29="contract_1099"),J29*I29*52*K29,((J29+IFERROR(VLOOKUP(H29,Assumptions!$B$25:$C$29,2,FALSE),0)+IF(M29="",0,M29))*I29*52*K29)+(IF(L29="",0,L29)*J29*1.5*K29)))</f>
        <v>112482</v>
      </c>
      <c r="R29" s="40">
        <f>IF(Q29="","",IF(G29="permanent",Q29*(Assumptions!$C$9+Assumptions!$C$10+Assumptions!$C$11+IF(IFERROR(VLOOKUP(E29,Assumptions!$B$47:$C$67,2,FALSE),"clinical")="clinical",Assumptions!$C$14,Assumptions!$C$15)+IFERROR(VLOOKUP(B29,Assumptions!$B$33:$D$36,3,FALSE),0)+IFERROR(VLOOKUP(IFERROR(VLOOKUP(B29,Assumptions!$B$33:$D$36,2,FALSE),""),Assumptions!$B$40:$D$43,2,FALSE),0)+IFERROR(VLOOKUP(IFERROR(VLOOKUP(B29,Assumptions!$B$33:$D$36,2,FALSE),""),Assumptions!$B$40:$D$43,3,FALSE),0)+Assumptions!$C$20)+Assumptions!$C$18*K29+Assumptions!$C$21*K29,IF(G29="per_diem",Q29*(Assumptions!$C$10+IF(IFERROR(VLOOKUP(E29,Assumptions!$B$47:$C$67,2,FALSE),"clinical")="clinical",Assumptions!$C$14,Assumptions!$C$15)+IFERROR(VLOOKUP(B29,Assumptions!$B$33:$D$36,3,FALSE),0)+IFERROR(VLOOKUP(IFERROR(VLOOKUP(B29,Assumptions!$B$33:$D$36,2,FALSE),""),Assumptions!$B$40:$D$43,2,FALSE),0)+IFERROR(VLOOKUP(IFERROR(VLOOKUP(B29,Assumptions!$B$33:$D$36,2,FALSE),""),Assumptions!$B$40:$D$43,3,FALSE),0))+Assumptions!$C$19*K29,0)))</f>
        <v>53711.955</v>
      </c>
      <c r="S29" s="45">
        <f t="shared" si="1"/>
        <v>166193.955</v>
      </c>
      <c r="T29" s="48">
        <f>IF(Q29="","",IF(G29="permanent",S29,IFERROR(AVERAGEIFS(Employees!$J$7:$J$67,Employees!$B$7:$B$67,B29,Employees!$E$7:$E$67,E29,Employees!$G$7:$G$67,"permanent")*I29*52*K29*(1+Assumptions!$C$9+Assumptions!$C$10+Assumptions!$C$11+IF(IFERROR(VLOOKUP(E29,Assumptions!$B$47:$C$67,2,FALSE),"clinical")="clinical",Assumptions!$C$14,Assumptions!$C$15)+IFERROR(VLOOKUP(B29,Assumptions!$B$33:$D$36,3,FALSE),0)+IFERROR(VLOOKUP(IFERROR(VLOOKUP(B29,Assumptions!$B$33:$D$36,2,FALSE),""),Assumptions!$B$40:$D$43,2,FALSE),0)+IFERROR(VLOOKUP(IFERROR(VLOOKUP(B29,Assumptions!$B$33:$D$36,2,FALSE),""),Assumptions!$B$40:$D$43,3,FALSE),0)+Assumptions!$C$20)+Assumptions!$C$18*K29+Assumptions!$C$21*K29,S29)))</f>
        <v>166193.955</v>
      </c>
    </row>
    <row r="30" ht="21.75" customHeight="1">
      <c r="B30" s="49" t="s">
        <v>84</v>
      </c>
      <c r="C30" s="49" t="s">
        <v>369</v>
      </c>
      <c r="D30" s="49" t="s">
        <v>370</v>
      </c>
      <c r="E30" s="49" t="s">
        <v>36</v>
      </c>
      <c r="F30" s="49" t="s">
        <v>183</v>
      </c>
      <c r="G30" s="49" t="s">
        <v>40</v>
      </c>
      <c r="H30" s="49" t="s">
        <v>41</v>
      </c>
      <c r="I30" s="50">
        <v>36.0</v>
      </c>
      <c r="J30" s="51">
        <v>42.75</v>
      </c>
      <c r="K30" s="52">
        <v>1.0</v>
      </c>
      <c r="L30" s="50">
        <v>60.0</v>
      </c>
      <c r="M30" s="51">
        <v>0.0</v>
      </c>
      <c r="N30" s="53" t="s">
        <v>371</v>
      </c>
      <c r="O30" s="53"/>
      <c r="P30" s="49"/>
      <c r="Q30" s="40">
        <f>IF(OR(J30="",I30="",K30="",G30=""),"",IF(OR(G30="travel",G30="agency",G30="contract_1099"),J30*I30*52*K30,((J30+IFERROR(VLOOKUP(H30,Assumptions!$B$25:$C$29,2,FALSE),0)+IF(M30="",0,M30))*I30*52*K30)+(IF(L30="",0,L30)*J30*1.5*K30)))</f>
        <v>83875.5</v>
      </c>
      <c r="R30" s="40">
        <f>IF(Q30="","",IF(G30="permanent",Q30*(Assumptions!$C$9+Assumptions!$C$10+Assumptions!$C$11+IF(IFERROR(VLOOKUP(E30,Assumptions!$B$47:$C$67,2,FALSE),"clinical")="clinical",Assumptions!$C$14,Assumptions!$C$15)+IFERROR(VLOOKUP(B30,Assumptions!$B$33:$D$36,3,FALSE),0)+IFERROR(VLOOKUP(IFERROR(VLOOKUP(B30,Assumptions!$B$33:$D$36,2,FALSE),""),Assumptions!$B$40:$D$43,2,FALSE),0)+IFERROR(VLOOKUP(IFERROR(VLOOKUP(B30,Assumptions!$B$33:$D$36,2,FALSE),""),Assumptions!$B$40:$D$43,3,FALSE),0)+Assumptions!$C$20)+Assumptions!$C$18*K30+Assumptions!$C$21*K30,IF(G30="per_diem",Q30*(Assumptions!$C$10+IF(IFERROR(VLOOKUP(E30,Assumptions!$B$47:$C$67,2,FALSE),"clinical")="clinical",Assumptions!$C$14,Assumptions!$C$15)+IFERROR(VLOOKUP(B30,Assumptions!$B$33:$D$36,3,FALSE),0)+IFERROR(VLOOKUP(IFERROR(VLOOKUP(B30,Assumptions!$B$33:$D$36,2,FALSE),""),Assumptions!$B$40:$D$43,2,FALSE),0)+IFERROR(VLOOKUP(IFERROR(VLOOKUP(B30,Assumptions!$B$33:$D$36,2,FALSE),""),Assumptions!$B$40:$D$43,3,FALSE),0))+Assumptions!$C$19*K30,0)))</f>
        <v>42913.00125</v>
      </c>
      <c r="S30" s="45">
        <f t="shared" si="1"/>
        <v>126788.5013</v>
      </c>
      <c r="T30" s="48">
        <f>IF(Q30="","",IF(G30="permanent",S30,IFERROR(AVERAGEIFS(Employees!$J$7:$J$67,Employees!$B$7:$B$67,B30,Employees!$E$7:$E$67,E30,Employees!$G$7:$G$67,"permanent")*I30*52*K30*(1+Assumptions!$C$9+Assumptions!$C$10+Assumptions!$C$11+IF(IFERROR(VLOOKUP(E30,Assumptions!$B$47:$C$67,2,FALSE),"clinical")="clinical",Assumptions!$C$14,Assumptions!$C$15)+IFERROR(VLOOKUP(B30,Assumptions!$B$33:$D$36,3,FALSE),0)+IFERROR(VLOOKUP(IFERROR(VLOOKUP(B30,Assumptions!$B$33:$D$36,2,FALSE),""),Assumptions!$B$40:$D$43,2,FALSE),0)+IFERROR(VLOOKUP(IFERROR(VLOOKUP(B30,Assumptions!$B$33:$D$36,2,FALSE),""),Assumptions!$B$40:$D$43,3,FALSE),0)+Assumptions!$C$20)+Assumptions!$C$18*K30+Assumptions!$C$21*K30,S30)))</f>
        <v>126788.5013</v>
      </c>
    </row>
    <row r="31" ht="21.75" customHeight="1">
      <c r="B31" s="16" t="s">
        <v>84</v>
      </c>
      <c r="C31" s="16" t="s">
        <v>372</v>
      </c>
      <c r="D31" s="16" t="s">
        <v>373</v>
      </c>
      <c r="E31" s="16" t="s">
        <v>98</v>
      </c>
      <c r="F31" s="16" t="s">
        <v>162</v>
      </c>
      <c r="G31" s="16" t="s">
        <v>40</v>
      </c>
      <c r="H31" s="16" t="s">
        <v>71</v>
      </c>
      <c r="I31" s="22">
        <v>40.0</v>
      </c>
      <c r="J31" s="23">
        <v>33.5</v>
      </c>
      <c r="K31" s="33">
        <v>1.0</v>
      </c>
      <c r="L31" s="22">
        <v>40.0</v>
      </c>
      <c r="M31" s="23">
        <v>0.0</v>
      </c>
      <c r="N31" s="35" t="s">
        <v>374</v>
      </c>
      <c r="O31" s="35"/>
      <c r="P31" s="16"/>
      <c r="Q31" s="40">
        <f>IF(OR(J31="",I31="",K31="",G31=""),"",IF(OR(G31="travel",G31="agency",G31="contract_1099"),J31*I31*52*K31,((J31+IFERROR(VLOOKUP(H31,Assumptions!$B$25:$C$29,2,FALSE),0)+IF(M31="",0,M31))*I31*52*K31)+(IF(L31="",0,L31)*J31*1.5*K31)))</f>
        <v>77930</v>
      </c>
      <c r="R31" s="40">
        <f>IF(Q31="","",IF(G31="permanent",Q31*(Assumptions!$C$9+Assumptions!$C$10+Assumptions!$C$11+IF(IFERROR(VLOOKUP(E31,Assumptions!$B$47:$C$67,2,FALSE),"clinical")="clinical",Assumptions!$C$14,Assumptions!$C$15)+IFERROR(VLOOKUP(B31,Assumptions!$B$33:$D$36,3,FALSE),0)+IFERROR(VLOOKUP(IFERROR(VLOOKUP(B31,Assumptions!$B$33:$D$36,2,FALSE),""),Assumptions!$B$40:$D$43,2,FALSE),0)+IFERROR(VLOOKUP(IFERROR(VLOOKUP(B31,Assumptions!$B$33:$D$36,2,FALSE),""),Assumptions!$B$40:$D$43,3,FALSE),0)+Assumptions!$C$20)+Assumptions!$C$18*K31+Assumptions!$C$21*K31,IF(G31="per_diem",Q31*(Assumptions!$C$10+IF(IFERROR(VLOOKUP(E31,Assumptions!$B$47:$C$67,2,FALSE),"clinical")="clinical",Assumptions!$C$14,Assumptions!$C$15)+IFERROR(VLOOKUP(B31,Assumptions!$B$33:$D$36,3,FALSE),0)+IFERROR(VLOOKUP(IFERROR(VLOOKUP(B31,Assumptions!$B$33:$D$36,2,FALSE),""),Assumptions!$B$40:$D$43,2,FALSE),0)+IFERROR(VLOOKUP(IFERROR(VLOOKUP(B31,Assumptions!$B$33:$D$36,2,FALSE),""),Assumptions!$B$40:$D$43,3,FALSE),0))+Assumptions!$C$19*K31,0)))</f>
        <v>40668.575</v>
      </c>
      <c r="S31" s="45">
        <f t="shared" si="1"/>
        <v>118598.575</v>
      </c>
      <c r="T31" s="48">
        <f>IF(Q31="","",IF(G31="permanent",S31,IFERROR(AVERAGEIFS(Employees!$J$7:$J$67,Employees!$B$7:$B$67,B31,Employees!$E$7:$E$67,E31,Employees!$G$7:$G$67,"permanent")*I31*52*K31*(1+Assumptions!$C$9+Assumptions!$C$10+Assumptions!$C$11+IF(IFERROR(VLOOKUP(E31,Assumptions!$B$47:$C$67,2,FALSE),"clinical")="clinical",Assumptions!$C$14,Assumptions!$C$15)+IFERROR(VLOOKUP(B31,Assumptions!$B$33:$D$36,3,FALSE),0)+IFERROR(VLOOKUP(IFERROR(VLOOKUP(B31,Assumptions!$B$33:$D$36,2,FALSE),""),Assumptions!$B$40:$D$43,2,FALSE),0)+IFERROR(VLOOKUP(IFERROR(VLOOKUP(B31,Assumptions!$B$33:$D$36,2,FALSE),""),Assumptions!$B$40:$D$43,3,FALSE),0)+Assumptions!$C$20)+Assumptions!$C$18*K31+Assumptions!$C$21*K31,S31)))</f>
        <v>118598.575</v>
      </c>
    </row>
    <row r="32" ht="21.75" customHeight="1">
      <c r="B32" s="49" t="s">
        <v>84</v>
      </c>
      <c r="C32" s="49" t="s">
        <v>375</v>
      </c>
      <c r="D32" s="49" t="s">
        <v>376</v>
      </c>
      <c r="E32" s="49" t="s">
        <v>100</v>
      </c>
      <c r="F32" s="49" t="s">
        <v>183</v>
      </c>
      <c r="G32" s="49" t="s">
        <v>40</v>
      </c>
      <c r="H32" s="49" t="s">
        <v>73</v>
      </c>
      <c r="I32" s="50">
        <v>40.0</v>
      </c>
      <c r="J32" s="51">
        <v>23.25</v>
      </c>
      <c r="K32" s="52">
        <v>1.0</v>
      </c>
      <c r="L32" s="50">
        <v>80.0</v>
      </c>
      <c r="M32" s="51">
        <v>0.0</v>
      </c>
      <c r="N32" s="53" t="s">
        <v>377</v>
      </c>
      <c r="O32" s="53"/>
      <c r="P32" s="49"/>
      <c r="Q32" s="40">
        <f>IF(OR(J32="",I32="",K32="",G32=""),"",IF(OR(G32="travel",G32="agency",G32="contract_1099"),J32*I32*52*K32,((J32+IFERROR(VLOOKUP(H32,Assumptions!$B$25:$C$29,2,FALSE),0)+IF(M32="",0,M32))*I32*52*K32)+(IF(L32="",0,L32)*J32*1.5*K32)))</f>
        <v>59470</v>
      </c>
      <c r="R32" s="40">
        <f>IF(Q32="","",IF(G32="permanent",Q32*(Assumptions!$C$9+Assumptions!$C$10+Assumptions!$C$11+IF(IFERROR(VLOOKUP(E32,Assumptions!$B$47:$C$67,2,FALSE),"clinical")="clinical",Assumptions!$C$14,Assumptions!$C$15)+IFERROR(VLOOKUP(B32,Assumptions!$B$33:$D$36,3,FALSE),0)+IFERROR(VLOOKUP(IFERROR(VLOOKUP(B32,Assumptions!$B$33:$D$36,2,FALSE),""),Assumptions!$B$40:$D$43,2,FALSE),0)+IFERROR(VLOOKUP(IFERROR(VLOOKUP(B32,Assumptions!$B$33:$D$36,2,FALSE),""),Assumptions!$B$40:$D$43,3,FALSE),0)+Assumptions!$C$20)+Assumptions!$C$18*K32+Assumptions!$C$21*K32,IF(G32="per_diem",Q32*(Assumptions!$C$10+IF(IFERROR(VLOOKUP(E32,Assumptions!$B$47:$C$67,2,FALSE),"clinical")="clinical",Assumptions!$C$14,Assumptions!$C$15)+IFERROR(VLOOKUP(B32,Assumptions!$B$33:$D$36,3,FALSE),0)+IFERROR(VLOOKUP(IFERROR(VLOOKUP(B32,Assumptions!$B$33:$D$36,2,FALSE),""),Assumptions!$B$40:$D$43,2,FALSE),0)+IFERROR(VLOOKUP(IFERROR(VLOOKUP(B32,Assumptions!$B$33:$D$36,2,FALSE),""),Assumptions!$B$40:$D$43,3,FALSE),0))+Assumptions!$C$19*K32,0)))</f>
        <v>33699.925</v>
      </c>
      <c r="S32" s="45">
        <f t="shared" si="1"/>
        <v>93169.925</v>
      </c>
      <c r="T32" s="48">
        <f>IF(Q32="","",IF(G32="permanent",S32,IFERROR(AVERAGEIFS(Employees!$J$7:$J$67,Employees!$B$7:$B$67,B32,Employees!$E$7:$E$67,E32,Employees!$G$7:$G$67,"permanent")*I32*52*K32*(1+Assumptions!$C$9+Assumptions!$C$10+Assumptions!$C$11+IF(IFERROR(VLOOKUP(E32,Assumptions!$B$47:$C$67,2,FALSE),"clinical")="clinical",Assumptions!$C$14,Assumptions!$C$15)+IFERROR(VLOOKUP(B32,Assumptions!$B$33:$D$36,3,FALSE),0)+IFERROR(VLOOKUP(IFERROR(VLOOKUP(B32,Assumptions!$B$33:$D$36,2,FALSE),""),Assumptions!$B$40:$D$43,2,FALSE),0)+IFERROR(VLOOKUP(IFERROR(VLOOKUP(B32,Assumptions!$B$33:$D$36,2,FALSE),""),Assumptions!$B$40:$D$43,3,FALSE),0)+Assumptions!$C$20)+Assumptions!$C$18*K32+Assumptions!$C$21*K32,S32)))</f>
        <v>93169.925</v>
      </c>
    </row>
    <row r="33" ht="21.75" customHeight="1">
      <c r="B33" s="16" t="s">
        <v>84</v>
      </c>
      <c r="C33" s="16" t="s">
        <v>378</v>
      </c>
      <c r="D33" s="16" t="s">
        <v>379</v>
      </c>
      <c r="E33" s="16" t="s">
        <v>36</v>
      </c>
      <c r="F33" s="16" t="s">
        <v>162</v>
      </c>
      <c r="G33" s="16" t="s">
        <v>40</v>
      </c>
      <c r="H33" s="16" t="s">
        <v>72</v>
      </c>
      <c r="I33" s="22">
        <v>36.0</v>
      </c>
      <c r="J33" s="23">
        <v>52.0</v>
      </c>
      <c r="K33" s="33">
        <v>1.0</v>
      </c>
      <c r="L33" s="22">
        <v>100.0</v>
      </c>
      <c r="M33" s="23">
        <v>0.0</v>
      </c>
      <c r="N33" s="35" t="s">
        <v>380</v>
      </c>
      <c r="O33" s="35"/>
      <c r="P33" s="16"/>
      <c r="Q33" s="40">
        <f>IF(OR(J33="",I33="",K33="",G33=""),"",IF(OR(G33="travel",G33="agency",G33="contract_1099"),J33*I33*52*K33,((J33+IFERROR(VLOOKUP(H33,Assumptions!$B$25:$C$29,2,FALSE),0)+IF(M33="",0,M33))*I33*52*K33)+(IF(L33="",0,L33)*J33*1.5*K33)))</f>
        <v>114504</v>
      </c>
      <c r="R33" s="40">
        <f>IF(Q33="","",IF(G33="permanent",Q33*(Assumptions!$C$9+Assumptions!$C$10+Assumptions!$C$11+IF(IFERROR(VLOOKUP(E33,Assumptions!$B$47:$C$67,2,FALSE),"clinical")="clinical",Assumptions!$C$14,Assumptions!$C$15)+IFERROR(VLOOKUP(B33,Assumptions!$B$33:$D$36,3,FALSE),0)+IFERROR(VLOOKUP(IFERROR(VLOOKUP(B33,Assumptions!$B$33:$D$36,2,FALSE),""),Assumptions!$B$40:$D$43,2,FALSE),0)+IFERROR(VLOOKUP(IFERROR(VLOOKUP(B33,Assumptions!$B$33:$D$36,2,FALSE),""),Assumptions!$B$40:$D$43,3,FALSE),0)+Assumptions!$C$20)+Assumptions!$C$18*K33+Assumptions!$C$21*K33,IF(G33="per_diem",Q33*(Assumptions!$C$10+IF(IFERROR(VLOOKUP(E33,Assumptions!$B$47:$C$67,2,FALSE),"clinical")="clinical",Assumptions!$C$14,Assumptions!$C$15)+IFERROR(VLOOKUP(B33,Assumptions!$B$33:$D$36,3,FALSE),0)+IFERROR(VLOOKUP(IFERROR(VLOOKUP(B33,Assumptions!$B$33:$D$36,2,FALSE),""),Assumptions!$B$40:$D$43,2,FALSE),0)+IFERROR(VLOOKUP(IFERROR(VLOOKUP(B33,Assumptions!$B$33:$D$36,2,FALSE),""),Assumptions!$B$40:$D$43,3,FALSE),0))+Assumptions!$C$19*K33,0)))</f>
        <v>54475.26</v>
      </c>
      <c r="S33" s="45">
        <f t="shared" si="1"/>
        <v>168979.26</v>
      </c>
      <c r="T33" s="48">
        <f>IF(Q33="","",IF(G33="permanent",S33,IFERROR(AVERAGEIFS(Employees!$J$7:$J$67,Employees!$B$7:$B$67,B33,Employees!$E$7:$E$67,E33,Employees!$G$7:$G$67,"permanent")*I33*52*K33*(1+Assumptions!$C$9+Assumptions!$C$10+Assumptions!$C$11+IF(IFERROR(VLOOKUP(E33,Assumptions!$B$47:$C$67,2,FALSE),"clinical")="clinical",Assumptions!$C$14,Assumptions!$C$15)+IFERROR(VLOOKUP(B33,Assumptions!$B$33:$D$36,3,FALSE),0)+IFERROR(VLOOKUP(IFERROR(VLOOKUP(B33,Assumptions!$B$33:$D$36,2,FALSE),""),Assumptions!$B$40:$D$43,2,FALSE),0)+IFERROR(VLOOKUP(IFERROR(VLOOKUP(B33,Assumptions!$B$33:$D$36,2,FALSE),""),Assumptions!$B$40:$D$43,3,FALSE),0)+Assumptions!$C$20)+Assumptions!$C$18*K33+Assumptions!$C$21*K33,S33)))</f>
        <v>168979.26</v>
      </c>
    </row>
    <row r="34" ht="21.75" customHeight="1">
      <c r="B34" s="49" t="s">
        <v>84</v>
      </c>
      <c r="C34" s="49" t="s">
        <v>381</v>
      </c>
      <c r="D34" s="49" t="s">
        <v>382</v>
      </c>
      <c r="E34" s="49" t="s">
        <v>36</v>
      </c>
      <c r="F34" s="49" t="s">
        <v>37</v>
      </c>
      <c r="G34" s="49" t="s">
        <v>247</v>
      </c>
      <c r="H34" s="49" t="s">
        <v>41</v>
      </c>
      <c r="I34" s="50">
        <v>40.0</v>
      </c>
      <c r="J34" s="51">
        <v>95.0</v>
      </c>
      <c r="K34" s="52">
        <v>1.0</v>
      </c>
      <c r="L34" s="50">
        <v>0.0</v>
      </c>
      <c r="M34" s="51">
        <v>0.0</v>
      </c>
      <c r="N34" s="53" t="s">
        <v>383</v>
      </c>
      <c r="O34" s="53" t="s">
        <v>384</v>
      </c>
      <c r="P34" s="49" t="s">
        <v>385</v>
      </c>
      <c r="Q34" s="40">
        <f>IF(OR(J34="",I34="",K34="",G34=""),"",IF(OR(G34="travel",G34="agency",G34="contract_1099"),J34*I34*52*K34,((J34+IFERROR(VLOOKUP(H34,Assumptions!$B$25:$C$29,2,FALSE),0)+IF(M34="",0,M34))*I34*52*K34)+(IF(L34="",0,L34)*J34*1.5*K34)))</f>
        <v>197600</v>
      </c>
      <c r="R34" s="40">
        <f>IF(Q34="","",IF(G34="permanent",Q34*(Assumptions!$C$9+Assumptions!$C$10+Assumptions!$C$11+IF(IFERROR(VLOOKUP(E34,Assumptions!$B$47:$C$67,2,FALSE),"clinical")="clinical",Assumptions!$C$14,Assumptions!$C$15)+IFERROR(VLOOKUP(B34,Assumptions!$B$33:$D$36,3,FALSE),0)+IFERROR(VLOOKUP(IFERROR(VLOOKUP(B34,Assumptions!$B$33:$D$36,2,FALSE),""),Assumptions!$B$40:$D$43,2,FALSE),0)+IFERROR(VLOOKUP(IFERROR(VLOOKUP(B34,Assumptions!$B$33:$D$36,2,FALSE),""),Assumptions!$B$40:$D$43,3,FALSE),0)+Assumptions!$C$20)+Assumptions!$C$18*K34+Assumptions!$C$21*K34,IF(G34="per_diem",Q34*(Assumptions!$C$10+IF(IFERROR(VLOOKUP(E34,Assumptions!$B$47:$C$67,2,FALSE),"clinical")="clinical",Assumptions!$C$14,Assumptions!$C$15)+IFERROR(VLOOKUP(B34,Assumptions!$B$33:$D$36,3,FALSE),0)+IFERROR(VLOOKUP(IFERROR(VLOOKUP(B34,Assumptions!$B$33:$D$36,2,FALSE),""),Assumptions!$B$40:$D$43,2,FALSE),0)+IFERROR(VLOOKUP(IFERROR(VLOOKUP(B34,Assumptions!$B$33:$D$36,2,FALSE),""),Assumptions!$B$40:$D$43,3,FALSE),0))+Assumptions!$C$19*K34,0)))</f>
        <v>0</v>
      </c>
      <c r="S34" s="45">
        <f t="shared" si="1"/>
        <v>197600</v>
      </c>
      <c r="T34" s="48">
        <f>IF(Q34="","",IF(G34="permanent",S34,IFERROR(AVERAGEIFS(Employees!$J$7:$J$67,Employees!$B$7:$B$67,B34,Employees!$E$7:$E$67,E34,Employees!$G$7:$G$67,"permanent")*I34*52*K34*(1+Assumptions!$C$9+Assumptions!$C$10+Assumptions!$C$11+IF(IFERROR(VLOOKUP(E34,Assumptions!$B$47:$C$67,2,FALSE),"clinical")="clinical",Assumptions!$C$14,Assumptions!$C$15)+IFERROR(VLOOKUP(B34,Assumptions!$B$33:$D$36,3,FALSE),0)+IFERROR(VLOOKUP(IFERROR(VLOOKUP(B34,Assumptions!$B$33:$D$36,2,FALSE),""),Assumptions!$B$40:$D$43,2,FALSE),0)+IFERROR(VLOOKUP(IFERROR(VLOOKUP(B34,Assumptions!$B$33:$D$36,2,FALSE),""),Assumptions!$B$40:$D$43,3,FALSE),0)+Assumptions!$C$20)+Assumptions!$C$18*K34+Assumptions!$C$21*K34,S34)))</f>
        <v>161852.075</v>
      </c>
    </row>
    <row r="35" ht="21.75" customHeight="1">
      <c r="B35" s="16" t="s">
        <v>84</v>
      </c>
      <c r="C35" s="16" t="s">
        <v>386</v>
      </c>
      <c r="D35" s="16" t="s">
        <v>387</v>
      </c>
      <c r="E35" s="16" t="s">
        <v>36</v>
      </c>
      <c r="F35" s="16" t="s">
        <v>162</v>
      </c>
      <c r="G35" s="16" t="s">
        <v>247</v>
      </c>
      <c r="H35" s="16" t="s">
        <v>71</v>
      </c>
      <c r="I35" s="22">
        <v>40.0</v>
      </c>
      <c r="J35" s="23">
        <v>82.5</v>
      </c>
      <c r="K35" s="33">
        <v>1.0</v>
      </c>
      <c r="L35" s="22">
        <v>0.0</v>
      </c>
      <c r="M35" s="23">
        <v>0.0</v>
      </c>
      <c r="N35" s="35" t="s">
        <v>388</v>
      </c>
      <c r="O35" s="35" t="s">
        <v>389</v>
      </c>
      <c r="P35" s="16"/>
      <c r="Q35" s="40">
        <f>IF(OR(J35="",I35="",K35="",G35=""),"",IF(OR(G35="travel",G35="agency",G35="contract_1099"),J35*I35*52*K35,((J35+IFERROR(VLOOKUP(H35,Assumptions!$B$25:$C$29,2,FALSE),0)+IF(M35="",0,M35))*I35*52*K35)+(IF(L35="",0,L35)*J35*1.5*K35)))</f>
        <v>171600</v>
      </c>
      <c r="R35" s="40">
        <f>IF(Q35="","",IF(G35="permanent",Q35*(Assumptions!$C$9+Assumptions!$C$10+Assumptions!$C$11+IF(IFERROR(VLOOKUP(E35,Assumptions!$B$47:$C$67,2,FALSE),"clinical")="clinical",Assumptions!$C$14,Assumptions!$C$15)+IFERROR(VLOOKUP(B35,Assumptions!$B$33:$D$36,3,FALSE),0)+IFERROR(VLOOKUP(IFERROR(VLOOKUP(B35,Assumptions!$B$33:$D$36,2,FALSE),""),Assumptions!$B$40:$D$43,2,FALSE),0)+IFERROR(VLOOKUP(IFERROR(VLOOKUP(B35,Assumptions!$B$33:$D$36,2,FALSE),""),Assumptions!$B$40:$D$43,3,FALSE),0)+Assumptions!$C$20)+Assumptions!$C$18*K35+Assumptions!$C$21*K35,IF(G35="per_diem",Q35*(Assumptions!$C$10+IF(IFERROR(VLOOKUP(E35,Assumptions!$B$47:$C$67,2,FALSE),"clinical")="clinical",Assumptions!$C$14,Assumptions!$C$15)+IFERROR(VLOOKUP(B35,Assumptions!$B$33:$D$36,3,FALSE),0)+IFERROR(VLOOKUP(IFERROR(VLOOKUP(B35,Assumptions!$B$33:$D$36,2,FALSE),""),Assumptions!$B$40:$D$43,2,FALSE),0)+IFERROR(VLOOKUP(IFERROR(VLOOKUP(B35,Assumptions!$B$33:$D$36,2,FALSE),""),Assumptions!$B$40:$D$43,3,FALSE),0))+Assumptions!$C$19*K35,0)))</f>
        <v>0</v>
      </c>
      <c r="S35" s="45">
        <f t="shared" si="1"/>
        <v>171600</v>
      </c>
      <c r="T35" s="48">
        <f>IF(Q35="","",IF(G35="permanent",S35,IFERROR(AVERAGEIFS(Employees!$J$7:$J$67,Employees!$B$7:$B$67,B35,Employees!$E$7:$E$67,E35,Employees!$G$7:$G$67,"permanent")*I35*52*K35*(1+Assumptions!$C$9+Assumptions!$C$10+Assumptions!$C$11+IF(IFERROR(VLOOKUP(E35,Assumptions!$B$47:$C$67,2,FALSE),"clinical")="clinical",Assumptions!$C$14,Assumptions!$C$15)+IFERROR(VLOOKUP(B35,Assumptions!$B$33:$D$36,3,FALSE),0)+IFERROR(VLOOKUP(IFERROR(VLOOKUP(B35,Assumptions!$B$33:$D$36,2,FALSE),""),Assumptions!$B$40:$D$43,2,FALSE),0)+IFERROR(VLOOKUP(IFERROR(VLOOKUP(B35,Assumptions!$B$33:$D$36,2,FALSE),""),Assumptions!$B$40:$D$43,3,FALSE),0)+Assumptions!$C$20)+Assumptions!$C$18*K35+Assumptions!$C$21*K35,S35)))</f>
        <v>161852.075</v>
      </c>
    </row>
    <row r="36" ht="21.75" customHeight="1">
      <c r="B36" s="49" t="s">
        <v>84</v>
      </c>
      <c r="C36" s="49" t="s">
        <v>390</v>
      </c>
      <c r="D36" s="49" t="s">
        <v>391</v>
      </c>
      <c r="E36" s="49" t="s">
        <v>101</v>
      </c>
      <c r="F36" s="49" t="s">
        <v>37</v>
      </c>
      <c r="G36" s="49" t="s">
        <v>40</v>
      </c>
      <c r="H36" s="49" t="s">
        <v>41</v>
      </c>
      <c r="I36" s="50">
        <v>40.0</v>
      </c>
      <c r="J36" s="51">
        <v>72.0</v>
      </c>
      <c r="K36" s="52">
        <v>1.0</v>
      </c>
      <c r="L36" s="50">
        <v>0.0</v>
      </c>
      <c r="M36" s="51">
        <v>0.0</v>
      </c>
      <c r="N36" s="53" t="s">
        <v>392</v>
      </c>
      <c r="O36" s="53"/>
      <c r="P36" s="49"/>
      <c r="Q36" s="40">
        <f>IF(OR(J36="",I36="",K36="",G36=""),"",IF(OR(G36="travel",G36="agency",G36="contract_1099"),J36*I36*52*K36,((J36+IFERROR(VLOOKUP(H36,Assumptions!$B$25:$C$29,2,FALSE),0)+IF(M36="",0,M36))*I36*52*K36)+(IF(L36="",0,L36)*J36*1.5*K36)))</f>
        <v>149760</v>
      </c>
      <c r="R36" s="40">
        <f>IF(Q36="","",IF(G36="permanent",Q36*(Assumptions!$C$9+Assumptions!$C$10+Assumptions!$C$11+IF(IFERROR(VLOOKUP(E36,Assumptions!$B$47:$C$67,2,FALSE),"clinical")="clinical",Assumptions!$C$14,Assumptions!$C$15)+IFERROR(VLOOKUP(B36,Assumptions!$B$33:$D$36,3,FALSE),0)+IFERROR(VLOOKUP(IFERROR(VLOOKUP(B36,Assumptions!$B$33:$D$36,2,FALSE),""),Assumptions!$B$40:$D$43,2,FALSE),0)+IFERROR(VLOOKUP(IFERROR(VLOOKUP(B36,Assumptions!$B$33:$D$36,2,FALSE),""),Assumptions!$B$40:$D$43,3,FALSE),0)+Assumptions!$C$20)+Assumptions!$C$18*K36+Assumptions!$C$21*K36,IF(G36="per_diem",Q36*(Assumptions!$C$10+IF(IFERROR(VLOOKUP(E36,Assumptions!$B$47:$C$67,2,FALSE),"clinical")="clinical",Assumptions!$C$14,Assumptions!$C$15)+IFERROR(VLOOKUP(B36,Assumptions!$B$33:$D$36,3,FALSE),0)+IFERROR(VLOOKUP(IFERROR(VLOOKUP(B36,Assumptions!$B$33:$D$36,2,FALSE),""),Assumptions!$B$40:$D$43,2,FALSE),0)+IFERROR(VLOOKUP(IFERROR(VLOOKUP(B36,Assumptions!$B$33:$D$36,2,FALSE),""),Assumptions!$B$40:$D$43,3,FALSE),0))+Assumptions!$C$19*K36,0)))</f>
        <v>67784.4</v>
      </c>
      <c r="S36" s="45">
        <f t="shared" si="1"/>
        <v>217544.4</v>
      </c>
      <c r="T36" s="48">
        <f>IF(Q36="","",IF(G36="permanent",S36,IFERROR(AVERAGEIFS(Employees!$J$7:$J$67,Employees!$B$7:$B$67,B36,Employees!$E$7:$E$67,E36,Employees!$G$7:$G$67,"permanent")*I36*52*K36*(1+Assumptions!$C$9+Assumptions!$C$10+Assumptions!$C$11+IF(IFERROR(VLOOKUP(E36,Assumptions!$B$47:$C$67,2,FALSE),"clinical")="clinical",Assumptions!$C$14,Assumptions!$C$15)+IFERROR(VLOOKUP(B36,Assumptions!$B$33:$D$36,3,FALSE),0)+IFERROR(VLOOKUP(IFERROR(VLOOKUP(B36,Assumptions!$B$33:$D$36,2,FALSE),""),Assumptions!$B$40:$D$43,2,FALSE),0)+IFERROR(VLOOKUP(IFERROR(VLOOKUP(B36,Assumptions!$B$33:$D$36,2,FALSE),""),Assumptions!$B$40:$D$43,3,FALSE),0)+Assumptions!$C$20)+Assumptions!$C$18*K36+Assumptions!$C$21*K36,S36)))</f>
        <v>217544.4</v>
      </c>
    </row>
    <row r="37" ht="21.75" customHeight="1">
      <c r="B37" s="16" t="s">
        <v>84</v>
      </c>
      <c r="C37" s="16" t="s">
        <v>393</v>
      </c>
      <c r="D37" s="16" t="s">
        <v>394</v>
      </c>
      <c r="E37" s="16" t="s">
        <v>36</v>
      </c>
      <c r="F37" s="16" t="s">
        <v>183</v>
      </c>
      <c r="G37" s="16" t="s">
        <v>282</v>
      </c>
      <c r="H37" s="16" t="s">
        <v>73</v>
      </c>
      <c r="I37" s="22">
        <v>24.0</v>
      </c>
      <c r="J37" s="23">
        <v>58.0</v>
      </c>
      <c r="K37" s="33">
        <v>0.6</v>
      </c>
      <c r="L37" s="22">
        <v>0.0</v>
      </c>
      <c r="M37" s="23">
        <v>0.0</v>
      </c>
      <c r="N37" s="35"/>
      <c r="O37" s="35"/>
      <c r="P37" s="16" t="s">
        <v>395</v>
      </c>
      <c r="Q37" s="40">
        <f>IF(OR(J37="",I37="",K37="",G37=""),"",IF(OR(G37="travel",G37="agency",G37="contract_1099"),J37*I37*52*K37,((J37+IFERROR(VLOOKUP(H37,Assumptions!$B$25:$C$29,2,FALSE),0)+IF(M37="",0,M37))*I37*52*K37)+(IF(L37="",0,L37)*J37*1.5*K37)))</f>
        <v>46425.6</v>
      </c>
      <c r="R37" s="40">
        <f>IF(Q37="","",IF(G37="permanent",Q37*(Assumptions!$C$9+Assumptions!$C$10+Assumptions!$C$11+IF(IFERROR(VLOOKUP(E37,Assumptions!$B$47:$C$67,2,FALSE),"clinical")="clinical",Assumptions!$C$14,Assumptions!$C$15)+IFERROR(VLOOKUP(B37,Assumptions!$B$33:$D$36,3,FALSE),0)+IFERROR(VLOOKUP(IFERROR(VLOOKUP(B37,Assumptions!$B$33:$D$36,2,FALSE),""),Assumptions!$B$40:$D$43,2,FALSE),0)+IFERROR(VLOOKUP(IFERROR(VLOOKUP(B37,Assumptions!$B$33:$D$36,2,FALSE),""),Assumptions!$B$40:$D$43,3,FALSE),0)+Assumptions!$C$20)+Assumptions!$C$18*K37+Assumptions!$C$21*K37,IF(G37="per_diem",Q37*(Assumptions!$C$10+IF(IFERROR(VLOOKUP(E37,Assumptions!$B$47:$C$67,2,FALSE),"clinical")="clinical",Assumptions!$C$14,Assumptions!$C$15)+IFERROR(VLOOKUP(B37,Assumptions!$B$33:$D$36,3,FALSE),0)+IFERROR(VLOOKUP(IFERROR(VLOOKUP(B37,Assumptions!$B$33:$D$36,2,FALSE),""),Assumptions!$B$40:$D$43,2,FALSE),0)+IFERROR(VLOOKUP(IFERROR(VLOOKUP(B37,Assumptions!$B$33:$D$36,2,FALSE),""),Assumptions!$B$40:$D$43,3,FALSE),0))+Assumptions!$C$19*K37,0)))</f>
        <v>13233.312</v>
      </c>
      <c r="S37" s="45">
        <f t="shared" si="1"/>
        <v>59658.912</v>
      </c>
      <c r="T37" s="48">
        <f>IF(Q37="","",IF(G37="permanent",S37,IFERROR(AVERAGEIFS(Employees!$J$7:$J$67,Employees!$B$7:$B$67,B37,Employees!$E$7:$E$67,E37,Employees!$G$7:$G$67,"permanent")*I37*52*K37*(1+Assumptions!$C$9+Assumptions!$C$10+Assumptions!$C$11+IF(IFERROR(VLOOKUP(E37,Assumptions!$B$47:$C$67,2,FALSE),"clinical")="clinical",Assumptions!$C$14,Assumptions!$C$15)+IFERROR(VLOOKUP(B37,Assumptions!$B$33:$D$36,3,FALSE),0)+IFERROR(VLOOKUP(IFERROR(VLOOKUP(B37,Assumptions!$B$33:$D$36,2,FALSE),""),Assumptions!$B$40:$D$43,2,FALSE),0)+IFERROR(VLOOKUP(IFERROR(VLOOKUP(B37,Assumptions!$B$33:$D$36,2,FALSE),""),Assumptions!$B$40:$D$43,3,FALSE),0)+Assumptions!$C$20)+Assumptions!$C$18*K37+Assumptions!$C$21*K37,S37)))</f>
        <v>60966.747</v>
      </c>
    </row>
    <row r="38" ht="21.75" customHeight="1">
      <c r="B38" s="49" t="s">
        <v>84</v>
      </c>
      <c r="C38" s="49" t="s">
        <v>396</v>
      </c>
      <c r="D38" s="49" t="s">
        <v>397</v>
      </c>
      <c r="E38" s="49" t="s">
        <v>114</v>
      </c>
      <c r="F38" s="49" t="s">
        <v>162</v>
      </c>
      <c r="G38" s="49" t="s">
        <v>40</v>
      </c>
      <c r="H38" s="49" t="s">
        <v>41</v>
      </c>
      <c r="I38" s="50">
        <v>40.0</v>
      </c>
      <c r="J38" s="51">
        <v>28.0</v>
      </c>
      <c r="K38" s="52">
        <v>1.0</v>
      </c>
      <c r="L38" s="50">
        <v>20.0</v>
      </c>
      <c r="M38" s="51">
        <v>0.0</v>
      </c>
      <c r="N38" s="53" t="s">
        <v>398</v>
      </c>
      <c r="O38" s="53"/>
      <c r="P38" s="49" t="s">
        <v>399</v>
      </c>
      <c r="Q38" s="40">
        <f>IF(OR(J38="",I38="",K38="",G38=""),"",IF(OR(G38="travel",G38="agency",G38="contract_1099"),J38*I38*52*K38,((J38+IFERROR(VLOOKUP(H38,Assumptions!$B$25:$C$29,2,FALSE),0)+IF(M38="",0,M38))*I38*52*K38)+(IF(L38="",0,L38)*J38*1.5*K38)))</f>
        <v>59080</v>
      </c>
      <c r="R38" s="40">
        <f>IF(Q38="","",IF(G38="permanent",Q38*(Assumptions!$C$9+Assumptions!$C$10+Assumptions!$C$11+IF(IFERROR(VLOOKUP(E38,Assumptions!$B$47:$C$67,2,FALSE),"clinical")="clinical",Assumptions!$C$14,Assumptions!$C$15)+IFERROR(VLOOKUP(B38,Assumptions!$B$33:$D$36,3,FALSE),0)+IFERROR(VLOOKUP(IFERROR(VLOOKUP(B38,Assumptions!$B$33:$D$36,2,FALSE),""),Assumptions!$B$40:$D$43,2,FALSE),0)+IFERROR(VLOOKUP(IFERROR(VLOOKUP(B38,Assumptions!$B$33:$D$36,2,FALSE),""),Assumptions!$B$40:$D$43,3,FALSE),0)+Assumptions!$C$20)+Assumptions!$C$18*K38+Assumptions!$C$21*K38,IF(G38="per_diem",Q38*(Assumptions!$C$10+IF(IFERROR(VLOOKUP(E38,Assumptions!$B$47:$C$67,2,FALSE),"clinical")="clinical",Assumptions!$C$14,Assumptions!$C$15)+IFERROR(VLOOKUP(B38,Assumptions!$B$33:$D$36,3,FALSE),0)+IFERROR(VLOOKUP(IFERROR(VLOOKUP(B38,Assumptions!$B$33:$D$36,2,FALSE),""),Assumptions!$B$40:$D$43,2,FALSE),0)+IFERROR(VLOOKUP(IFERROR(VLOOKUP(B38,Assumptions!$B$33:$D$36,2,FALSE),""),Assumptions!$B$40:$D$43,3,FALSE),0))+Assumptions!$C$19*K38,0)))</f>
        <v>33552.7</v>
      </c>
      <c r="S38" s="45">
        <f t="shared" si="1"/>
        <v>92632.7</v>
      </c>
      <c r="T38" s="48">
        <f>IF(Q38="","",IF(G38="permanent",S38,IFERROR(AVERAGEIFS(Employees!$J$7:$J$67,Employees!$B$7:$B$67,B38,Employees!$E$7:$E$67,E38,Employees!$G$7:$G$67,"permanent")*I38*52*K38*(1+Assumptions!$C$9+Assumptions!$C$10+Assumptions!$C$11+IF(IFERROR(VLOOKUP(E38,Assumptions!$B$47:$C$67,2,FALSE),"clinical")="clinical",Assumptions!$C$14,Assumptions!$C$15)+IFERROR(VLOOKUP(B38,Assumptions!$B$33:$D$36,3,FALSE),0)+IFERROR(VLOOKUP(IFERROR(VLOOKUP(B38,Assumptions!$B$33:$D$36,2,FALSE),""),Assumptions!$B$40:$D$43,2,FALSE),0)+IFERROR(VLOOKUP(IFERROR(VLOOKUP(B38,Assumptions!$B$33:$D$36,2,FALSE),""),Assumptions!$B$40:$D$43,3,FALSE),0)+Assumptions!$C$20)+Assumptions!$C$18*K38+Assumptions!$C$21*K38,S38)))</f>
        <v>92632.7</v>
      </c>
    </row>
    <row r="39" ht="21.75" customHeight="1">
      <c r="B39" s="16" t="s">
        <v>86</v>
      </c>
      <c r="C39" s="16" t="s">
        <v>318</v>
      </c>
      <c r="D39" s="16" t="s">
        <v>400</v>
      </c>
      <c r="E39" s="16" t="s">
        <v>36</v>
      </c>
      <c r="F39" s="16" t="s">
        <v>37</v>
      </c>
      <c r="G39" s="16" t="s">
        <v>40</v>
      </c>
      <c r="H39" s="16" t="s">
        <v>41</v>
      </c>
      <c r="I39" s="22">
        <v>36.0</v>
      </c>
      <c r="J39" s="23">
        <v>55.0</v>
      </c>
      <c r="K39" s="33">
        <v>1.0</v>
      </c>
      <c r="L39" s="22">
        <v>40.0</v>
      </c>
      <c r="M39" s="23">
        <v>3.0</v>
      </c>
      <c r="N39" s="35" t="s">
        <v>401</v>
      </c>
      <c r="O39" s="35"/>
      <c r="P39" s="16" t="s">
        <v>402</v>
      </c>
      <c r="Q39" s="40">
        <f>IF(OR(J39="",I39="",K39="",G39=""),"",IF(OR(G39="travel",G39="agency",G39="contract_1099"),J39*I39*52*K39,((J39+IFERROR(VLOOKUP(H39,Assumptions!$B$25:$C$29,2,FALSE),0)+IF(M39="",0,M39))*I39*52*K39)+(IF(L39="",0,L39)*J39*1.5*K39)))</f>
        <v>111876</v>
      </c>
      <c r="R39" s="40">
        <f>IF(Q39="","",IF(G39="permanent",Q39*(Assumptions!$C$9+Assumptions!$C$10+Assumptions!$C$11+IF(IFERROR(VLOOKUP(E39,Assumptions!$B$47:$C$67,2,FALSE),"clinical")="clinical",Assumptions!$C$14,Assumptions!$C$15)+IFERROR(VLOOKUP(B39,Assumptions!$B$33:$D$36,3,FALSE),0)+IFERROR(VLOOKUP(IFERROR(VLOOKUP(B39,Assumptions!$B$33:$D$36,2,FALSE),""),Assumptions!$B$40:$D$43,2,FALSE),0)+IFERROR(VLOOKUP(IFERROR(VLOOKUP(B39,Assumptions!$B$33:$D$36,2,FALSE),""),Assumptions!$B$40:$D$43,3,FALSE),0)+Assumptions!$C$20)+Assumptions!$C$18*K39+Assumptions!$C$21*K39,IF(G39="per_diem",Q39*(Assumptions!$C$10+IF(IFERROR(VLOOKUP(E39,Assumptions!$B$47:$C$67,2,FALSE),"clinical")="clinical",Assumptions!$C$14,Assumptions!$C$15)+IFERROR(VLOOKUP(B39,Assumptions!$B$33:$D$36,3,FALSE),0)+IFERROR(VLOOKUP(IFERROR(VLOOKUP(B39,Assumptions!$B$33:$D$36,2,FALSE),""),Assumptions!$B$40:$D$43,2,FALSE),0)+IFERROR(VLOOKUP(IFERROR(VLOOKUP(B39,Assumptions!$B$33:$D$36,2,FALSE),""),Assumptions!$B$40:$D$43,3,FALSE),0))+Assumptions!$C$19*K39,0)))</f>
        <v>50910.042</v>
      </c>
      <c r="S39" s="45">
        <f t="shared" si="1"/>
        <v>162786.042</v>
      </c>
      <c r="T39" s="48">
        <f>IF(Q39="","",IF(G39="permanent",S39,IFERROR(AVERAGEIFS(Employees!$J$7:$J$67,Employees!$B$7:$B$67,B39,Employees!$E$7:$E$67,E39,Employees!$G$7:$G$67,"permanent")*I39*52*K39*(1+Assumptions!$C$9+Assumptions!$C$10+Assumptions!$C$11+IF(IFERROR(VLOOKUP(E39,Assumptions!$B$47:$C$67,2,FALSE),"clinical")="clinical",Assumptions!$C$14,Assumptions!$C$15)+IFERROR(VLOOKUP(B39,Assumptions!$B$33:$D$36,3,FALSE),0)+IFERROR(VLOOKUP(IFERROR(VLOOKUP(B39,Assumptions!$B$33:$D$36,2,FALSE),""),Assumptions!$B$40:$D$43,2,FALSE),0)+IFERROR(VLOOKUP(IFERROR(VLOOKUP(B39,Assumptions!$B$33:$D$36,2,FALSE),""),Assumptions!$B$40:$D$43,3,FALSE),0)+Assumptions!$C$20)+Assumptions!$C$18*K39+Assumptions!$C$21*K39,S39)))</f>
        <v>162786.042</v>
      </c>
    </row>
    <row r="40" ht="21.75" customHeight="1">
      <c r="B40" s="49" t="s">
        <v>86</v>
      </c>
      <c r="C40" s="49" t="s">
        <v>352</v>
      </c>
      <c r="D40" s="49" t="s">
        <v>403</v>
      </c>
      <c r="E40" s="49" t="s">
        <v>36</v>
      </c>
      <c r="F40" s="49" t="s">
        <v>162</v>
      </c>
      <c r="G40" s="49" t="s">
        <v>40</v>
      </c>
      <c r="H40" s="49" t="s">
        <v>71</v>
      </c>
      <c r="I40" s="50">
        <v>36.0</v>
      </c>
      <c r="J40" s="51">
        <v>44.25</v>
      </c>
      <c r="K40" s="52">
        <v>1.0</v>
      </c>
      <c r="L40" s="50">
        <v>60.0</v>
      </c>
      <c r="M40" s="51">
        <v>0.0</v>
      </c>
      <c r="N40" s="53" t="s">
        <v>404</v>
      </c>
      <c r="O40" s="53"/>
      <c r="P40" s="49"/>
      <c r="Q40" s="40">
        <f>IF(OR(J40="",I40="",K40="",G40=""),"",IF(OR(G40="travel",G40="agency",G40="contract_1099"),J40*I40*52*K40,((J40+IFERROR(VLOOKUP(H40,Assumptions!$B$25:$C$29,2,FALSE),0)+IF(M40="",0,M40))*I40*52*K40)+(IF(L40="",0,L40)*J40*1.5*K40)))</f>
        <v>92434.5</v>
      </c>
      <c r="R40" s="40">
        <f>IF(Q40="","",IF(G40="permanent",Q40*(Assumptions!$C$9+Assumptions!$C$10+Assumptions!$C$11+IF(IFERROR(VLOOKUP(E40,Assumptions!$B$47:$C$67,2,FALSE),"clinical")="clinical",Assumptions!$C$14,Assumptions!$C$15)+IFERROR(VLOOKUP(B40,Assumptions!$B$33:$D$36,3,FALSE),0)+IFERROR(VLOOKUP(IFERROR(VLOOKUP(B40,Assumptions!$B$33:$D$36,2,FALSE),""),Assumptions!$B$40:$D$43,2,FALSE),0)+IFERROR(VLOOKUP(IFERROR(VLOOKUP(B40,Assumptions!$B$33:$D$36,2,FALSE),""),Assumptions!$B$40:$D$43,3,FALSE),0)+Assumptions!$C$20)+Assumptions!$C$18*K40+Assumptions!$C$21*K40,IF(G40="per_diem",Q40*(Assumptions!$C$10+IF(IFERROR(VLOOKUP(E40,Assumptions!$B$47:$C$67,2,FALSE),"clinical")="clinical",Assumptions!$C$14,Assumptions!$C$15)+IFERROR(VLOOKUP(B40,Assumptions!$B$33:$D$36,3,FALSE),0)+IFERROR(VLOOKUP(IFERROR(VLOOKUP(B40,Assumptions!$B$33:$D$36,2,FALSE),""),Assumptions!$B$40:$D$43,2,FALSE),0)+IFERROR(VLOOKUP(IFERROR(VLOOKUP(B40,Assumptions!$B$33:$D$36,2,FALSE),""),Assumptions!$B$40:$D$43,3,FALSE),0))+Assumptions!$C$19*K40,0)))</f>
        <v>44018.03025</v>
      </c>
      <c r="S40" s="45">
        <f t="shared" si="1"/>
        <v>136452.5303</v>
      </c>
      <c r="T40" s="48">
        <f>IF(Q40="","",IF(G40="permanent",S40,IFERROR(AVERAGEIFS(Employees!$J$7:$J$67,Employees!$B$7:$B$67,B40,Employees!$E$7:$E$67,E40,Employees!$G$7:$G$67,"permanent")*I40*52*K40*(1+Assumptions!$C$9+Assumptions!$C$10+Assumptions!$C$11+IF(IFERROR(VLOOKUP(E40,Assumptions!$B$47:$C$67,2,FALSE),"clinical")="clinical",Assumptions!$C$14,Assumptions!$C$15)+IFERROR(VLOOKUP(B40,Assumptions!$B$33:$D$36,3,FALSE),0)+IFERROR(VLOOKUP(IFERROR(VLOOKUP(B40,Assumptions!$B$33:$D$36,2,FALSE),""),Assumptions!$B$40:$D$43,2,FALSE),0)+IFERROR(VLOOKUP(IFERROR(VLOOKUP(B40,Assumptions!$B$33:$D$36,2,FALSE),""),Assumptions!$B$40:$D$43,3,FALSE),0)+Assumptions!$C$20)+Assumptions!$C$18*K40+Assumptions!$C$21*K40,S40)))</f>
        <v>136452.5303</v>
      </c>
    </row>
    <row r="41" ht="21.75" customHeight="1">
      <c r="B41" s="16" t="s">
        <v>86</v>
      </c>
      <c r="C41" s="16" t="s">
        <v>405</v>
      </c>
      <c r="D41" s="16" t="s">
        <v>406</v>
      </c>
      <c r="E41" s="16" t="s">
        <v>36</v>
      </c>
      <c r="F41" s="16" t="s">
        <v>183</v>
      </c>
      <c r="G41" s="16" t="s">
        <v>40</v>
      </c>
      <c r="H41" s="16" t="s">
        <v>41</v>
      </c>
      <c r="I41" s="22">
        <v>36.0</v>
      </c>
      <c r="J41" s="23">
        <v>37.0</v>
      </c>
      <c r="K41" s="33">
        <v>1.0</v>
      </c>
      <c r="L41" s="22">
        <v>40.0</v>
      </c>
      <c r="M41" s="23">
        <v>0.0</v>
      </c>
      <c r="N41" s="35" t="s">
        <v>407</v>
      </c>
      <c r="O41" s="35"/>
      <c r="P41" s="16"/>
      <c r="Q41" s="40">
        <f>IF(OR(J41="",I41="",K41="",G41=""),"",IF(OR(G41="travel",G41="agency",G41="contract_1099"),J41*I41*52*K41,((J41+IFERROR(VLOOKUP(H41,Assumptions!$B$25:$C$29,2,FALSE),0)+IF(M41="",0,M41))*I41*52*K41)+(IF(L41="",0,L41)*J41*1.5*K41)))</f>
        <v>71484</v>
      </c>
      <c r="R41" s="40">
        <f>IF(Q41="","",IF(G41="permanent",Q41*(Assumptions!$C$9+Assumptions!$C$10+Assumptions!$C$11+IF(IFERROR(VLOOKUP(E41,Assumptions!$B$47:$C$67,2,FALSE),"clinical")="clinical",Assumptions!$C$14,Assumptions!$C$15)+IFERROR(VLOOKUP(B41,Assumptions!$B$33:$D$36,3,FALSE),0)+IFERROR(VLOOKUP(IFERROR(VLOOKUP(B41,Assumptions!$B$33:$D$36,2,FALSE),""),Assumptions!$B$40:$D$43,2,FALSE),0)+IFERROR(VLOOKUP(IFERROR(VLOOKUP(B41,Assumptions!$B$33:$D$36,2,FALSE),""),Assumptions!$B$40:$D$43,3,FALSE),0)+Assumptions!$C$20)+Assumptions!$C$18*K41+Assumptions!$C$21*K41,IF(G41="per_diem",Q41*(Assumptions!$C$10+IF(IFERROR(VLOOKUP(E41,Assumptions!$B$47:$C$67,2,FALSE),"clinical")="clinical",Assumptions!$C$14,Assumptions!$C$15)+IFERROR(VLOOKUP(B41,Assumptions!$B$33:$D$36,3,FALSE),0)+IFERROR(VLOOKUP(IFERROR(VLOOKUP(B41,Assumptions!$B$33:$D$36,2,FALSE),""),Assumptions!$B$40:$D$43,2,FALSE),0)+IFERROR(VLOOKUP(IFERROR(VLOOKUP(B41,Assumptions!$B$33:$D$36,2,FALSE),""),Assumptions!$B$40:$D$43,3,FALSE),0))+Assumptions!$C$19*K41,0)))</f>
        <v>36591.078</v>
      </c>
      <c r="S41" s="45">
        <f t="shared" si="1"/>
        <v>108075.078</v>
      </c>
      <c r="T41" s="48">
        <f>IF(Q41="","",IF(G41="permanent",S41,IFERROR(AVERAGEIFS(Employees!$J$7:$J$67,Employees!$B$7:$B$67,B41,Employees!$E$7:$E$67,E41,Employees!$G$7:$G$67,"permanent")*I41*52*K41*(1+Assumptions!$C$9+Assumptions!$C$10+Assumptions!$C$11+IF(IFERROR(VLOOKUP(E41,Assumptions!$B$47:$C$67,2,FALSE),"clinical")="clinical",Assumptions!$C$14,Assumptions!$C$15)+IFERROR(VLOOKUP(B41,Assumptions!$B$33:$D$36,3,FALSE),0)+IFERROR(VLOOKUP(IFERROR(VLOOKUP(B41,Assumptions!$B$33:$D$36,2,FALSE),""),Assumptions!$B$40:$D$43,2,FALSE),0)+IFERROR(VLOOKUP(IFERROR(VLOOKUP(B41,Assumptions!$B$33:$D$36,2,FALSE),""),Assumptions!$B$40:$D$43,3,FALSE),0)+Assumptions!$C$20)+Assumptions!$C$18*K41+Assumptions!$C$21*K41,S41)))</f>
        <v>108075.078</v>
      </c>
    </row>
    <row r="42" ht="21.75" customHeight="1">
      <c r="B42" s="49" t="s">
        <v>86</v>
      </c>
      <c r="C42" s="49" t="s">
        <v>408</v>
      </c>
      <c r="D42" s="49" t="s">
        <v>409</v>
      </c>
      <c r="E42" s="49" t="s">
        <v>100</v>
      </c>
      <c r="F42" s="49" t="s">
        <v>162</v>
      </c>
      <c r="G42" s="49" t="s">
        <v>40</v>
      </c>
      <c r="H42" s="49" t="s">
        <v>41</v>
      </c>
      <c r="I42" s="50">
        <v>40.0</v>
      </c>
      <c r="J42" s="51">
        <v>24.5</v>
      </c>
      <c r="K42" s="52">
        <v>1.0</v>
      </c>
      <c r="L42" s="50">
        <v>40.0</v>
      </c>
      <c r="M42" s="51">
        <v>0.0</v>
      </c>
      <c r="N42" s="53" t="s">
        <v>410</v>
      </c>
      <c r="O42" s="53"/>
      <c r="P42" s="49"/>
      <c r="Q42" s="40">
        <f>IF(OR(J42="",I42="",K42="",G42=""),"",IF(OR(G42="travel",G42="agency",G42="contract_1099"),J42*I42*52*K42,((J42+IFERROR(VLOOKUP(H42,Assumptions!$B$25:$C$29,2,FALSE),0)+IF(M42="",0,M42))*I42*52*K42)+(IF(L42="",0,L42)*J42*1.5*K42)))</f>
        <v>52430</v>
      </c>
      <c r="R42" s="40">
        <f>IF(Q42="","",IF(G42="permanent",Q42*(Assumptions!$C$9+Assumptions!$C$10+Assumptions!$C$11+IF(IFERROR(VLOOKUP(E42,Assumptions!$B$47:$C$67,2,FALSE),"clinical")="clinical",Assumptions!$C$14,Assumptions!$C$15)+IFERROR(VLOOKUP(B42,Assumptions!$B$33:$D$36,3,FALSE),0)+IFERROR(VLOOKUP(IFERROR(VLOOKUP(B42,Assumptions!$B$33:$D$36,2,FALSE),""),Assumptions!$B$40:$D$43,2,FALSE),0)+IFERROR(VLOOKUP(IFERROR(VLOOKUP(B42,Assumptions!$B$33:$D$36,2,FALSE),""),Assumptions!$B$40:$D$43,3,FALSE),0)+Assumptions!$C$20)+Assumptions!$C$18*K42+Assumptions!$C$21*K42,IF(G42="per_diem",Q42*(Assumptions!$C$10+IF(IFERROR(VLOOKUP(E42,Assumptions!$B$47:$C$67,2,FALSE),"clinical")="clinical",Assumptions!$C$14,Assumptions!$C$15)+IFERROR(VLOOKUP(B42,Assumptions!$B$33:$D$36,3,FALSE),0)+IFERROR(VLOOKUP(IFERROR(VLOOKUP(B42,Assumptions!$B$33:$D$36,2,FALSE),""),Assumptions!$B$40:$D$43,2,FALSE),0)+IFERROR(VLOOKUP(IFERROR(VLOOKUP(B42,Assumptions!$B$33:$D$36,2,FALSE),""),Assumptions!$B$40:$D$43,3,FALSE),0))+Assumptions!$C$19*K42,0)))</f>
        <v>29836.435</v>
      </c>
      <c r="S42" s="45">
        <f t="shared" si="1"/>
        <v>82266.435</v>
      </c>
      <c r="T42" s="48">
        <f>IF(Q42="","",IF(G42="permanent",S42,IFERROR(AVERAGEIFS(Employees!$J$7:$J$67,Employees!$B$7:$B$67,B42,Employees!$E$7:$E$67,E42,Employees!$G$7:$G$67,"permanent")*I42*52*K42*(1+Assumptions!$C$9+Assumptions!$C$10+Assumptions!$C$11+IF(IFERROR(VLOOKUP(E42,Assumptions!$B$47:$C$67,2,FALSE),"clinical")="clinical",Assumptions!$C$14,Assumptions!$C$15)+IFERROR(VLOOKUP(B42,Assumptions!$B$33:$D$36,3,FALSE),0)+IFERROR(VLOOKUP(IFERROR(VLOOKUP(B42,Assumptions!$B$33:$D$36,2,FALSE),""),Assumptions!$B$40:$D$43,2,FALSE),0)+IFERROR(VLOOKUP(IFERROR(VLOOKUP(B42,Assumptions!$B$33:$D$36,2,FALSE),""),Assumptions!$B$40:$D$43,3,FALSE),0)+Assumptions!$C$20)+Assumptions!$C$18*K42+Assumptions!$C$21*K42,S42)))</f>
        <v>82266.435</v>
      </c>
    </row>
    <row r="43" ht="21.75" customHeight="1">
      <c r="B43" s="16" t="s">
        <v>86</v>
      </c>
      <c r="C43" s="16" t="s">
        <v>411</v>
      </c>
      <c r="D43" s="16" t="s">
        <v>412</v>
      </c>
      <c r="E43" s="16" t="s">
        <v>36</v>
      </c>
      <c r="F43" s="16" t="s">
        <v>37</v>
      </c>
      <c r="G43" s="16" t="s">
        <v>247</v>
      </c>
      <c r="H43" s="16" t="s">
        <v>41</v>
      </c>
      <c r="I43" s="22">
        <v>40.0</v>
      </c>
      <c r="J43" s="23">
        <v>85.0</v>
      </c>
      <c r="K43" s="33">
        <v>1.0</v>
      </c>
      <c r="L43" s="22">
        <v>0.0</v>
      </c>
      <c r="M43" s="23">
        <v>0.0</v>
      </c>
      <c r="N43" s="35" t="s">
        <v>413</v>
      </c>
      <c r="O43" s="35" t="s">
        <v>414</v>
      </c>
      <c r="P43" s="16" t="s">
        <v>385</v>
      </c>
      <c r="Q43" s="40">
        <f>IF(OR(J43="",I43="",K43="",G43=""),"",IF(OR(G43="travel",G43="agency",G43="contract_1099"),J43*I43*52*K43,((J43+IFERROR(VLOOKUP(H43,Assumptions!$B$25:$C$29,2,FALSE),0)+IF(M43="",0,M43))*I43*52*K43)+(IF(L43="",0,L43)*J43*1.5*K43)))</f>
        <v>176800</v>
      </c>
      <c r="R43" s="40">
        <f>IF(Q43="","",IF(G43="permanent",Q43*(Assumptions!$C$9+Assumptions!$C$10+Assumptions!$C$11+IF(IFERROR(VLOOKUP(E43,Assumptions!$B$47:$C$67,2,FALSE),"clinical")="clinical",Assumptions!$C$14,Assumptions!$C$15)+IFERROR(VLOOKUP(B43,Assumptions!$B$33:$D$36,3,FALSE),0)+IFERROR(VLOOKUP(IFERROR(VLOOKUP(B43,Assumptions!$B$33:$D$36,2,FALSE),""),Assumptions!$B$40:$D$43,2,FALSE),0)+IFERROR(VLOOKUP(IFERROR(VLOOKUP(B43,Assumptions!$B$33:$D$36,2,FALSE),""),Assumptions!$B$40:$D$43,3,FALSE),0)+Assumptions!$C$20)+Assumptions!$C$18*K43+Assumptions!$C$21*K43,IF(G43="per_diem",Q43*(Assumptions!$C$10+IF(IFERROR(VLOOKUP(E43,Assumptions!$B$47:$C$67,2,FALSE),"clinical")="clinical",Assumptions!$C$14,Assumptions!$C$15)+IFERROR(VLOOKUP(B43,Assumptions!$B$33:$D$36,3,FALSE),0)+IFERROR(VLOOKUP(IFERROR(VLOOKUP(B43,Assumptions!$B$33:$D$36,2,FALSE),""),Assumptions!$B$40:$D$43,2,FALSE),0)+IFERROR(VLOOKUP(IFERROR(VLOOKUP(B43,Assumptions!$B$33:$D$36,2,FALSE),""),Assumptions!$B$40:$D$43,3,FALSE),0))+Assumptions!$C$19*K43,0)))</f>
        <v>0</v>
      </c>
      <c r="S43" s="45">
        <f t="shared" si="1"/>
        <v>176800</v>
      </c>
      <c r="T43" s="48">
        <f>IF(Q43="","",IF(G43="permanent",S43,IFERROR(AVERAGEIFS(Employees!$J$7:$J$67,Employees!$B$7:$B$67,B43,Employees!$E$7:$E$67,E43,Employees!$G$7:$G$67,"permanent")*I43*52*K43*(1+Assumptions!$C$9+Assumptions!$C$10+Assumptions!$C$11+IF(IFERROR(VLOOKUP(E43,Assumptions!$B$47:$C$67,2,FALSE),"clinical")="clinical",Assumptions!$C$14,Assumptions!$C$15)+IFERROR(VLOOKUP(B43,Assumptions!$B$33:$D$36,3,FALSE),0)+IFERROR(VLOOKUP(IFERROR(VLOOKUP(B43,Assumptions!$B$33:$D$36,2,FALSE),""),Assumptions!$B$40:$D$43,2,FALSE),0)+IFERROR(VLOOKUP(IFERROR(VLOOKUP(B43,Assumptions!$B$33:$D$36,2,FALSE),""),Assumptions!$B$40:$D$43,3,FALSE),0)+Assumptions!$C$20)+Assumptions!$C$18*K43+Assumptions!$C$21*K43,S43)))</f>
        <v>139205.1</v>
      </c>
    </row>
    <row r="44" ht="21.75" customHeight="1">
      <c r="B44" s="49" t="s">
        <v>86</v>
      </c>
      <c r="C44" s="49" t="s">
        <v>415</v>
      </c>
      <c r="D44" s="49" t="s">
        <v>416</v>
      </c>
      <c r="E44" s="49" t="s">
        <v>36</v>
      </c>
      <c r="F44" s="49" t="s">
        <v>162</v>
      </c>
      <c r="G44" s="49" t="s">
        <v>247</v>
      </c>
      <c r="H44" s="49" t="s">
        <v>72</v>
      </c>
      <c r="I44" s="50">
        <v>40.0</v>
      </c>
      <c r="J44" s="51">
        <v>76.0</v>
      </c>
      <c r="K44" s="52">
        <v>1.0</v>
      </c>
      <c r="L44" s="50">
        <v>0.0</v>
      </c>
      <c r="M44" s="51">
        <v>0.0</v>
      </c>
      <c r="N44" s="53" t="s">
        <v>417</v>
      </c>
      <c r="O44" s="53" t="s">
        <v>418</v>
      </c>
      <c r="P44" s="49"/>
      <c r="Q44" s="40">
        <f>IF(OR(J44="",I44="",K44="",G44=""),"",IF(OR(G44="travel",G44="agency",G44="contract_1099"),J44*I44*52*K44,((J44+IFERROR(VLOOKUP(H44,Assumptions!$B$25:$C$29,2,FALSE),0)+IF(M44="",0,M44))*I44*52*K44)+(IF(L44="",0,L44)*J44*1.5*K44)))</f>
        <v>158080</v>
      </c>
      <c r="R44" s="40">
        <f>IF(Q44="","",IF(G44="permanent",Q44*(Assumptions!$C$9+Assumptions!$C$10+Assumptions!$C$11+IF(IFERROR(VLOOKUP(E44,Assumptions!$B$47:$C$67,2,FALSE),"clinical")="clinical",Assumptions!$C$14,Assumptions!$C$15)+IFERROR(VLOOKUP(B44,Assumptions!$B$33:$D$36,3,FALSE),0)+IFERROR(VLOOKUP(IFERROR(VLOOKUP(B44,Assumptions!$B$33:$D$36,2,FALSE),""),Assumptions!$B$40:$D$43,2,FALSE),0)+IFERROR(VLOOKUP(IFERROR(VLOOKUP(B44,Assumptions!$B$33:$D$36,2,FALSE),""),Assumptions!$B$40:$D$43,3,FALSE),0)+Assumptions!$C$20)+Assumptions!$C$18*K44+Assumptions!$C$21*K44,IF(G44="per_diem",Q44*(Assumptions!$C$10+IF(IFERROR(VLOOKUP(E44,Assumptions!$B$47:$C$67,2,FALSE),"clinical")="clinical",Assumptions!$C$14,Assumptions!$C$15)+IFERROR(VLOOKUP(B44,Assumptions!$B$33:$D$36,3,FALSE),0)+IFERROR(VLOOKUP(IFERROR(VLOOKUP(B44,Assumptions!$B$33:$D$36,2,FALSE),""),Assumptions!$B$40:$D$43,2,FALSE),0)+IFERROR(VLOOKUP(IFERROR(VLOOKUP(B44,Assumptions!$B$33:$D$36,2,FALSE),""),Assumptions!$B$40:$D$43,3,FALSE),0))+Assumptions!$C$19*K44,0)))</f>
        <v>0</v>
      </c>
      <c r="S44" s="45">
        <f t="shared" si="1"/>
        <v>158080</v>
      </c>
      <c r="T44" s="48">
        <f>IF(Q44="","",IF(G44="permanent",S44,IFERROR(AVERAGEIFS(Employees!$J$7:$J$67,Employees!$B$7:$B$67,B44,Employees!$E$7:$E$67,E44,Employees!$G$7:$G$67,"permanent")*I44*52*K44*(1+Assumptions!$C$9+Assumptions!$C$10+Assumptions!$C$11+IF(IFERROR(VLOOKUP(E44,Assumptions!$B$47:$C$67,2,FALSE),"clinical")="clinical",Assumptions!$C$14,Assumptions!$C$15)+IFERROR(VLOOKUP(B44,Assumptions!$B$33:$D$36,3,FALSE),0)+IFERROR(VLOOKUP(IFERROR(VLOOKUP(B44,Assumptions!$B$33:$D$36,2,FALSE),""),Assumptions!$B$40:$D$43,2,FALSE),0)+IFERROR(VLOOKUP(IFERROR(VLOOKUP(B44,Assumptions!$B$33:$D$36,2,FALSE),""),Assumptions!$B$40:$D$43,3,FALSE),0)+Assumptions!$C$20)+Assumptions!$C$18*K44+Assumptions!$C$21*K44,S44)))</f>
        <v>139205.1</v>
      </c>
    </row>
    <row r="45" ht="21.75" customHeight="1">
      <c r="B45" s="16" t="s">
        <v>86</v>
      </c>
      <c r="C45" s="16" t="s">
        <v>419</v>
      </c>
      <c r="D45" s="16" t="s">
        <v>420</v>
      </c>
      <c r="E45" s="16" t="s">
        <v>98</v>
      </c>
      <c r="F45" s="16" t="s">
        <v>162</v>
      </c>
      <c r="G45" s="16" t="s">
        <v>40</v>
      </c>
      <c r="H45" s="16" t="s">
        <v>41</v>
      </c>
      <c r="I45" s="22">
        <v>40.0</v>
      </c>
      <c r="J45" s="23">
        <v>29.75</v>
      </c>
      <c r="K45" s="33">
        <v>0.9</v>
      </c>
      <c r="L45" s="22">
        <v>20.0</v>
      </c>
      <c r="M45" s="23">
        <v>0.0</v>
      </c>
      <c r="N45" s="35" t="s">
        <v>421</v>
      </c>
      <c r="O45" s="35"/>
      <c r="P45" s="16" t="s">
        <v>422</v>
      </c>
      <c r="Q45" s="40">
        <f>IF(OR(J45="",I45="",K45="",G45=""),"",IF(OR(G45="travel",G45="agency",G45="contract_1099"),J45*I45*52*K45,((J45+IFERROR(VLOOKUP(H45,Assumptions!$B$25:$C$29,2,FALSE),0)+IF(M45="",0,M45))*I45*52*K45)+(IF(L45="",0,L45)*J45*1.5*K45)))</f>
        <v>56495.25</v>
      </c>
      <c r="R45" s="40">
        <f>IF(Q45="","",IF(G45="permanent",Q45*(Assumptions!$C$9+Assumptions!$C$10+Assumptions!$C$11+IF(IFERROR(VLOOKUP(E45,Assumptions!$B$47:$C$67,2,FALSE),"clinical")="clinical",Assumptions!$C$14,Assumptions!$C$15)+IFERROR(VLOOKUP(B45,Assumptions!$B$33:$D$36,3,FALSE),0)+IFERROR(VLOOKUP(IFERROR(VLOOKUP(B45,Assumptions!$B$33:$D$36,2,FALSE),""),Assumptions!$B$40:$D$43,2,FALSE),0)+IFERROR(VLOOKUP(IFERROR(VLOOKUP(B45,Assumptions!$B$33:$D$36,2,FALSE),""),Assumptions!$B$40:$D$43,3,FALSE),0)+Assumptions!$C$20)+Assumptions!$C$18*K45+Assumptions!$C$21*K45,IF(G45="per_diem",Q45*(Assumptions!$C$10+IF(IFERROR(VLOOKUP(E45,Assumptions!$B$47:$C$67,2,FALSE),"clinical")="clinical",Assumptions!$C$14,Assumptions!$C$15)+IFERROR(VLOOKUP(B45,Assumptions!$B$33:$D$36,3,FALSE),0)+IFERROR(VLOOKUP(IFERROR(VLOOKUP(B45,Assumptions!$B$33:$D$36,2,FALSE),""),Assumptions!$B$40:$D$43,2,FALSE),0)+IFERROR(VLOOKUP(IFERROR(VLOOKUP(B45,Assumptions!$B$33:$D$36,2,FALSE),""),Assumptions!$B$40:$D$43,3,FALSE),0))+Assumptions!$C$19*K45,0)))</f>
        <v>30152.56613</v>
      </c>
      <c r="S45" s="45">
        <f t="shared" si="1"/>
        <v>86647.81613</v>
      </c>
      <c r="T45" s="48">
        <f>IF(Q45="","",IF(G45="permanent",S45,IFERROR(AVERAGEIFS(Employees!$J$7:$J$67,Employees!$B$7:$B$67,B45,Employees!$E$7:$E$67,E45,Employees!$G$7:$G$67,"permanent")*I45*52*K45*(1+Assumptions!$C$9+Assumptions!$C$10+Assumptions!$C$11+IF(IFERROR(VLOOKUP(E45,Assumptions!$B$47:$C$67,2,FALSE),"clinical")="clinical",Assumptions!$C$14,Assumptions!$C$15)+IFERROR(VLOOKUP(B45,Assumptions!$B$33:$D$36,3,FALSE),0)+IFERROR(VLOOKUP(IFERROR(VLOOKUP(B45,Assumptions!$B$33:$D$36,2,FALSE),""),Assumptions!$B$40:$D$43,2,FALSE),0)+IFERROR(VLOOKUP(IFERROR(VLOOKUP(B45,Assumptions!$B$33:$D$36,2,FALSE),""),Assumptions!$B$40:$D$43,3,FALSE),0)+Assumptions!$C$20)+Assumptions!$C$18*K45+Assumptions!$C$21*K45,S45)))</f>
        <v>86647.81613</v>
      </c>
    </row>
    <row r="46" ht="21.75" customHeight="1">
      <c r="B46" s="49" t="s">
        <v>86</v>
      </c>
      <c r="C46" s="49" t="s">
        <v>423</v>
      </c>
      <c r="D46" s="49" t="s">
        <v>406</v>
      </c>
      <c r="E46" s="49" t="s">
        <v>36</v>
      </c>
      <c r="F46" s="49" t="s">
        <v>183</v>
      </c>
      <c r="G46" s="49" t="s">
        <v>424</v>
      </c>
      <c r="H46" s="49" t="s">
        <v>73</v>
      </c>
      <c r="I46" s="50">
        <v>40.0</v>
      </c>
      <c r="J46" s="51">
        <v>105.0</v>
      </c>
      <c r="K46" s="52">
        <v>0.5</v>
      </c>
      <c r="L46" s="50">
        <v>0.0</v>
      </c>
      <c r="M46" s="51">
        <v>0.0</v>
      </c>
      <c r="N46" s="53"/>
      <c r="O46" s="53"/>
      <c r="P46" s="49" t="s">
        <v>425</v>
      </c>
      <c r="Q46" s="40">
        <f>IF(OR(J46="",I46="",K46="",G46=""),"",IF(OR(G46="travel",G46="agency",G46="contract_1099"),J46*I46*52*K46,((J46+IFERROR(VLOOKUP(H46,Assumptions!$B$25:$C$29,2,FALSE),0)+IF(M46="",0,M46))*I46*52*K46)+(IF(L46="",0,L46)*J46*1.5*K46)))</f>
        <v>109200</v>
      </c>
      <c r="R46" s="40">
        <f>IF(Q46="","",IF(G46="permanent",Q46*(Assumptions!$C$9+Assumptions!$C$10+Assumptions!$C$11+IF(IFERROR(VLOOKUP(E46,Assumptions!$B$47:$C$67,2,FALSE),"clinical")="clinical",Assumptions!$C$14,Assumptions!$C$15)+IFERROR(VLOOKUP(B46,Assumptions!$B$33:$D$36,3,FALSE),0)+IFERROR(VLOOKUP(IFERROR(VLOOKUP(B46,Assumptions!$B$33:$D$36,2,FALSE),""),Assumptions!$B$40:$D$43,2,FALSE),0)+IFERROR(VLOOKUP(IFERROR(VLOOKUP(B46,Assumptions!$B$33:$D$36,2,FALSE),""),Assumptions!$B$40:$D$43,3,FALSE),0)+Assumptions!$C$20)+Assumptions!$C$18*K46+Assumptions!$C$21*K46,IF(G46="per_diem",Q46*(Assumptions!$C$10+IF(IFERROR(VLOOKUP(E46,Assumptions!$B$47:$C$67,2,FALSE),"clinical")="clinical",Assumptions!$C$14,Assumptions!$C$15)+IFERROR(VLOOKUP(B46,Assumptions!$B$33:$D$36,3,FALSE),0)+IFERROR(VLOOKUP(IFERROR(VLOOKUP(B46,Assumptions!$B$33:$D$36,2,FALSE),""),Assumptions!$B$40:$D$43,2,FALSE),0)+IFERROR(VLOOKUP(IFERROR(VLOOKUP(B46,Assumptions!$B$33:$D$36,2,FALSE),""),Assumptions!$B$40:$D$43,3,FALSE),0))+Assumptions!$C$19*K46,0)))</f>
        <v>0</v>
      </c>
      <c r="S46" s="45">
        <f t="shared" si="1"/>
        <v>109200</v>
      </c>
      <c r="T46" s="48">
        <f>IF(Q46="","",IF(G46="permanent",S46,IFERROR(AVERAGEIFS(Employees!$J$7:$J$67,Employees!$B$7:$B$67,B46,Employees!$E$7:$E$67,E46,Employees!$G$7:$G$67,"permanent")*I46*52*K46*(1+Assumptions!$C$9+Assumptions!$C$10+Assumptions!$C$11+IF(IFERROR(VLOOKUP(E46,Assumptions!$B$47:$C$67,2,FALSE),"clinical")="clinical",Assumptions!$C$14,Assumptions!$C$15)+IFERROR(VLOOKUP(B46,Assumptions!$B$33:$D$36,3,FALSE),0)+IFERROR(VLOOKUP(IFERROR(VLOOKUP(B46,Assumptions!$B$33:$D$36,2,FALSE),""),Assumptions!$B$40:$D$43,2,FALSE),0)+IFERROR(VLOOKUP(IFERROR(VLOOKUP(B46,Assumptions!$B$33:$D$36,2,FALSE),""),Assumptions!$B$40:$D$43,3,FALSE),0)+Assumptions!$C$20)+Assumptions!$C$18*K46+Assumptions!$C$21*K46,S46)))</f>
        <v>69602.55</v>
      </c>
    </row>
    <row r="47" ht="21.75" customHeight="1">
      <c r="B47" s="16" t="s">
        <v>86</v>
      </c>
      <c r="C47" s="16" t="s">
        <v>426</v>
      </c>
      <c r="D47" s="16" t="s">
        <v>427</v>
      </c>
      <c r="E47" s="16" t="s">
        <v>115</v>
      </c>
      <c r="F47" s="16" t="s">
        <v>162</v>
      </c>
      <c r="G47" s="16" t="s">
        <v>40</v>
      </c>
      <c r="H47" s="16" t="s">
        <v>41</v>
      </c>
      <c r="I47" s="22">
        <v>40.0</v>
      </c>
      <c r="J47" s="23">
        <v>32.0</v>
      </c>
      <c r="K47" s="33">
        <v>1.0</v>
      </c>
      <c r="L47" s="22">
        <v>0.0</v>
      </c>
      <c r="M47" s="23">
        <v>0.0</v>
      </c>
      <c r="N47" s="35" t="s">
        <v>428</v>
      </c>
      <c r="O47" s="35"/>
      <c r="P47" s="16" t="s">
        <v>429</v>
      </c>
      <c r="Q47" s="40">
        <f>IF(OR(J47="",I47="",K47="",G47=""),"",IF(OR(G47="travel",G47="agency",G47="contract_1099"),J47*I47*52*K47,((J47+IFERROR(VLOOKUP(H47,Assumptions!$B$25:$C$29,2,FALSE),0)+IF(M47="",0,M47))*I47*52*K47)+(IF(L47="",0,L47)*J47*1.5*K47)))</f>
        <v>66560</v>
      </c>
      <c r="R47" s="40">
        <f>IF(Q47="","",IF(G47="permanent",Q47*(Assumptions!$C$9+Assumptions!$C$10+Assumptions!$C$11+IF(IFERROR(VLOOKUP(E47,Assumptions!$B$47:$C$67,2,FALSE),"clinical")="clinical",Assumptions!$C$14,Assumptions!$C$15)+IFERROR(VLOOKUP(B47,Assumptions!$B$33:$D$36,3,FALSE),0)+IFERROR(VLOOKUP(IFERROR(VLOOKUP(B47,Assumptions!$B$33:$D$36,2,FALSE),""),Assumptions!$B$40:$D$43,2,FALSE),0)+IFERROR(VLOOKUP(IFERROR(VLOOKUP(B47,Assumptions!$B$33:$D$36,2,FALSE),""),Assumptions!$B$40:$D$43,3,FALSE),0)+Assumptions!$C$20)+Assumptions!$C$18*K47+Assumptions!$C$21*K47,IF(G47="per_diem",Q47*(Assumptions!$C$10+IF(IFERROR(VLOOKUP(E47,Assumptions!$B$47:$C$67,2,FALSE),"clinical")="clinical",Assumptions!$C$14,Assumptions!$C$15)+IFERROR(VLOOKUP(B47,Assumptions!$B$33:$D$36,3,FALSE),0)+IFERROR(VLOOKUP(IFERROR(VLOOKUP(B47,Assumptions!$B$33:$D$36,2,FALSE),""),Assumptions!$B$40:$D$43,2,FALSE),0)+IFERROR(VLOOKUP(IFERROR(VLOOKUP(B47,Assumptions!$B$33:$D$36,2,FALSE),""),Assumptions!$B$40:$D$43,3,FALSE),0))+Assumptions!$C$19*K47,0)))</f>
        <v>30519.12</v>
      </c>
      <c r="S47" s="45">
        <f t="shared" si="1"/>
        <v>97079.12</v>
      </c>
      <c r="T47" s="48">
        <f>IF(Q47="","",IF(G47="permanent",S47,IFERROR(AVERAGEIFS(Employees!$J$7:$J$67,Employees!$B$7:$B$67,B47,Employees!$E$7:$E$67,E47,Employees!$G$7:$G$67,"permanent")*I47*52*K47*(1+Assumptions!$C$9+Assumptions!$C$10+Assumptions!$C$11+IF(IFERROR(VLOOKUP(E47,Assumptions!$B$47:$C$67,2,FALSE),"clinical")="clinical",Assumptions!$C$14,Assumptions!$C$15)+IFERROR(VLOOKUP(B47,Assumptions!$B$33:$D$36,3,FALSE),0)+IFERROR(VLOOKUP(IFERROR(VLOOKUP(B47,Assumptions!$B$33:$D$36,2,FALSE),""),Assumptions!$B$40:$D$43,2,FALSE),0)+IFERROR(VLOOKUP(IFERROR(VLOOKUP(B47,Assumptions!$B$33:$D$36,2,FALSE),""),Assumptions!$B$40:$D$43,3,FALSE),0)+Assumptions!$C$20)+Assumptions!$C$18*K47+Assumptions!$C$21*K47,S47)))</f>
        <v>97079.12</v>
      </c>
    </row>
    <row r="48" ht="15.75" customHeight="1">
      <c r="B48" s="109"/>
      <c r="E48" s="109"/>
      <c r="F48" s="109"/>
      <c r="G48" s="109"/>
      <c r="H48" s="109"/>
    </row>
    <row r="49" ht="24.0" customHeight="1">
      <c r="B49" s="110" t="s">
        <v>430</v>
      </c>
      <c r="C49" s="111"/>
      <c r="D49" s="111"/>
      <c r="E49" s="111"/>
      <c r="F49" s="111"/>
      <c r="G49" s="111"/>
      <c r="H49" s="111"/>
      <c r="I49" s="111"/>
      <c r="J49" s="111"/>
      <c r="K49" s="112">
        <f>SUM(K7:K47)</f>
        <v>38.9</v>
      </c>
      <c r="L49" s="111"/>
      <c r="M49" s="111"/>
      <c r="N49" s="111"/>
      <c r="O49" s="111"/>
      <c r="P49" s="111"/>
      <c r="Q49" s="113">
        <f t="shared" ref="Q49:T49" si="2">SUM(Q7:Q47)</f>
        <v>4606494.35</v>
      </c>
      <c r="R49" s="113">
        <f t="shared" si="2"/>
        <v>1524352.43</v>
      </c>
      <c r="S49" s="113">
        <f t="shared" si="2"/>
        <v>6130846.78</v>
      </c>
      <c r="T49" s="113">
        <f t="shared" si="2"/>
        <v>5903025.262</v>
      </c>
    </row>
    <row r="50" ht="15.75" customHeight="1">
      <c r="B50" s="109"/>
      <c r="E50" s="109"/>
      <c r="F50" s="109"/>
      <c r="G50" s="109"/>
      <c r="H50" s="109"/>
    </row>
    <row r="51" ht="15.75" customHeight="1">
      <c r="B51" s="109"/>
      <c r="E51" s="109"/>
      <c r="F51" s="109"/>
      <c r="G51" s="109"/>
      <c r="H51" s="109"/>
    </row>
    <row r="52" ht="15.75" customHeight="1">
      <c r="B52" s="109"/>
      <c r="E52" s="109"/>
      <c r="F52" s="109"/>
      <c r="G52" s="109"/>
      <c r="H52" s="109"/>
    </row>
    <row r="53" ht="15.75" customHeight="1">
      <c r="B53" s="109"/>
      <c r="E53" s="109"/>
      <c r="F53" s="109"/>
      <c r="G53" s="109"/>
      <c r="H53" s="109"/>
    </row>
    <row r="54" ht="15.75" customHeight="1">
      <c r="B54" s="109"/>
      <c r="E54" s="109"/>
      <c r="F54" s="109"/>
      <c r="G54" s="109"/>
      <c r="H54" s="109"/>
    </row>
    <row r="55" ht="15.75" customHeight="1">
      <c r="B55" s="109"/>
      <c r="E55" s="109"/>
      <c r="F55" s="109"/>
      <c r="G55" s="109"/>
      <c r="H55" s="109"/>
    </row>
    <row r="56" ht="15.75" customHeight="1">
      <c r="B56" s="109"/>
      <c r="E56" s="109"/>
      <c r="F56" s="109"/>
      <c r="G56" s="109"/>
      <c r="H56" s="109"/>
    </row>
    <row r="57" ht="15.75" customHeight="1">
      <c r="B57" s="109"/>
      <c r="E57" s="109"/>
      <c r="F57" s="109"/>
      <c r="G57" s="109"/>
      <c r="H57" s="109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T1"/>
    <mergeCell ref="A2:T2"/>
    <mergeCell ref="B3:T3"/>
    <mergeCell ref="B4:T4"/>
  </mergeCells>
  <dataValidations>
    <dataValidation type="list" allowBlank="1" sqref="B7:B57">
      <formula1>"Riverside Regional,Pacific Coast Medical,Empire State Hospital,Sunbelt Community Health"</formula1>
    </dataValidation>
    <dataValidation type="list" allowBlank="1" sqref="G7:G57">
      <formula1>"permanent,per_diem,travel,agency,contract_1099"</formula1>
    </dataValidation>
    <dataValidation type="list" allowBlank="1" sqref="F7:F57">
      <formula1>"entry,mid,senior"</formula1>
    </dataValidation>
    <dataValidation type="list" allowBlank="1" sqref="E7:E57">
      <formula1>"RN,LPN,CNA,NP,CRNA,PA,ST,MA,RT,PT,OT,RD,MSW,MD,Pharm_Tech,Coder,IT,HR,Finance,Admin,Billing"</formula1>
    </dataValidation>
    <dataValidation type="list" allowBlank="1" sqref="H7:H57">
      <formula1>"day,evening,night,weekend,rotate"</formula1>
    </dataValidation>
  </dataValidations>
  <printOptions horizontalCentered="1"/>
  <pageMargins bottom="0.6000000000000001" footer="0.0" header="0.0" left="0.4" right="0.4" top="0.6000000000000001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C6AE"/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4.0"/>
    <col customWidth="1" min="3" max="3" width="16.0"/>
    <col customWidth="1" min="4" max="4" width="18.0"/>
    <col customWidth="1" min="5" max="5" width="14.0"/>
    <col customWidth="1" min="6" max="6" width="4.0"/>
    <col customWidth="1" min="7" max="7" width="42.0"/>
    <col customWidth="1" min="8" max="26" width="8.71"/>
  </cols>
  <sheetData>
    <row r="1" ht="43.5" customHeight="1">
      <c r="A1" s="7" t="s">
        <v>16</v>
      </c>
      <c r="B1" s="3"/>
      <c r="C1" s="3"/>
      <c r="D1" s="3"/>
      <c r="E1" s="3"/>
      <c r="F1" s="3"/>
      <c r="G1" s="3"/>
    </row>
    <row r="2" ht="21.75" customHeight="1">
      <c r="A2" s="9" t="s">
        <v>23</v>
      </c>
      <c r="B2" s="3"/>
      <c r="C2" s="3"/>
      <c r="D2" s="3"/>
      <c r="E2" s="3"/>
      <c r="F2" s="3"/>
      <c r="G2" s="3"/>
    </row>
    <row r="4" ht="15.75" customHeight="1">
      <c r="B4" s="10" t="s">
        <v>28</v>
      </c>
    </row>
    <row r="5" ht="19.5" customHeight="1">
      <c r="B5" s="15" t="s">
        <v>30</v>
      </c>
      <c r="C5" s="17">
        <v>2080.0</v>
      </c>
      <c r="G5" s="19" t="s">
        <v>35</v>
      </c>
    </row>
    <row r="6" ht="19.5" customHeight="1">
      <c r="B6" s="15" t="s">
        <v>39</v>
      </c>
      <c r="C6" s="21">
        <v>6.0</v>
      </c>
      <c r="G6" s="19" t="s">
        <v>42</v>
      </c>
    </row>
    <row r="8" ht="15.75" customHeight="1">
      <c r="B8" s="10" t="s">
        <v>43</v>
      </c>
    </row>
    <row r="9" ht="19.5" customHeight="1">
      <c r="B9" s="15" t="s">
        <v>44</v>
      </c>
      <c r="C9" s="25">
        <v>0.08</v>
      </c>
      <c r="G9" s="19" t="s">
        <v>46</v>
      </c>
    </row>
    <row r="10" ht="19.5" customHeight="1">
      <c r="B10" s="15" t="s">
        <v>47</v>
      </c>
      <c r="C10" s="25">
        <v>0.0765</v>
      </c>
      <c r="G10" s="19" t="s">
        <v>48</v>
      </c>
    </row>
    <row r="11" ht="19.5" customHeight="1">
      <c r="B11" s="15" t="s">
        <v>49</v>
      </c>
      <c r="C11" s="25">
        <v>0.05</v>
      </c>
      <c r="G11" s="19" t="s">
        <v>50</v>
      </c>
    </row>
    <row r="13" ht="15.75" customHeight="1">
      <c r="B13" s="10" t="s">
        <v>51</v>
      </c>
    </row>
    <row r="14" ht="19.5" customHeight="1">
      <c r="B14" s="15" t="s">
        <v>52</v>
      </c>
      <c r="C14" s="25">
        <v>0.08</v>
      </c>
      <c r="G14" s="19" t="s">
        <v>53</v>
      </c>
    </row>
    <row r="15" ht="19.5" customHeight="1">
      <c r="B15" s="15" t="s">
        <v>54</v>
      </c>
      <c r="C15" s="25">
        <v>0.015</v>
      </c>
      <c r="G15" s="19" t="s">
        <v>55</v>
      </c>
    </row>
    <row r="17" ht="15.75" customHeight="1">
      <c r="B17" s="10" t="s">
        <v>56</v>
      </c>
    </row>
    <row r="18" ht="19.5" customHeight="1">
      <c r="B18" s="15" t="s">
        <v>57</v>
      </c>
      <c r="C18" s="27">
        <v>11000.0</v>
      </c>
      <c r="G18" s="19" t="s">
        <v>59</v>
      </c>
    </row>
    <row r="19" ht="19.5" customHeight="1">
      <c r="B19" s="15" t="s">
        <v>60</v>
      </c>
      <c r="C19" s="27">
        <v>6000.0</v>
      </c>
      <c r="G19" s="19" t="s">
        <v>62</v>
      </c>
    </row>
    <row r="20" ht="19.5" customHeight="1">
      <c r="B20" s="15" t="s">
        <v>63</v>
      </c>
      <c r="C20" s="25">
        <v>0.04</v>
      </c>
      <c r="G20" s="19" t="s">
        <v>64</v>
      </c>
    </row>
    <row r="21" ht="19.5" customHeight="1">
      <c r="B21" s="15" t="s">
        <v>65</v>
      </c>
      <c r="C21" s="27">
        <v>250.0</v>
      </c>
      <c r="G21" s="19" t="s">
        <v>66</v>
      </c>
    </row>
    <row r="22" ht="15.75" customHeight="1"/>
    <row r="23" ht="15.75" customHeight="1">
      <c r="B23" s="10" t="s">
        <v>68</v>
      </c>
    </row>
    <row r="24" ht="21.75" customHeight="1">
      <c r="B24" s="28" t="s">
        <v>14</v>
      </c>
      <c r="C24" s="28" t="s">
        <v>69</v>
      </c>
    </row>
    <row r="25" ht="19.5" customHeight="1">
      <c r="B25" s="29" t="s">
        <v>41</v>
      </c>
      <c r="C25" s="30">
        <v>0.0</v>
      </c>
      <c r="G25" s="19" t="s">
        <v>70</v>
      </c>
    </row>
    <row r="26" ht="19.5" customHeight="1">
      <c r="B26" s="31" t="s">
        <v>71</v>
      </c>
      <c r="C26" s="30">
        <v>3.0</v>
      </c>
    </row>
    <row r="27" ht="19.5" customHeight="1">
      <c r="B27" s="29" t="s">
        <v>72</v>
      </c>
      <c r="C27" s="30">
        <v>5.0</v>
      </c>
    </row>
    <row r="28" ht="19.5" customHeight="1">
      <c r="B28" s="31" t="s">
        <v>73</v>
      </c>
      <c r="C28" s="30">
        <v>4.0</v>
      </c>
    </row>
    <row r="29" ht="19.5" customHeight="1">
      <c r="B29" s="29" t="s">
        <v>74</v>
      </c>
      <c r="C29" s="30">
        <v>3.0</v>
      </c>
    </row>
    <row r="30" ht="15.75" customHeight="1"/>
    <row r="31" ht="15.75" customHeight="1">
      <c r="B31" s="10" t="s">
        <v>75</v>
      </c>
    </row>
    <row r="32" ht="21.75" customHeight="1">
      <c r="B32" s="28" t="s">
        <v>7</v>
      </c>
      <c r="C32" s="28" t="s">
        <v>77</v>
      </c>
      <c r="D32" s="28" t="s">
        <v>78</v>
      </c>
    </row>
    <row r="33" ht="19.5" customHeight="1">
      <c r="B33" s="29" t="s">
        <v>31</v>
      </c>
      <c r="C33" s="29" t="s">
        <v>80</v>
      </c>
      <c r="D33" s="32">
        <v>0.032</v>
      </c>
    </row>
    <row r="34" ht="19.5" customHeight="1">
      <c r="B34" s="31" t="s">
        <v>81</v>
      </c>
      <c r="C34" s="31" t="s">
        <v>82</v>
      </c>
      <c r="D34" s="32">
        <v>0.045</v>
      </c>
    </row>
    <row r="35" ht="19.5" customHeight="1">
      <c r="B35" s="29" t="s">
        <v>84</v>
      </c>
      <c r="C35" s="29" t="s">
        <v>85</v>
      </c>
      <c r="D35" s="32">
        <v>0.041</v>
      </c>
    </row>
    <row r="36" ht="19.5" customHeight="1">
      <c r="B36" s="31" t="s">
        <v>86</v>
      </c>
      <c r="C36" s="31" t="s">
        <v>87</v>
      </c>
      <c r="D36" s="32">
        <v>0.028</v>
      </c>
    </row>
    <row r="37" ht="15.75" customHeight="1"/>
    <row r="38" ht="15.75" customHeight="1">
      <c r="B38" s="10" t="s">
        <v>88</v>
      </c>
    </row>
    <row r="39" ht="21.75" customHeight="1">
      <c r="B39" s="28" t="s">
        <v>77</v>
      </c>
      <c r="C39" s="28" t="s">
        <v>89</v>
      </c>
      <c r="D39" s="28" t="s">
        <v>90</v>
      </c>
    </row>
    <row r="40" ht="19.5" customHeight="1">
      <c r="B40" s="29" t="s">
        <v>80</v>
      </c>
      <c r="C40" s="32">
        <v>0.0</v>
      </c>
      <c r="D40" s="32">
        <v>0.0</v>
      </c>
      <c r="G40" s="19" t="s">
        <v>91</v>
      </c>
    </row>
    <row r="41" ht="19.5" customHeight="1">
      <c r="B41" s="31" t="s">
        <v>82</v>
      </c>
      <c r="C41" s="32">
        <v>0.009</v>
      </c>
      <c r="D41" s="32">
        <v>0.001</v>
      </c>
    </row>
    <row r="42" ht="19.5" customHeight="1">
      <c r="B42" s="29" t="s">
        <v>85</v>
      </c>
      <c r="C42" s="32">
        <v>0.005</v>
      </c>
      <c r="D42" s="32">
        <v>0.005</v>
      </c>
    </row>
    <row r="43" ht="19.5" customHeight="1">
      <c r="B43" s="31" t="s">
        <v>87</v>
      </c>
      <c r="C43" s="32">
        <v>0.0</v>
      </c>
      <c r="D43" s="32">
        <v>0.0</v>
      </c>
    </row>
    <row r="44" ht="15.75" customHeight="1"/>
    <row r="45" ht="15.75" customHeight="1">
      <c r="B45" s="10" t="s">
        <v>92</v>
      </c>
    </row>
    <row r="46" ht="21.75" customHeight="1">
      <c r="B46" s="28" t="s">
        <v>10</v>
      </c>
      <c r="C46" s="28" t="s">
        <v>94</v>
      </c>
    </row>
    <row r="47" ht="18.0" customHeight="1">
      <c r="B47" s="29" t="s">
        <v>36</v>
      </c>
      <c r="C47" s="34" t="s">
        <v>95</v>
      </c>
      <c r="G47" s="19" t="s">
        <v>97</v>
      </c>
    </row>
    <row r="48" ht="18.0" customHeight="1">
      <c r="B48" s="31" t="s">
        <v>98</v>
      </c>
      <c r="C48" s="34" t="s">
        <v>95</v>
      </c>
    </row>
    <row r="49" ht="18.0" customHeight="1">
      <c r="B49" s="29" t="s">
        <v>100</v>
      </c>
      <c r="C49" s="34" t="s">
        <v>95</v>
      </c>
    </row>
    <row r="50" ht="18.0" customHeight="1">
      <c r="B50" s="31" t="s">
        <v>101</v>
      </c>
      <c r="C50" s="34" t="s">
        <v>95</v>
      </c>
    </row>
    <row r="51" ht="18.0" customHeight="1">
      <c r="B51" s="29" t="s">
        <v>102</v>
      </c>
      <c r="C51" s="34" t="s">
        <v>95</v>
      </c>
    </row>
    <row r="52" ht="18.0" customHeight="1">
      <c r="B52" s="31" t="s">
        <v>104</v>
      </c>
      <c r="C52" s="34" t="s">
        <v>95</v>
      </c>
    </row>
    <row r="53" ht="18.0" customHeight="1">
      <c r="B53" s="29" t="s">
        <v>105</v>
      </c>
      <c r="C53" s="34" t="s">
        <v>95</v>
      </c>
    </row>
    <row r="54" ht="18.0" customHeight="1">
      <c r="B54" s="31" t="s">
        <v>106</v>
      </c>
      <c r="C54" s="34" t="s">
        <v>95</v>
      </c>
    </row>
    <row r="55" ht="18.0" customHeight="1">
      <c r="B55" s="29" t="s">
        <v>107</v>
      </c>
      <c r="C55" s="34" t="s">
        <v>95</v>
      </c>
    </row>
    <row r="56" ht="18.0" customHeight="1">
      <c r="B56" s="31" t="s">
        <v>109</v>
      </c>
      <c r="C56" s="34" t="s">
        <v>95</v>
      </c>
    </row>
    <row r="57" ht="18.0" customHeight="1">
      <c r="B57" s="29" t="s">
        <v>110</v>
      </c>
      <c r="C57" s="34" t="s">
        <v>95</v>
      </c>
    </row>
    <row r="58" ht="18.0" customHeight="1">
      <c r="B58" s="31" t="s">
        <v>111</v>
      </c>
      <c r="C58" s="34" t="s">
        <v>95</v>
      </c>
    </row>
    <row r="59" ht="18.0" customHeight="1">
      <c r="B59" s="29" t="s">
        <v>112</v>
      </c>
      <c r="C59" s="34" t="s">
        <v>95</v>
      </c>
    </row>
    <row r="60" ht="18.0" customHeight="1">
      <c r="B60" s="31" t="s">
        <v>113</v>
      </c>
      <c r="C60" s="34" t="s">
        <v>95</v>
      </c>
    </row>
    <row r="61" ht="18.0" customHeight="1">
      <c r="B61" s="29" t="s">
        <v>114</v>
      </c>
      <c r="C61" s="34" t="s">
        <v>95</v>
      </c>
    </row>
    <row r="62" ht="18.0" customHeight="1">
      <c r="B62" s="31" t="s">
        <v>115</v>
      </c>
      <c r="C62" s="34" t="s">
        <v>116</v>
      </c>
    </row>
    <row r="63" ht="18.0" customHeight="1">
      <c r="B63" s="29" t="s">
        <v>117</v>
      </c>
      <c r="C63" s="34" t="s">
        <v>116</v>
      </c>
    </row>
    <row r="64" ht="18.0" customHeight="1">
      <c r="B64" s="31" t="s">
        <v>118</v>
      </c>
      <c r="C64" s="34" t="s">
        <v>116</v>
      </c>
    </row>
    <row r="65" ht="18.0" customHeight="1">
      <c r="B65" s="29" t="s">
        <v>119</v>
      </c>
      <c r="C65" s="34" t="s">
        <v>116</v>
      </c>
    </row>
    <row r="66" ht="18.0" customHeight="1">
      <c r="B66" s="31" t="s">
        <v>120</v>
      </c>
      <c r="C66" s="34" t="s">
        <v>116</v>
      </c>
    </row>
    <row r="67" ht="18.0" customHeight="1">
      <c r="B67" s="29" t="s">
        <v>121</v>
      </c>
      <c r="C67" s="34" t="s">
        <v>116</v>
      </c>
    </row>
    <row r="68" ht="15.75" customHeight="1"/>
    <row r="69" ht="15.75" customHeight="1">
      <c r="B69" s="10" t="s">
        <v>122</v>
      </c>
    </row>
    <row r="70" ht="21.75" customHeight="1">
      <c r="B70" s="28" t="s">
        <v>123</v>
      </c>
      <c r="C70" s="28" t="s">
        <v>124</v>
      </c>
      <c r="D70" s="28" t="s">
        <v>125</v>
      </c>
    </row>
    <row r="71" ht="19.5" customHeight="1">
      <c r="B71" s="29" t="s">
        <v>36</v>
      </c>
      <c r="C71" s="38">
        <v>0.4</v>
      </c>
      <c r="D71" s="39">
        <v>58000.0</v>
      </c>
      <c r="G71" s="19" t="s">
        <v>126</v>
      </c>
    </row>
    <row r="72" ht="19.5" customHeight="1">
      <c r="B72" s="31" t="s">
        <v>98</v>
      </c>
      <c r="C72" s="38">
        <v>0.3</v>
      </c>
      <c r="D72" s="39">
        <v>32000.0</v>
      </c>
    </row>
    <row r="73" ht="19.5" customHeight="1">
      <c r="B73" s="29" t="s">
        <v>100</v>
      </c>
      <c r="C73" s="38">
        <v>0.45</v>
      </c>
      <c r="D73" s="39">
        <v>18000.0</v>
      </c>
    </row>
    <row r="74" ht="19.5" customHeight="1">
      <c r="B74" s="31" t="s">
        <v>127</v>
      </c>
      <c r="C74" s="38">
        <v>0.15</v>
      </c>
      <c r="D74" s="39">
        <v>75000.0</v>
      </c>
    </row>
    <row r="75" ht="19.5" customHeight="1">
      <c r="B75" s="29" t="s">
        <v>113</v>
      </c>
      <c r="C75" s="38">
        <v>0.08</v>
      </c>
      <c r="D75" s="39">
        <v>250000.0</v>
      </c>
    </row>
    <row r="76" ht="19.5" customHeight="1">
      <c r="B76" s="31" t="s">
        <v>128</v>
      </c>
      <c r="C76" s="38">
        <v>0.2</v>
      </c>
      <c r="D76" s="39">
        <v>28000.0</v>
      </c>
    </row>
    <row r="77" ht="19.5" customHeight="1">
      <c r="B77" s="29" t="s">
        <v>129</v>
      </c>
      <c r="C77" s="38">
        <v>0.15</v>
      </c>
      <c r="D77" s="39">
        <v>12000.0</v>
      </c>
    </row>
    <row r="78" ht="15.75" customHeight="1"/>
    <row r="79" ht="15.75" customHeight="1">
      <c r="B79" s="10" t="s">
        <v>130</v>
      </c>
    </row>
    <row r="80" ht="21.75" customHeight="1">
      <c r="B80" s="28" t="s">
        <v>131</v>
      </c>
      <c r="C80" s="28" t="s">
        <v>133</v>
      </c>
      <c r="D80" s="41" t="s">
        <v>134</v>
      </c>
      <c r="E80" s="3"/>
    </row>
    <row r="81" ht="19.5" customHeight="1">
      <c r="B81" s="29" t="s">
        <v>136</v>
      </c>
      <c r="C81" s="42">
        <v>3.48</v>
      </c>
      <c r="D81" s="43" t="s">
        <v>137</v>
      </c>
    </row>
    <row r="82" ht="19.5" customHeight="1">
      <c r="B82" s="31" t="s">
        <v>138</v>
      </c>
      <c r="C82" s="42">
        <v>0.55</v>
      </c>
      <c r="D82" s="44" t="s">
        <v>140</v>
      </c>
      <c r="E82" s="3"/>
    </row>
    <row r="83" ht="19.5" customHeight="1">
      <c r="B83" s="29" t="s">
        <v>142</v>
      </c>
      <c r="C83" s="42">
        <v>2.45</v>
      </c>
      <c r="D83" s="43" t="s">
        <v>137</v>
      </c>
    </row>
    <row r="84" ht="19.5" customHeight="1">
      <c r="B84" s="31" t="s">
        <v>143</v>
      </c>
      <c r="C84" s="42">
        <v>0.5</v>
      </c>
      <c r="D84" s="44" t="s">
        <v>144</v>
      </c>
      <c r="E84" s="3"/>
    </row>
    <row r="85" ht="19.5" customHeight="1">
      <c r="B85" s="29" t="s">
        <v>146</v>
      </c>
      <c r="C85" s="42">
        <v>0.2</v>
      </c>
      <c r="D85" s="43" t="s">
        <v>148</v>
      </c>
    </row>
    <row r="86" ht="19.5" customHeight="1">
      <c r="B86" s="31" t="s">
        <v>149</v>
      </c>
      <c r="C86" s="42">
        <v>0.25</v>
      </c>
      <c r="D86" s="44" t="s">
        <v>150</v>
      </c>
      <c r="E86" s="3"/>
    </row>
    <row r="87" ht="19.5" customHeight="1">
      <c r="B87" s="29" t="s">
        <v>151</v>
      </c>
      <c r="C87" s="42">
        <v>0.5</v>
      </c>
      <c r="D87" s="43" t="s">
        <v>144</v>
      </c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:G1"/>
    <mergeCell ref="A2:G2"/>
    <mergeCell ref="B4:G4"/>
    <mergeCell ref="B8:G8"/>
    <mergeCell ref="B13:G13"/>
    <mergeCell ref="B17:G17"/>
    <mergeCell ref="B23:G23"/>
    <mergeCell ref="G25:G29"/>
    <mergeCell ref="B31:G31"/>
    <mergeCell ref="B38:G38"/>
    <mergeCell ref="G40:G43"/>
    <mergeCell ref="B45:G45"/>
    <mergeCell ref="G47:G67"/>
    <mergeCell ref="B69:G69"/>
    <mergeCell ref="D85:E85"/>
    <mergeCell ref="D86:E86"/>
    <mergeCell ref="D87:E87"/>
    <mergeCell ref="G71:G77"/>
    <mergeCell ref="B79:G79"/>
    <mergeCell ref="D80:E80"/>
    <mergeCell ref="D81:E81"/>
    <mergeCell ref="D82:E82"/>
    <mergeCell ref="D83:E83"/>
    <mergeCell ref="D84:E84"/>
  </mergeCells>
  <printOptions horizontalCentered="1"/>
  <pageMargins bottom="0.6000000000000001" footer="0.0" header="0.0" left="0.4" right="0.4" top="0.6000000000000001"/>
  <pageSetup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03426"/>
    <pageSetUpPr fitToPage="1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2.0"/>
    <col customWidth="1" min="2" max="2" width="30.0"/>
    <col customWidth="1" min="3" max="3" width="11.0"/>
    <col customWidth="1" min="4" max="4" width="10.0"/>
    <col customWidth="1" min="5" max="5" width="12.0"/>
    <col customWidth="1" min="6" max="7" width="11.0"/>
    <col customWidth="1" min="8" max="8" width="10.0"/>
    <col customWidth="1" min="9" max="9" width="15.0"/>
    <col customWidth="1" min="10" max="10" width="19.0"/>
    <col customWidth="1" min="11" max="11" width="17.0"/>
    <col customWidth="1" min="12" max="26" width="8.71"/>
  </cols>
  <sheetData>
    <row r="1" ht="43.5" customHeight="1">
      <c r="A1" s="7" t="s">
        <v>164</v>
      </c>
      <c r="B1" s="3"/>
      <c r="C1" s="3"/>
      <c r="D1" s="3"/>
      <c r="E1" s="3"/>
      <c r="F1" s="3"/>
      <c r="G1" s="3"/>
      <c r="H1" s="3"/>
      <c r="I1" s="3"/>
      <c r="J1" s="3"/>
    </row>
    <row r="2" ht="21.75" customHeight="1">
      <c r="A2" s="9" t="s">
        <v>166</v>
      </c>
      <c r="B2" s="3"/>
      <c r="C2" s="3"/>
      <c r="D2" s="3"/>
      <c r="E2" s="3"/>
      <c r="F2" s="3"/>
      <c r="G2" s="3"/>
      <c r="H2" s="3"/>
      <c r="I2" s="3"/>
      <c r="J2" s="3"/>
    </row>
    <row r="3" ht="15.75" customHeight="1">
      <c r="B3" s="10" t="s">
        <v>167</v>
      </c>
    </row>
    <row r="4" ht="31.5" customHeight="1">
      <c r="B4" s="13" t="s">
        <v>7</v>
      </c>
      <c r="C4" s="13" t="s">
        <v>168</v>
      </c>
      <c r="D4" s="13" t="s">
        <v>169</v>
      </c>
      <c r="E4" s="13" t="s">
        <v>170</v>
      </c>
      <c r="F4" s="13" t="s">
        <v>171</v>
      </c>
      <c r="G4" s="13" t="s">
        <v>172</v>
      </c>
      <c r="H4" s="13" t="s">
        <v>173</v>
      </c>
      <c r="I4" s="13" t="s">
        <v>174</v>
      </c>
      <c r="J4" s="13" t="s">
        <v>175</v>
      </c>
      <c r="K4" s="13" t="s">
        <v>176</v>
      </c>
    </row>
    <row r="5" ht="21.75" customHeight="1">
      <c r="B5" s="54" t="s">
        <v>31</v>
      </c>
      <c r="C5" s="55">
        <f>COUNTIF(Employees!B7:B47,B5)</f>
        <v>11</v>
      </c>
      <c r="D5" s="33">
        <f>SUMIFS(Employees!K7:K47,Employees!B7:B47,B5)</f>
        <v>10.5</v>
      </c>
      <c r="E5" s="33">
        <f>SUMIFS(Employees!K7:K47,Employees!B7:B47,B5,Employees!G7:G47,"permanent")</f>
        <v>7.9</v>
      </c>
      <c r="F5" s="33">
        <f>SUMIFS(Employees!K7:K47,Employees!B7:B47,B5,Employees!G7:G47,"per_diem")</f>
        <v>0.6</v>
      </c>
      <c r="G5" s="33">
        <f>SUMIFS(Employees!K7:K47,Employees!B7:B47,B5,Employees!G7:G47,"travel")</f>
        <v>2</v>
      </c>
      <c r="H5" s="33">
        <f>SUMIFS(Employees!K7:K47,Employees!B7:B47,B5,Employees!G7:G47,"agency")</f>
        <v>0</v>
      </c>
      <c r="I5" s="56">
        <f>SUMIFS(Employees!S7:S47,Employees!B7:B47,B5,Employees!G7:G47,"permanent")+SUMIFS(Employees!S7:S47,Employees!B7:B47,B5,Employees!G7:G47,"per_diem")</f>
        <v>1155653.011</v>
      </c>
      <c r="J5" s="56">
        <f>SUMIFS(Employees!S7:S47,Employees!B7:B47,B5,Employees!G7:G47,"travel")+SUMIFS(Employees!S7:S47,Employees!B7:B47,B5,Employees!G7:G47,"agency")</f>
        <v>348400</v>
      </c>
      <c r="K5" s="57">
        <f t="shared" ref="K5:K8" si="1">I5+J5</f>
        <v>1504053.011</v>
      </c>
    </row>
    <row r="6" ht="21.75" customHeight="1">
      <c r="B6" s="58" t="s">
        <v>81</v>
      </c>
      <c r="C6" s="59">
        <f>COUNTIF(Employees!B7:B47,B6)</f>
        <v>10</v>
      </c>
      <c r="D6" s="52">
        <f>SUMIFS(Employees!K7:K47,Employees!B7:B47,B6)</f>
        <v>9.4</v>
      </c>
      <c r="E6" s="52">
        <f>SUMIFS(Employees!K7:K47,Employees!B7:B47,B6,Employees!G7:G47,"permanent")</f>
        <v>7.8</v>
      </c>
      <c r="F6" s="52">
        <f>SUMIFS(Employees!K7:K47,Employees!B7:B47,B6,Employees!G7:G47,"per_diem")</f>
        <v>0.6</v>
      </c>
      <c r="G6" s="52">
        <f>SUMIFS(Employees!K7:K47,Employees!B7:B47,B6,Employees!G7:G47,"travel")</f>
        <v>1</v>
      </c>
      <c r="H6" s="52">
        <f>SUMIFS(Employees!K7:K47,Employees!B7:B47,B6,Employees!G7:G47,"agency")</f>
        <v>0</v>
      </c>
      <c r="I6" s="63">
        <f>SUMIFS(Employees!S7:S47,Employees!B7:B47,B6,Employees!G7:G47,"permanent")+SUMIFS(Employees!S7:S47,Employees!B7:B47,B6,Employees!G7:G47,"per_diem")</f>
        <v>1709481.334</v>
      </c>
      <c r="J6" s="63">
        <f>SUMIFS(Employees!S7:S47,Employees!B7:B47,B6,Employees!G7:G47,"travel")+SUMIFS(Employees!S7:S47,Employees!B7:B47,B6,Employees!G7:G47,"agency")</f>
        <v>191360</v>
      </c>
      <c r="K6" s="66">
        <f t="shared" si="1"/>
        <v>1900841.334</v>
      </c>
    </row>
    <row r="7" ht="21.75" customHeight="1">
      <c r="B7" s="54" t="s">
        <v>84</v>
      </c>
      <c r="C7" s="55">
        <f>COUNTIF(Employees!B7:B47,B7)</f>
        <v>11</v>
      </c>
      <c r="D7" s="33">
        <f>SUMIFS(Employees!K7:K47,Employees!B7:B47,B7)</f>
        <v>10.6</v>
      </c>
      <c r="E7" s="33">
        <f>SUMIFS(Employees!K7:K47,Employees!B7:B47,B7,Employees!G7:G47,"permanent")</f>
        <v>8</v>
      </c>
      <c r="F7" s="33">
        <f>SUMIFS(Employees!K7:K47,Employees!B7:B47,B7,Employees!G7:G47,"per_diem")</f>
        <v>0.6</v>
      </c>
      <c r="G7" s="33">
        <f>SUMIFS(Employees!K7:K47,Employees!B7:B47,B7,Employees!G7:G47,"travel")</f>
        <v>2</v>
      </c>
      <c r="H7" s="33">
        <f>SUMIFS(Employees!K7:K47,Employees!B7:B47,B7,Employees!G7:G47,"agency")</f>
        <v>0</v>
      </c>
      <c r="I7" s="56">
        <f>SUMIFS(Employees!S7:S47,Employees!B7:B47,B7,Employees!G7:G47,"permanent")+SUMIFS(Employees!S7:S47,Employees!B7:B47,B7,Employees!G7:G47,"per_diem")</f>
        <v>1239365.413</v>
      </c>
      <c r="J7" s="56">
        <f>SUMIFS(Employees!S7:S47,Employees!B7:B47,B7,Employees!G7:G47,"travel")+SUMIFS(Employees!S7:S47,Employees!B7:B47,B7,Employees!G7:G47,"agency")</f>
        <v>369200</v>
      </c>
      <c r="K7" s="57">
        <f t="shared" si="1"/>
        <v>1608565.413</v>
      </c>
    </row>
    <row r="8" ht="21.75" customHeight="1">
      <c r="B8" s="58" t="s">
        <v>86</v>
      </c>
      <c r="C8" s="59">
        <f>COUNTIF(Employees!B7:B47,B8)</f>
        <v>9</v>
      </c>
      <c r="D8" s="52">
        <f>SUMIFS(Employees!K7:K47,Employees!B7:B47,B8)</f>
        <v>8.4</v>
      </c>
      <c r="E8" s="52">
        <f>SUMIFS(Employees!K7:K47,Employees!B7:B47,B8,Employees!G7:G47,"permanent")</f>
        <v>5.9</v>
      </c>
      <c r="F8" s="52">
        <f>SUMIFS(Employees!K7:K47,Employees!B7:B47,B8,Employees!G7:G47,"per_diem")</f>
        <v>0</v>
      </c>
      <c r="G8" s="52">
        <f>SUMIFS(Employees!K7:K47,Employees!B7:B47,B8,Employees!G7:G47,"travel")</f>
        <v>2</v>
      </c>
      <c r="H8" s="52">
        <f>SUMIFS(Employees!K7:K47,Employees!B7:B47,B8,Employees!G7:G47,"agency")</f>
        <v>0.5</v>
      </c>
      <c r="I8" s="63">
        <f>SUMIFS(Employees!S7:S47,Employees!B7:B47,B8,Employees!G7:G47,"permanent")+SUMIFS(Employees!S7:S47,Employees!B7:B47,B8,Employees!G7:G47,"per_diem")</f>
        <v>673307.0214</v>
      </c>
      <c r="J8" s="63">
        <f>SUMIFS(Employees!S7:S47,Employees!B7:B47,B8,Employees!G7:G47,"travel")+SUMIFS(Employees!S7:S47,Employees!B7:B47,B8,Employees!G7:G47,"agency")</f>
        <v>444080</v>
      </c>
      <c r="K8" s="66">
        <f t="shared" si="1"/>
        <v>1117387.021</v>
      </c>
    </row>
    <row r="10" ht="25.5" customHeight="1">
      <c r="B10" s="71" t="s">
        <v>196</v>
      </c>
      <c r="C10" s="76">
        <f t="shared" ref="C10:K10" si="2">SUM(C5:C8)</f>
        <v>41</v>
      </c>
      <c r="D10" s="77">
        <f t="shared" si="2"/>
        <v>38.9</v>
      </c>
      <c r="E10" s="77">
        <f t="shared" si="2"/>
        <v>29.6</v>
      </c>
      <c r="F10" s="77">
        <f t="shared" si="2"/>
        <v>1.8</v>
      </c>
      <c r="G10" s="77">
        <f t="shared" si="2"/>
        <v>7</v>
      </c>
      <c r="H10" s="77">
        <f t="shared" si="2"/>
        <v>0.5</v>
      </c>
      <c r="I10" s="72">
        <f t="shared" si="2"/>
        <v>4777806.78</v>
      </c>
      <c r="J10" s="72">
        <f t="shared" si="2"/>
        <v>1353040</v>
      </c>
      <c r="K10" s="72">
        <f t="shared" si="2"/>
        <v>6130846.78</v>
      </c>
    </row>
    <row r="12" ht="15.75" customHeight="1">
      <c r="B12" s="10" t="s">
        <v>209</v>
      </c>
    </row>
    <row r="13" ht="31.5" customHeight="1">
      <c r="B13" s="13" t="s">
        <v>7</v>
      </c>
      <c r="C13" s="13" t="s">
        <v>168</v>
      </c>
      <c r="D13" s="13" t="s">
        <v>169</v>
      </c>
      <c r="E13" s="13" t="s">
        <v>170</v>
      </c>
      <c r="F13" s="13" t="s">
        <v>171</v>
      </c>
      <c r="G13" s="13" t="s">
        <v>172</v>
      </c>
      <c r="H13" s="13" t="s">
        <v>173</v>
      </c>
      <c r="I13" s="13" t="s">
        <v>174</v>
      </c>
      <c r="J13" s="13" t="s">
        <v>175</v>
      </c>
      <c r="K13" s="13" t="s">
        <v>176</v>
      </c>
    </row>
    <row r="14" ht="21.75" customHeight="1">
      <c r="B14" s="54" t="s">
        <v>31</v>
      </c>
      <c r="C14" s="55">
        <f>COUNTIFS(Employees!B7:B47,B14,Employees!E7:E47,"RN")</f>
        <v>7</v>
      </c>
      <c r="D14" s="33">
        <f>SUMIFS(Employees!K7:K47,Employees!B7:B47,B14,Employees!E7:E47,"RN")</f>
        <v>6.5</v>
      </c>
      <c r="E14" s="33">
        <f>SUMIFS(Employees!K7:K47,Employees!B7:B47,B14,Employees!E7:E47,"RN",Employees!G7:G47,"permanent")</f>
        <v>3.9</v>
      </c>
      <c r="F14" s="33">
        <f>SUMIFS(Employees!K7:K47,Employees!B7:B47,B14,Employees!E7:E47,"RN",Employees!G7:G47,"per_diem")</f>
        <v>0.6</v>
      </c>
      <c r="G14" s="33">
        <f>SUMIFS(Employees!K7:K47,Employees!B7:B47,B14,Employees!E7:E47,"RN",Employees!G7:G47,"travel")</f>
        <v>2</v>
      </c>
      <c r="H14" s="33">
        <f>SUMIFS(Employees!K7:K47,Employees!B7:B47,B14,Employees!E7:E47,"RN",Employees!G7:G47,"agency")</f>
        <v>0</v>
      </c>
      <c r="I14" s="56">
        <f>SUMIFS(Employees!S7:S47,Employees!B7:B47,B14,Employees!E7:E47,"RN",Employees!G7:G47,"permanent")+SUMIFS(Employees!S7:S47,Employees!B7:B47,B14,Employees!E7:E47,"RN",Employees!G7:G47,"per_diem")</f>
        <v>634002.9089</v>
      </c>
      <c r="J14" s="56">
        <f>SUMIFS(Employees!S7:S47,Employees!B7:B47,B14,Employees!E7:E47,"RN",Employees!G7:G47,"travel")+SUMIFS(Employees!S7:S47,Employees!B7:B47,B14,Employees!E7:E47,"RN",Employees!G7:G47,"agency")</f>
        <v>348400</v>
      </c>
      <c r="K14" s="57">
        <f t="shared" ref="K14:K17" si="3">I14+J14</f>
        <v>982402.9089</v>
      </c>
    </row>
    <row r="15" ht="21.75" customHeight="1">
      <c r="B15" s="58" t="s">
        <v>81</v>
      </c>
      <c r="C15" s="59">
        <f>COUNTIFS(Employees!B7:B47,B15,Employees!E7:E47,"RN")</f>
        <v>6</v>
      </c>
      <c r="D15" s="52">
        <f>SUMIFS(Employees!K7:K47,Employees!B7:B47,B15,Employees!E7:E47,"RN")</f>
        <v>5.4</v>
      </c>
      <c r="E15" s="52">
        <f>SUMIFS(Employees!K7:K47,Employees!B7:B47,B15,Employees!E7:E47,"RN",Employees!G7:G47,"permanent")</f>
        <v>3.8</v>
      </c>
      <c r="F15" s="52">
        <f>SUMIFS(Employees!K7:K47,Employees!B7:B47,B15,Employees!E7:E47,"RN",Employees!G7:G47,"per_diem")</f>
        <v>0.6</v>
      </c>
      <c r="G15" s="52">
        <f>SUMIFS(Employees!K7:K47,Employees!B7:B47,B15,Employees!E7:E47,"RN",Employees!G7:G47,"travel")</f>
        <v>1</v>
      </c>
      <c r="H15" s="52">
        <f>SUMIFS(Employees!K7:K47,Employees!B7:B47,B15,Employees!E7:E47,"RN",Employees!G7:G47,"agency")</f>
        <v>0</v>
      </c>
      <c r="I15" s="63">
        <f>SUMIFS(Employees!S7:S47,Employees!B7:B47,B15,Employees!E7:E47,"RN",Employees!G7:G47,"permanent")+SUMIFS(Employees!S7:S47,Employees!B7:B47,B15,Employees!E7:E47,"RN",Employees!G7:G47,"per_diem")</f>
        <v>648761.0886</v>
      </c>
      <c r="J15" s="63">
        <f>SUMIFS(Employees!S7:S47,Employees!B7:B47,B15,Employees!E7:E47,"RN",Employees!G7:G47,"travel")+SUMIFS(Employees!S7:S47,Employees!B7:B47,B15,Employees!E7:E47,"RN",Employees!G7:G47,"agency")</f>
        <v>191360</v>
      </c>
      <c r="K15" s="66">
        <f t="shared" si="3"/>
        <v>840121.0886</v>
      </c>
    </row>
    <row r="16" ht="21.75" customHeight="1">
      <c r="B16" s="54" t="s">
        <v>84</v>
      </c>
      <c r="C16" s="55">
        <f>COUNTIFS(Employees!B7:B47,B16,Employees!E7:E47,"RN")</f>
        <v>7</v>
      </c>
      <c r="D16" s="33">
        <f>SUMIFS(Employees!K7:K47,Employees!B7:B47,B16,Employees!E7:E47,"RN")</f>
        <v>6.6</v>
      </c>
      <c r="E16" s="33">
        <f>SUMIFS(Employees!K7:K47,Employees!B7:B47,B16,Employees!E7:E47,"RN",Employees!G7:G47,"permanent")</f>
        <v>4</v>
      </c>
      <c r="F16" s="33">
        <f>SUMIFS(Employees!K7:K47,Employees!B7:B47,B16,Employees!E7:E47,"RN",Employees!G7:G47,"per_diem")</f>
        <v>0.6</v>
      </c>
      <c r="G16" s="33">
        <f>SUMIFS(Employees!K7:K47,Employees!B7:B47,B16,Employees!E7:E47,"RN",Employees!G7:G47,"travel")</f>
        <v>2</v>
      </c>
      <c r="H16" s="33">
        <f>SUMIFS(Employees!K7:K47,Employees!B7:B47,B16,Employees!E7:E47,"RN",Employees!G7:G47,"agency")</f>
        <v>0</v>
      </c>
      <c r="I16" s="56">
        <f>SUMIFS(Employees!S7:S47,Employees!B7:B47,B16,Employees!E7:E47,"RN",Employees!G7:G47,"permanent")+SUMIFS(Employees!S7:S47,Employees!B7:B47,B16,Employees!E7:E47,"RN",Employees!G7:G47,"per_diem")</f>
        <v>717419.8133</v>
      </c>
      <c r="J16" s="56">
        <f>SUMIFS(Employees!S7:S47,Employees!B7:B47,B16,Employees!E7:E47,"RN",Employees!G7:G47,"travel")+SUMIFS(Employees!S7:S47,Employees!B7:B47,B16,Employees!E7:E47,"RN",Employees!G7:G47,"agency")</f>
        <v>369200</v>
      </c>
      <c r="K16" s="57">
        <f t="shared" si="3"/>
        <v>1086619.813</v>
      </c>
    </row>
    <row r="17" ht="21.75" customHeight="1">
      <c r="B17" s="58" t="s">
        <v>86</v>
      </c>
      <c r="C17" s="59">
        <f>COUNTIFS(Employees!B7:B47,B17,Employees!E7:E47,"RN")</f>
        <v>6</v>
      </c>
      <c r="D17" s="52">
        <f>SUMIFS(Employees!K7:K47,Employees!B7:B47,B17,Employees!E7:E47,"RN")</f>
        <v>5.5</v>
      </c>
      <c r="E17" s="52">
        <f>SUMIFS(Employees!K7:K47,Employees!B7:B47,B17,Employees!E7:E47,"RN",Employees!G7:G47,"permanent")</f>
        <v>3</v>
      </c>
      <c r="F17" s="52">
        <f>SUMIFS(Employees!K7:K47,Employees!B7:B47,B17,Employees!E7:E47,"RN",Employees!G7:G47,"per_diem")</f>
        <v>0</v>
      </c>
      <c r="G17" s="52">
        <f>SUMIFS(Employees!K7:K47,Employees!B7:B47,B17,Employees!E7:E47,"RN",Employees!G7:G47,"travel")</f>
        <v>2</v>
      </c>
      <c r="H17" s="52">
        <f>SUMIFS(Employees!K7:K47,Employees!B7:B47,B17,Employees!E7:E47,"RN",Employees!G7:G47,"agency")</f>
        <v>0.5</v>
      </c>
      <c r="I17" s="63">
        <f>SUMIFS(Employees!S7:S47,Employees!B7:B47,B17,Employees!E7:E47,"RN",Employees!G7:G47,"permanent")+SUMIFS(Employees!S7:S47,Employees!B7:B47,B17,Employees!E7:E47,"RN",Employees!G7:G47,"per_diem")</f>
        <v>407313.6503</v>
      </c>
      <c r="J17" s="63">
        <f>SUMIFS(Employees!S7:S47,Employees!B7:B47,B17,Employees!E7:E47,"RN",Employees!G7:G47,"travel")+SUMIFS(Employees!S7:S47,Employees!B7:B47,B17,Employees!E7:E47,"RN",Employees!G7:G47,"agency")</f>
        <v>444080</v>
      </c>
      <c r="K17" s="66">
        <f t="shared" si="3"/>
        <v>851393.6503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J1"/>
    <mergeCell ref="A2:J2"/>
    <mergeCell ref="B3:J3"/>
    <mergeCell ref="B12:J12"/>
  </mergeCells>
  <printOptions horizontalCentered="1"/>
  <pageMargins bottom="0.6000000000000001" footer="0.0" header="0.0" left="0.4" right="0.4" top="0.6000000000000001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C6AE"/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0.0"/>
    <col customWidth="1" min="3" max="3" width="26.0"/>
    <col customWidth="1" min="4" max="4" width="22.0"/>
    <col customWidth="1" min="5" max="5" width="15.0"/>
    <col customWidth="1" min="6" max="6" width="12.0"/>
    <col customWidth="1" min="7" max="7" width="22.0"/>
    <col customWidth="1" min="8" max="26" width="8.71"/>
  </cols>
  <sheetData>
    <row r="1" ht="43.5" customHeight="1">
      <c r="A1" s="7" t="s">
        <v>177</v>
      </c>
      <c r="B1" s="3"/>
      <c r="C1" s="3"/>
      <c r="D1" s="3"/>
      <c r="E1" s="3"/>
      <c r="F1" s="3"/>
      <c r="G1" s="3"/>
    </row>
    <row r="2" ht="21.75" customHeight="1">
      <c r="A2" s="9" t="s">
        <v>178</v>
      </c>
      <c r="B2" s="3"/>
      <c r="C2" s="3"/>
      <c r="D2" s="3"/>
      <c r="E2" s="3"/>
      <c r="F2" s="3"/>
      <c r="G2" s="3"/>
    </row>
    <row r="3" ht="15.75" customHeight="1">
      <c r="B3" s="10" t="s">
        <v>179</v>
      </c>
    </row>
    <row r="4" ht="30.0" customHeight="1">
      <c r="B4" s="60" t="s">
        <v>182</v>
      </c>
      <c r="C4" s="5"/>
      <c r="D4" s="5"/>
      <c r="E4" s="61">
        <f>IF(C25=0,0,E25/C25)</f>
        <v>0.06448905631</v>
      </c>
      <c r="F4" s="5"/>
      <c r="G4" s="5"/>
    </row>
    <row r="5" ht="30.0" customHeight="1">
      <c r="B5" s="6"/>
      <c r="E5" s="6"/>
    </row>
    <row r="6" ht="21.75" customHeight="1">
      <c r="B6" s="62" t="s">
        <v>186</v>
      </c>
      <c r="C6" s="5"/>
      <c r="D6" s="5"/>
      <c r="E6" s="6"/>
    </row>
    <row r="7" ht="30.0" customHeight="1">
      <c r="B7" s="6"/>
      <c r="E7" s="6"/>
    </row>
    <row r="8" ht="24.0" customHeight="1">
      <c r="E8" s="64" t="s">
        <v>187</v>
      </c>
    </row>
    <row r="9" ht="15.75" customHeight="1">
      <c r="B9" s="10" t="s">
        <v>188</v>
      </c>
    </row>
    <row r="10" ht="24.0" customHeight="1">
      <c r="B10" s="65" t="s">
        <v>7</v>
      </c>
      <c r="C10" s="65" t="s">
        <v>189</v>
      </c>
      <c r="D10" s="65" t="s">
        <v>190</v>
      </c>
      <c r="E10" s="65" t="s">
        <v>191</v>
      </c>
      <c r="F10" s="65" t="s">
        <v>192</v>
      </c>
      <c r="G10" s="65" t="s">
        <v>193</v>
      </c>
    </row>
    <row r="11" ht="21.75" customHeight="1">
      <c r="B11" s="54" t="s">
        <v>31</v>
      </c>
      <c r="C11" s="56">
        <f>SUMIFS(Employees!T7:T47,Employees!B7:B47,B11)</f>
        <v>1449058.182</v>
      </c>
      <c r="D11" s="56">
        <f>'Position Model'!K5</f>
        <v>1504053.011</v>
      </c>
      <c r="E11" s="67">
        <f t="shared" ref="E11:E14" si="1">D11-C11</f>
        <v>54994.8292</v>
      </c>
      <c r="F11" s="68">
        <f t="shared" ref="F11:F14" si="2">IF(C11=0,0,E11/C11)</f>
        <v>0.03795211944</v>
      </c>
      <c r="G11" s="16" t="str">
        <f t="shared" ref="G11:G14" si="3">IF(F11&lt;0.05,"Safe zone",IF(F11&lt;=0.15,"Material variance","Structural risk"))</f>
        <v>Safe zone</v>
      </c>
    </row>
    <row r="12" ht="21.75" customHeight="1">
      <c r="B12" s="58" t="s">
        <v>81</v>
      </c>
      <c r="C12" s="63">
        <f>SUMIFS(Employees!T7:T47,Employees!B7:B47,B12)</f>
        <v>1868269.91</v>
      </c>
      <c r="D12" s="63">
        <f>'Position Model'!K6</f>
        <v>1900841.334</v>
      </c>
      <c r="E12" s="69">
        <f t="shared" si="1"/>
        <v>32571.4232</v>
      </c>
      <c r="F12" s="70">
        <f t="shared" si="2"/>
        <v>0.01743400299</v>
      </c>
      <c r="G12" s="49" t="str">
        <f t="shared" si="3"/>
        <v>Safe zone</v>
      </c>
    </row>
    <row r="13" ht="21.75" customHeight="1">
      <c r="B13" s="54" t="s">
        <v>84</v>
      </c>
      <c r="C13" s="56">
        <f>SUMIFS(Employees!T7:T47,Employees!B7:B47,B13)</f>
        <v>1564377.398</v>
      </c>
      <c r="D13" s="56">
        <f>'Position Model'!K7</f>
        <v>1608565.413</v>
      </c>
      <c r="E13" s="67">
        <f t="shared" si="1"/>
        <v>44188.015</v>
      </c>
      <c r="F13" s="68">
        <f t="shared" si="2"/>
        <v>0.02824639058</v>
      </c>
      <c r="G13" s="16" t="str">
        <f t="shared" si="3"/>
        <v>Safe zone</v>
      </c>
    </row>
    <row r="14" ht="21.75" customHeight="1">
      <c r="B14" s="58" t="s">
        <v>86</v>
      </c>
      <c r="C14" s="63">
        <f>SUMIFS(Employees!T7:T47,Employees!B7:B47,B14)</f>
        <v>1021319.771</v>
      </c>
      <c r="D14" s="63">
        <f>'Position Model'!K8</f>
        <v>1117387.021</v>
      </c>
      <c r="E14" s="69">
        <f t="shared" si="1"/>
        <v>96067.25</v>
      </c>
      <c r="F14" s="70">
        <f t="shared" si="2"/>
        <v>0.09406187239</v>
      </c>
      <c r="G14" s="49" t="str">
        <f t="shared" si="3"/>
        <v>Material variance</v>
      </c>
    </row>
    <row r="16" ht="25.5" customHeight="1">
      <c r="B16" s="71" t="s">
        <v>196</v>
      </c>
      <c r="C16" s="72">
        <f t="shared" ref="C16:D16" si="4">SUM(C11:C14)</f>
        <v>5903025.262</v>
      </c>
      <c r="D16" s="72">
        <f t="shared" si="4"/>
        <v>6130846.78</v>
      </c>
      <c r="E16" s="72">
        <f>D16-C16</f>
        <v>227821.5174</v>
      </c>
      <c r="F16" s="73">
        <f>IF(C16=0,0,E16/C16)</f>
        <v>0.03859402718</v>
      </c>
      <c r="G16" s="74" t="str">
        <f>IF(F16&lt;0.05,"Safe zone",IF(F16&lt;=0.15,"Material variance","Structural risk"))</f>
        <v>Safe zone</v>
      </c>
    </row>
    <row r="18" ht="15.75" customHeight="1">
      <c r="B18" s="10" t="s">
        <v>207</v>
      </c>
    </row>
    <row r="19" ht="24.0" customHeight="1">
      <c r="B19" s="65" t="s">
        <v>7</v>
      </c>
      <c r="C19" s="65" t="s">
        <v>189</v>
      </c>
      <c r="D19" s="65" t="s">
        <v>190</v>
      </c>
      <c r="E19" s="65" t="s">
        <v>191</v>
      </c>
      <c r="F19" s="65" t="s">
        <v>192</v>
      </c>
      <c r="G19" s="65" t="s">
        <v>193</v>
      </c>
    </row>
    <row r="20" ht="21.75" customHeight="1">
      <c r="B20" s="54" t="s">
        <v>31</v>
      </c>
      <c r="C20" s="56">
        <f>SUMIFS(Employees!T7:T47,Employees!B7:B47,B20,Employees!E7:E47,"RN")</f>
        <v>927408.0797</v>
      </c>
      <c r="D20" s="56">
        <f>'Position Model'!K14</f>
        <v>982402.9089</v>
      </c>
      <c r="E20" s="67">
        <f t="shared" ref="E20:E23" si="5">D20-C20</f>
        <v>54994.8292</v>
      </c>
      <c r="F20" s="68">
        <f t="shared" ref="F20:F23" si="6">IF(C20=0,0,E20/C20)</f>
        <v>0.05929949329</v>
      </c>
      <c r="G20" s="16" t="str">
        <f t="shared" ref="G20:G23" si="7">IF(F20&lt;0.05,"Safe zone",IF(F20&lt;=0.15,"Material variance","Structural risk"))</f>
        <v>Material variance</v>
      </c>
    </row>
    <row r="21" ht="21.75" customHeight="1">
      <c r="B21" s="58" t="s">
        <v>81</v>
      </c>
      <c r="C21" s="63">
        <f>SUMIFS(Employees!T7:T47,Employees!B7:B47,B21,Employees!E7:E47,"RN")</f>
        <v>807549.6654</v>
      </c>
      <c r="D21" s="63">
        <f>'Position Model'!K15</f>
        <v>840121.0886</v>
      </c>
      <c r="E21" s="69">
        <f t="shared" si="5"/>
        <v>32571.4232</v>
      </c>
      <c r="F21" s="70">
        <f t="shared" si="6"/>
        <v>0.04033364708</v>
      </c>
      <c r="G21" s="49" t="str">
        <f t="shared" si="7"/>
        <v>Safe zone</v>
      </c>
    </row>
    <row r="22" ht="21.75" customHeight="1">
      <c r="B22" s="54" t="s">
        <v>84</v>
      </c>
      <c r="C22" s="56">
        <f>SUMIFS(Employees!T7:T47,Employees!B7:B47,B22,Employees!E7:E47,"RN")</f>
        <v>1042431.798</v>
      </c>
      <c r="D22" s="56">
        <f>'Position Model'!K16</f>
        <v>1086619.813</v>
      </c>
      <c r="E22" s="67">
        <f t="shared" si="5"/>
        <v>44188.015</v>
      </c>
      <c r="F22" s="68">
        <f t="shared" si="6"/>
        <v>0.0423893583</v>
      </c>
      <c r="G22" s="16" t="str">
        <f t="shared" si="7"/>
        <v>Safe zone</v>
      </c>
    </row>
    <row r="23" ht="21.75" customHeight="1">
      <c r="B23" s="58" t="s">
        <v>86</v>
      </c>
      <c r="C23" s="63">
        <f>SUMIFS(Employees!T7:T47,Employees!B7:B47,B23,Employees!E7:E47,"RN")</f>
        <v>755326.4003</v>
      </c>
      <c r="D23" s="63">
        <f>'Position Model'!K17</f>
        <v>851393.6503</v>
      </c>
      <c r="E23" s="69">
        <f t="shared" si="5"/>
        <v>96067.25</v>
      </c>
      <c r="F23" s="70">
        <f t="shared" si="6"/>
        <v>0.1271864057</v>
      </c>
      <c r="G23" s="49" t="str">
        <f t="shared" si="7"/>
        <v>Material variance</v>
      </c>
    </row>
    <row r="24" ht="15.75" customHeight="1"/>
    <row r="25" ht="25.5" customHeight="1">
      <c r="B25" s="71" t="s">
        <v>279</v>
      </c>
      <c r="C25" s="72">
        <f t="shared" ref="C25:D25" si="8">SUM(C20:C23)</f>
        <v>3532715.944</v>
      </c>
      <c r="D25" s="72">
        <f t="shared" si="8"/>
        <v>3760537.461</v>
      </c>
      <c r="E25" s="72">
        <f>D25-C25</f>
        <v>227821.5174</v>
      </c>
      <c r="F25" s="73">
        <f>IF(C25=0,0,E25/C25)</f>
        <v>0.06448905631</v>
      </c>
      <c r="G25" s="74" t="str">
        <f>IF(F25&lt;0.05,"Safe zone",IF(F25&lt;=0.15,"Material variance","Structural risk"))</f>
        <v>Material variance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G9"/>
    <mergeCell ref="B18:G18"/>
    <mergeCell ref="A1:G1"/>
    <mergeCell ref="A2:G2"/>
    <mergeCell ref="B3:G3"/>
    <mergeCell ref="B4:D5"/>
    <mergeCell ref="E4:G7"/>
    <mergeCell ref="B6:D7"/>
    <mergeCell ref="E8:G8"/>
  </mergeCells>
  <printOptions horizontalCentered="1"/>
  <pageMargins bottom="0.6000000000000001" footer="0.0" header="0.0" left="0.4" right="0.4" top="0.6000000000000001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03426"/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22.0"/>
    <col customWidth="1" min="5" max="5" width="24.0"/>
    <col customWidth="1" min="6" max="6" width="4.0"/>
    <col customWidth="1" min="7" max="9" width="24.0"/>
    <col customWidth="1" min="10" max="26" width="8.71"/>
  </cols>
  <sheetData>
    <row r="1" ht="43.5" customHeight="1">
      <c r="A1" s="7" t="s">
        <v>198</v>
      </c>
      <c r="B1" s="3"/>
      <c r="C1" s="3"/>
      <c r="D1" s="3"/>
      <c r="E1" s="3"/>
      <c r="F1" s="3"/>
      <c r="G1" s="3"/>
      <c r="H1" s="3"/>
      <c r="I1" s="3"/>
    </row>
    <row r="2" ht="21.75" customHeight="1">
      <c r="A2" s="9" t="s">
        <v>200</v>
      </c>
      <c r="B2" s="3"/>
      <c r="C2" s="3"/>
      <c r="D2" s="3"/>
      <c r="E2" s="3"/>
      <c r="F2" s="3"/>
      <c r="G2" s="3"/>
      <c r="H2" s="3"/>
      <c r="I2" s="3"/>
    </row>
    <row r="3" ht="15.75" customHeight="1">
      <c r="B3" s="10" t="s">
        <v>201</v>
      </c>
    </row>
    <row r="4" ht="24.0" customHeight="1">
      <c r="B4" s="65" t="s">
        <v>202</v>
      </c>
      <c r="C4" s="65" t="s">
        <v>203</v>
      </c>
      <c r="D4" s="65" t="s">
        <v>204</v>
      </c>
      <c r="E4" s="65" t="s">
        <v>205</v>
      </c>
      <c r="G4" s="75" t="s">
        <v>206</v>
      </c>
    </row>
    <row r="5" ht="21.75" customHeight="1">
      <c r="B5" s="15" t="s">
        <v>208</v>
      </c>
      <c r="C5" s="56">
        <f>'Wage-Mix Impact'!C16/12</f>
        <v>491918.7718</v>
      </c>
      <c r="D5" s="56">
        <f>'Wage-Mix Impact'!D16/12</f>
        <v>510903.8983</v>
      </c>
      <c r="E5" s="67">
        <f>D5-C5</f>
        <v>18985.12645</v>
      </c>
      <c r="G5" s="78">
        <f>E10</f>
        <v>113910.7587</v>
      </c>
      <c r="H5" s="5"/>
      <c r="I5" s="5"/>
    </row>
    <row r="6" ht="21.75" customHeight="1">
      <c r="B6" s="79" t="s">
        <v>210</v>
      </c>
      <c r="C6" s="63">
        <f>'Wage-Mix Impact'!C16/12</f>
        <v>491918.7718</v>
      </c>
      <c r="D6" s="63">
        <f>'Wage-Mix Impact'!D16/12</f>
        <v>510903.8983</v>
      </c>
      <c r="E6" s="69">
        <f t="shared" ref="E6:E10" si="1">E5+(D6-C6)</f>
        <v>37970.2529</v>
      </c>
      <c r="G6" s="6"/>
    </row>
    <row r="7" ht="21.75" customHeight="1">
      <c r="B7" s="15" t="s">
        <v>211</v>
      </c>
      <c r="C7" s="56">
        <f>'Wage-Mix Impact'!C16/12</f>
        <v>491918.7718</v>
      </c>
      <c r="D7" s="56">
        <f>'Wage-Mix Impact'!D16/12</f>
        <v>510903.8983</v>
      </c>
      <c r="E7" s="67">
        <f t="shared" si="1"/>
        <v>56955.37935</v>
      </c>
      <c r="G7" s="6"/>
    </row>
    <row r="8" ht="21.75" customHeight="1">
      <c r="B8" s="79" t="s">
        <v>212</v>
      </c>
      <c r="C8" s="63">
        <f>'Wage-Mix Impact'!C16/12</f>
        <v>491918.7718</v>
      </c>
      <c r="D8" s="63">
        <f>'Wage-Mix Impact'!D16/12</f>
        <v>510903.8983</v>
      </c>
      <c r="E8" s="69">
        <f t="shared" si="1"/>
        <v>75940.5058</v>
      </c>
      <c r="G8" s="6"/>
    </row>
    <row r="9" ht="21.75" customHeight="1">
      <c r="B9" s="15" t="s">
        <v>213</v>
      </c>
      <c r="C9" s="56">
        <f>'Wage-Mix Impact'!C16/12</f>
        <v>491918.7718</v>
      </c>
      <c r="D9" s="56">
        <f>'Wage-Mix Impact'!D16/12</f>
        <v>510903.8983</v>
      </c>
      <c r="E9" s="67">
        <f t="shared" si="1"/>
        <v>94925.63225</v>
      </c>
      <c r="G9" s="6"/>
    </row>
    <row r="10" ht="21.75" customHeight="1">
      <c r="B10" s="79" t="s">
        <v>214</v>
      </c>
      <c r="C10" s="63">
        <f>'Wage-Mix Impact'!C16/12</f>
        <v>491918.7718</v>
      </c>
      <c r="D10" s="63">
        <f>'Wage-Mix Impact'!D16/12</f>
        <v>510903.8983</v>
      </c>
      <c r="E10" s="69">
        <f t="shared" si="1"/>
        <v>113910.7587</v>
      </c>
      <c r="G10" s="6"/>
    </row>
    <row r="12" ht="15.75" customHeight="1">
      <c r="B12" s="10" t="s">
        <v>215</v>
      </c>
    </row>
    <row r="13" ht="24.0" customHeight="1">
      <c r="B13" s="65" t="s">
        <v>216</v>
      </c>
      <c r="C13" s="65" t="s">
        <v>217</v>
      </c>
      <c r="D13" s="65" t="s">
        <v>218</v>
      </c>
      <c r="E13" s="65" t="s">
        <v>219</v>
      </c>
    </row>
    <row r="14" ht="21.75" customHeight="1">
      <c r="B14" s="15" t="s">
        <v>220</v>
      </c>
      <c r="C14" s="80">
        <f>'Wage-Mix Impact'!D25</f>
        <v>3760537.461</v>
      </c>
      <c r="D14" s="80">
        <f>'Wage-Mix Impact'!D25*(1+0.05*1)</f>
        <v>3948564.334</v>
      </c>
      <c r="E14" s="81">
        <f t="shared" ref="E14:E20" si="2">D14-C14</f>
        <v>188026.873</v>
      </c>
    </row>
    <row r="15" ht="21.75" customHeight="1">
      <c r="B15" s="79" t="s">
        <v>221</v>
      </c>
      <c r="C15" s="82">
        <f>'Wage-Mix Impact'!D25</f>
        <v>3760537.461</v>
      </c>
      <c r="D15" s="82">
        <f>'Wage-Mix Impact'!D25*(1-0.05*1)</f>
        <v>3572510.588</v>
      </c>
      <c r="E15" s="83">
        <f t="shared" si="2"/>
        <v>-188026.873</v>
      </c>
    </row>
    <row r="16" ht="21.75" customHeight="1">
      <c r="B16" s="15" t="s">
        <v>222</v>
      </c>
      <c r="C16" s="80">
        <f>'Wage-Mix Impact'!D25</f>
        <v>3760537.461</v>
      </c>
      <c r="D16" s="80">
        <f>'Wage-Mix Impact'!D25*(1+0.05*0.5)</f>
        <v>3854550.897</v>
      </c>
      <c r="E16" s="81">
        <f t="shared" si="2"/>
        <v>94013.43652</v>
      </c>
    </row>
    <row r="17" ht="21.75" customHeight="1">
      <c r="B17" s="79" t="s">
        <v>225</v>
      </c>
      <c r="C17" s="82">
        <f>'Wage-Mix Impact'!D25</f>
        <v>3760537.461</v>
      </c>
      <c r="D17" s="82">
        <f>'Wage-Mix Impact'!D25*(1-0.05*0.5)</f>
        <v>3666524.024</v>
      </c>
      <c r="E17" s="83">
        <f t="shared" si="2"/>
        <v>-94013.43652</v>
      </c>
    </row>
    <row r="18" ht="21.75" customHeight="1">
      <c r="B18" s="15" t="s">
        <v>227</v>
      </c>
      <c r="C18" s="80">
        <f>'Wage-Mix Impact'!D25</f>
        <v>3760537.461</v>
      </c>
      <c r="D18" s="80">
        <f>'Wage-Mix Impact'!D25*(1-0.1*0.7)</f>
        <v>3497299.839</v>
      </c>
      <c r="E18" s="81">
        <f t="shared" si="2"/>
        <v>-263237.6223</v>
      </c>
    </row>
    <row r="19" ht="21.75" customHeight="1">
      <c r="B19" s="79" t="s">
        <v>228</v>
      </c>
      <c r="C19" s="82">
        <f>'Wage-Mix Impact'!D25</f>
        <v>3760537.461</v>
      </c>
      <c r="D19" s="82">
        <f>'Wage-Mix Impact'!D25*(1+0.03)</f>
        <v>3873353.585</v>
      </c>
      <c r="E19" s="83">
        <f t="shared" si="2"/>
        <v>112816.1238</v>
      </c>
    </row>
    <row r="20" ht="21.75" customHeight="1">
      <c r="B20" s="15" t="s">
        <v>229</v>
      </c>
      <c r="C20" s="80">
        <f>'Wage-Mix Impact'!D25</f>
        <v>3760537.461</v>
      </c>
      <c r="D20" s="80">
        <f>'Wage-Mix Impact'!D25*(1+0.018)</f>
        <v>3828227.135</v>
      </c>
      <c r="E20" s="81">
        <f t="shared" si="2"/>
        <v>67689.6743</v>
      </c>
    </row>
    <row r="21" ht="15.75" customHeight="1"/>
    <row r="22" ht="33.75" customHeight="1">
      <c r="B22" s="84" t="s">
        <v>230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I1"/>
    <mergeCell ref="A2:I2"/>
    <mergeCell ref="B3:D3"/>
    <mergeCell ref="G4:I4"/>
    <mergeCell ref="G5:I10"/>
    <mergeCell ref="B12:I12"/>
    <mergeCell ref="B22:I22"/>
  </mergeCells>
  <printOptions horizontalCentered="1"/>
  <pageMargins bottom="0.6000000000000001" footer="0.0" header="0.0" left="0.4" right="0.4" top="0.6000000000000001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C6AE"/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0.0"/>
    <col customWidth="1" min="3" max="3" width="12.0"/>
    <col customWidth="1" min="4" max="6" width="14.0"/>
    <col customWidth="1" min="7" max="7" width="16.0"/>
    <col customWidth="1" min="8" max="8" width="18.0"/>
    <col customWidth="1" min="9" max="26" width="8.71"/>
  </cols>
  <sheetData>
    <row r="1" ht="43.5" customHeight="1">
      <c r="A1" s="7" t="s">
        <v>234</v>
      </c>
      <c r="B1" s="3"/>
      <c r="C1" s="3"/>
      <c r="D1" s="3"/>
      <c r="E1" s="3"/>
      <c r="F1" s="3"/>
      <c r="G1" s="3"/>
      <c r="H1" s="3"/>
    </row>
    <row r="2" ht="21.75" customHeight="1">
      <c r="A2" s="9" t="s">
        <v>235</v>
      </c>
      <c r="B2" s="3"/>
      <c r="C2" s="3"/>
      <c r="D2" s="3"/>
      <c r="E2" s="3"/>
      <c r="F2" s="3"/>
      <c r="G2" s="3"/>
      <c r="H2" s="3"/>
    </row>
    <row r="3" ht="15.75" customHeight="1">
      <c r="B3" s="10" t="s">
        <v>236</v>
      </c>
    </row>
    <row r="4" ht="21.75" customHeight="1">
      <c r="B4" s="85" t="s">
        <v>237</v>
      </c>
    </row>
    <row r="6" ht="33.75" customHeight="1">
      <c r="B6" s="13" t="s">
        <v>7</v>
      </c>
      <c r="C6" s="13" t="s">
        <v>238</v>
      </c>
      <c r="D6" s="13" t="s">
        <v>239</v>
      </c>
      <c r="E6" s="13" t="s">
        <v>240</v>
      </c>
      <c r="F6" s="13" t="s">
        <v>241</v>
      </c>
      <c r="G6" s="13" t="s">
        <v>242</v>
      </c>
      <c r="H6" s="13" t="s">
        <v>243</v>
      </c>
      <c r="I6" s="13" t="s">
        <v>244</v>
      </c>
    </row>
    <row r="7" ht="21.75" customHeight="1">
      <c r="B7" s="54" t="s">
        <v>31</v>
      </c>
      <c r="C7" s="86">
        <v>0.0</v>
      </c>
      <c r="D7" s="87">
        <f>C7*Assumptions!$C$81</f>
        <v>0</v>
      </c>
      <c r="E7" s="87">
        <f>C7*Assumptions!$C$82</f>
        <v>0</v>
      </c>
      <c r="F7" s="33">
        <f t="shared" ref="F7:F10" si="1">E7*365/2080</f>
        <v>0</v>
      </c>
      <c r="G7" s="33" t="str">
        <f>IF(C7=0,"n/a",'Position Model'!D14)</f>
        <v>n/a</v>
      </c>
      <c r="H7" s="88">
        <f t="shared" ref="H7:H10" si="2">IF(C7=0,0,F7-G7)</f>
        <v>0</v>
      </c>
      <c r="I7" s="67">
        <f t="shared" ref="I7:I10" si="3">IF(H7&lt;=0,0,H7*146000)</f>
        <v>0</v>
      </c>
    </row>
    <row r="8" ht="21.75" customHeight="1">
      <c r="B8" s="58" t="s">
        <v>81</v>
      </c>
      <c r="C8" s="86">
        <v>0.0</v>
      </c>
      <c r="D8" s="89">
        <f>C8*Assumptions!$C$81</f>
        <v>0</v>
      </c>
      <c r="E8" s="89">
        <f>C8*Assumptions!$C$82</f>
        <v>0</v>
      </c>
      <c r="F8" s="52">
        <f t="shared" si="1"/>
        <v>0</v>
      </c>
      <c r="G8" s="52" t="str">
        <f>IF(C8=0,"n/a",'Position Model'!D15)</f>
        <v>n/a</v>
      </c>
      <c r="H8" s="90">
        <f t="shared" si="2"/>
        <v>0</v>
      </c>
      <c r="I8" s="69">
        <f t="shared" si="3"/>
        <v>0</v>
      </c>
    </row>
    <row r="9" ht="21.75" customHeight="1">
      <c r="B9" s="54" t="s">
        <v>84</v>
      </c>
      <c r="C9" s="86">
        <v>0.0</v>
      </c>
      <c r="D9" s="87">
        <f>C9*Assumptions!$C$81</f>
        <v>0</v>
      </c>
      <c r="E9" s="87">
        <f>C9*Assumptions!$C$82</f>
        <v>0</v>
      </c>
      <c r="F9" s="33">
        <f t="shared" si="1"/>
        <v>0</v>
      </c>
      <c r="G9" s="33" t="str">
        <f>IF(C9=0,"n/a",'Position Model'!D16)</f>
        <v>n/a</v>
      </c>
      <c r="H9" s="88">
        <f t="shared" si="2"/>
        <v>0</v>
      </c>
      <c r="I9" s="67">
        <f t="shared" si="3"/>
        <v>0</v>
      </c>
    </row>
    <row r="10" ht="21.75" customHeight="1">
      <c r="B10" s="58" t="s">
        <v>86</v>
      </c>
      <c r="C10" s="86">
        <v>50.0</v>
      </c>
      <c r="D10" s="89">
        <f>C10*Assumptions!$C$81</f>
        <v>174</v>
      </c>
      <c r="E10" s="89">
        <f>C10*Assumptions!$C$82</f>
        <v>27.5</v>
      </c>
      <c r="F10" s="52">
        <f t="shared" si="1"/>
        <v>4.825721154</v>
      </c>
      <c r="G10" s="52">
        <f>IF(C10=0,"n/a",'Position Model'!D17)</f>
        <v>5.5</v>
      </c>
      <c r="H10" s="90">
        <f t="shared" si="2"/>
        <v>-0.6742788462</v>
      </c>
      <c r="I10" s="69">
        <f t="shared" si="3"/>
        <v>0</v>
      </c>
    </row>
    <row r="13" ht="15.75" customHeight="1">
      <c r="B13" s="10" t="s">
        <v>251</v>
      </c>
    </row>
    <row r="14" ht="21.75" customHeight="1">
      <c r="B14" s="85" t="s">
        <v>252</v>
      </c>
    </row>
    <row r="16" ht="25.5" customHeight="1">
      <c r="B16" s="13" t="s">
        <v>253</v>
      </c>
      <c r="C16" s="13" t="s">
        <v>254</v>
      </c>
      <c r="D16" s="13" t="s">
        <v>255</v>
      </c>
      <c r="E16" s="13" t="s">
        <v>240</v>
      </c>
      <c r="F16" s="13" t="s">
        <v>241</v>
      </c>
      <c r="G16" s="13" t="s">
        <v>134</v>
      </c>
      <c r="H16" s="13"/>
      <c r="I16" s="13"/>
    </row>
    <row r="17" ht="21.75" customHeight="1">
      <c r="B17" s="54" t="s">
        <v>256</v>
      </c>
      <c r="C17" s="29" t="s">
        <v>257</v>
      </c>
      <c r="D17" s="86">
        <v>8.0</v>
      </c>
      <c r="E17" s="87">
        <f>D17*Assumptions!$C$84*24</f>
        <v>96</v>
      </c>
      <c r="F17" s="33">
        <f t="shared" ref="F17:F20" si="4">E17*365/2080</f>
        <v>16.84615385</v>
      </c>
      <c r="G17" s="43" t="s">
        <v>258</v>
      </c>
    </row>
    <row r="18" ht="21.75" customHeight="1">
      <c r="B18" s="58" t="s">
        <v>259</v>
      </c>
      <c r="C18" s="31" t="s">
        <v>260</v>
      </c>
      <c r="D18" s="86">
        <v>24.0</v>
      </c>
      <c r="E18" s="89">
        <f>D18*Assumptions!$C$85*24</f>
        <v>115.2</v>
      </c>
      <c r="F18" s="52">
        <f t="shared" si="4"/>
        <v>20.21538462</v>
      </c>
      <c r="G18" s="43" t="s">
        <v>258</v>
      </c>
    </row>
    <row r="19" ht="21.75" customHeight="1">
      <c r="B19" s="54" t="s">
        <v>261</v>
      </c>
      <c r="C19" s="29" t="s">
        <v>262</v>
      </c>
      <c r="D19" s="86">
        <v>16.0</v>
      </c>
      <c r="E19" s="87">
        <f>D19*Assumptions!$C$86*24</f>
        <v>96</v>
      </c>
      <c r="F19" s="33">
        <f t="shared" si="4"/>
        <v>16.84615385</v>
      </c>
      <c r="G19" s="43" t="s">
        <v>258</v>
      </c>
    </row>
    <row r="20" ht="21.75" customHeight="1">
      <c r="B20" s="58" t="s">
        <v>263</v>
      </c>
      <c r="C20" s="31" t="s">
        <v>257</v>
      </c>
      <c r="D20" s="86">
        <v>6.0</v>
      </c>
      <c r="E20" s="89">
        <f>D20*Assumptions!$C$87*24</f>
        <v>72</v>
      </c>
      <c r="F20" s="52">
        <f t="shared" si="4"/>
        <v>12.63461538</v>
      </c>
      <c r="G20" s="43" t="s">
        <v>258</v>
      </c>
    </row>
    <row r="21" ht="15.75" customHeight="1"/>
    <row r="22" ht="25.5" customHeight="1">
      <c r="B22" s="91" t="s">
        <v>264</v>
      </c>
      <c r="C22" s="3"/>
      <c r="D22" s="92" t="s">
        <v>241</v>
      </c>
      <c r="E22" s="77">
        <f>SUM(F17:F20)</f>
        <v>66.54230769</v>
      </c>
      <c r="F22" s="92" t="s">
        <v>242</v>
      </c>
      <c r="G22" s="77">
        <f>'Position Model'!D15</f>
        <v>5.4</v>
      </c>
      <c r="H22" s="93">
        <f>E22-G22</f>
        <v>61.14230769</v>
      </c>
      <c r="I22" s="92" t="s">
        <v>265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G18:I18"/>
    <mergeCell ref="G19:I19"/>
    <mergeCell ref="G20:I20"/>
    <mergeCell ref="B22:C22"/>
    <mergeCell ref="A1:H1"/>
    <mergeCell ref="A2:H2"/>
    <mergeCell ref="B3:H3"/>
    <mergeCell ref="B4:H4"/>
    <mergeCell ref="B13:H13"/>
    <mergeCell ref="B14:H14"/>
    <mergeCell ref="G17:I17"/>
  </mergeCells>
  <printOptions horizontalCentered="1"/>
  <pageMargins bottom="0.6000000000000001" footer="0.0" header="0.0" left="0.4" right="0.4" top="0.6000000000000001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03426"/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0.0"/>
    <col customWidth="1" min="3" max="5" width="12.0"/>
    <col customWidth="1" min="6" max="7" width="22.0"/>
    <col customWidth="1" min="8" max="8" width="16.0"/>
    <col customWidth="1" min="9" max="26" width="8.71"/>
  </cols>
  <sheetData>
    <row r="1" ht="43.5" customHeight="1">
      <c r="A1" s="7" t="s">
        <v>266</v>
      </c>
      <c r="B1" s="3"/>
      <c r="C1" s="3"/>
      <c r="D1" s="3"/>
      <c r="E1" s="3"/>
      <c r="F1" s="3"/>
      <c r="G1" s="3"/>
    </row>
    <row r="2" ht="21.75" customHeight="1">
      <c r="A2" s="9" t="s">
        <v>267</v>
      </c>
      <c r="B2" s="3"/>
      <c r="C2" s="3"/>
      <c r="D2" s="3"/>
      <c r="E2" s="3"/>
      <c r="F2" s="3"/>
      <c r="G2" s="3"/>
    </row>
    <row r="3" ht="15.75" customHeight="1">
      <c r="B3" s="10" t="s">
        <v>268</v>
      </c>
    </row>
    <row r="4" ht="31.5" customHeight="1">
      <c r="B4" s="13" t="s">
        <v>7</v>
      </c>
      <c r="C4" s="13" t="s">
        <v>269</v>
      </c>
      <c r="D4" s="13" t="s">
        <v>270</v>
      </c>
      <c r="E4" s="13" t="s">
        <v>271</v>
      </c>
      <c r="F4" s="13" t="s">
        <v>272</v>
      </c>
      <c r="G4" s="13" t="s">
        <v>273</v>
      </c>
      <c r="H4" s="13" t="s">
        <v>274</v>
      </c>
    </row>
    <row r="5" ht="21.75" customHeight="1">
      <c r="B5" s="54" t="s">
        <v>31</v>
      </c>
      <c r="C5" s="33">
        <f>SUMIFS(Employees!K7:K47,Employees!B7:B47,B5,Employees!E7:E47,"RN",Employees!G7:G47,"permanent")+SUMIFS(Employees!K7:K47,Employees!B7:B47,B5,Employees!E7:E47,"RN",Employees!G7:G47,"per_diem")</f>
        <v>4.5</v>
      </c>
      <c r="D5" s="33">
        <f>SUMIFS(Employees!K7:K47,Employees!B7:B47,B5,Employees!E7:E47,"LPN",Employees!G7:G47,"permanent")+SUMIFS(Employees!K7:K47,Employees!B7:B47,B5,Employees!E7:E47,"LPN",Employees!G7:G47,"per_diem")</f>
        <v>1</v>
      </c>
      <c r="E5" s="33">
        <f>SUMIFS(Employees!K7:K47,Employees!B7:B47,B5,Employees!E7:E47,"CNA",Employees!G7:G47,"permanent")+SUMIFS(Employees!K7:K47,Employees!B7:B47,B5,Employees!E7:E47,"CNA",Employees!G7:G47,"per_diem")</f>
        <v>1</v>
      </c>
      <c r="F5" s="33">
        <f>SUMIFS(Employees!K7:K47,Employees!B7:B47,B5,Employees!G7:G47,"permanent")+SUMIFS(Employees!K7:K47,Employees!B7:B47,B5,Employees!G7:G47,"per_diem")-C5-D5-E5</f>
        <v>2</v>
      </c>
      <c r="G5" s="67">
        <f>C5*Assumptions!$C$71*Assumptions!$D$71+D5*Assumptions!$C$72*Assumptions!$D$72+E5*Assumptions!$C$73*Assumptions!$D$73+F5*((Assumptions!$C$76*Assumptions!$D$76+Assumptions!$C$77*Assumptions!$D$77)/2)</f>
        <v>129500</v>
      </c>
      <c r="H5" s="94">
        <f>IF('Position Model'!K5=0,0,G5/'Position Model'!K5)</f>
        <v>0.08610068862</v>
      </c>
    </row>
    <row r="6" ht="21.75" customHeight="1">
      <c r="B6" s="58" t="s">
        <v>81</v>
      </c>
      <c r="C6" s="52">
        <f>SUMIFS(Employees!K7:K47,Employees!B7:B47,B6,Employees!E7:E47,"RN",Employees!G7:G47,"permanent")+SUMIFS(Employees!K7:K47,Employees!B7:B47,B6,Employees!E7:E47,"RN",Employees!G7:G47,"per_diem")</f>
        <v>4.4</v>
      </c>
      <c r="D6" s="52">
        <f>SUMIFS(Employees!K7:K47,Employees!B7:B47,B6,Employees!E7:E47,"LPN",Employees!G7:G47,"permanent")+SUMIFS(Employees!K7:K47,Employees!B7:B47,B6,Employees!E7:E47,"LPN",Employees!G7:G47,"per_diem")</f>
        <v>0</v>
      </c>
      <c r="E6" s="52">
        <f>SUMIFS(Employees!K7:K47,Employees!B7:B47,B6,Employees!E7:E47,"CNA",Employees!G7:G47,"permanent")+SUMIFS(Employees!K7:K47,Employees!B7:B47,B6,Employees!E7:E47,"CNA",Employees!G7:G47,"per_diem")</f>
        <v>0</v>
      </c>
      <c r="F6" s="52">
        <f>SUMIFS(Employees!K7:K47,Employees!B7:B47,B6,Employees!G7:G47,"permanent")+SUMIFS(Employees!K7:K47,Employees!B7:B47,B6,Employees!G7:G47,"per_diem")-C6-D6-E6</f>
        <v>4</v>
      </c>
      <c r="G6" s="69">
        <f>C6*Assumptions!$C$71*Assumptions!$D$71+D6*Assumptions!$C$72*Assumptions!$D$72+E6*Assumptions!$C$73*Assumptions!$D$73+F6*((Assumptions!$C$76*Assumptions!$D$76+Assumptions!$C$77*Assumptions!$D$77)/2)</f>
        <v>116880</v>
      </c>
      <c r="H6" s="95">
        <f>IF('Position Model'!K6=0,0,G6/'Position Model'!K6)</f>
        <v>0.0614885619</v>
      </c>
    </row>
    <row r="7" ht="21.75" customHeight="1">
      <c r="B7" s="54" t="s">
        <v>84</v>
      </c>
      <c r="C7" s="33">
        <f>SUMIFS(Employees!K7:K47,Employees!B7:B47,B7,Employees!E7:E47,"RN",Employees!G7:G47,"permanent")+SUMIFS(Employees!K7:K47,Employees!B7:B47,B7,Employees!E7:E47,"RN",Employees!G7:G47,"per_diem")</f>
        <v>4.6</v>
      </c>
      <c r="D7" s="33">
        <f>SUMIFS(Employees!K7:K47,Employees!B7:B47,B7,Employees!E7:E47,"LPN",Employees!G7:G47,"permanent")+SUMIFS(Employees!K7:K47,Employees!B7:B47,B7,Employees!E7:E47,"LPN",Employees!G7:G47,"per_diem")</f>
        <v>1</v>
      </c>
      <c r="E7" s="33">
        <f>SUMIFS(Employees!K7:K47,Employees!B7:B47,B7,Employees!E7:E47,"CNA",Employees!G7:G47,"permanent")+SUMIFS(Employees!K7:K47,Employees!B7:B47,B7,Employees!E7:E47,"CNA",Employees!G7:G47,"per_diem")</f>
        <v>1</v>
      </c>
      <c r="F7" s="33">
        <f>SUMIFS(Employees!K7:K47,Employees!B7:B47,B7,Employees!G7:G47,"permanent")+SUMIFS(Employees!K7:K47,Employees!B7:B47,B7,Employees!G7:G47,"per_diem")-C7-D7-E7</f>
        <v>2</v>
      </c>
      <c r="G7" s="67">
        <f>C7*Assumptions!$C$71*Assumptions!$D$71+D7*Assumptions!$C$72*Assumptions!$D$72+E7*Assumptions!$C$73*Assumptions!$D$73+F7*((Assumptions!$C$76*Assumptions!$D$76+Assumptions!$C$77*Assumptions!$D$77)/2)</f>
        <v>131820</v>
      </c>
      <c r="H7" s="94">
        <f>IF('Position Model'!K7=0,0,G7/'Position Model'!K7)</f>
        <v>0.08194879668</v>
      </c>
    </row>
    <row r="8" ht="21.75" customHeight="1">
      <c r="B8" s="58" t="s">
        <v>86</v>
      </c>
      <c r="C8" s="52">
        <f>SUMIFS(Employees!K7:K47,Employees!B7:B47,B8,Employees!E7:E47,"RN",Employees!G7:G47,"permanent")+SUMIFS(Employees!K7:K47,Employees!B7:B47,B8,Employees!E7:E47,"RN",Employees!G7:G47,"per_diem")</f>
        <v>3</v>
      </c>
      <c r="D8" s="52">
        <f>SUMIFS(Employees!K7:K47,Employees!B7:B47,B8,Employees!E7:E47,"LPN",Employees!G7:G47,"permanent")+SUMIFS(Employees!K7:K47,Employees!B7:B47,B8,Employees!E7:E47,"LPN",Employees!G7:G47,"per_diem")</f>
        <v>0.9</v>
      </c>
      <c r="E8" s="52">
        <f>SUMIFS(Employees!K7:K47,Employees!B7:B47,B8,Employees!E7:E47,"CNA",Employees!G7:G47,"permanent")+SUMIFS(Employees!K7:K47,Employees!B7:B47,B8,Employees!E7:E47,"CNA",Employees!G7:G47,"per_diem")</f>
        <v>1</v>
      </c>
      <c r="F8" s="52">
        <f>SUMIFS(Employees!K7:K47,Employees!B7:B47,B8,Employees!G7:G47,"permanent")+SUMIFS(Employees!K7:K47,Employees!B7:B47,B8,Employees!G7:G47,"per_diem")-C8-D8-E8</f>
        <v>1</v>
      </c>
      <c r="G8" s="69">
        <f>C8*Assumptions!$C$71*Assumptions!$D$71+D8*Assumptions!$C$72*Assumptions!$D$72+E8*Assumptions!$C$73*Assumptions!$D$73+F8*((Assumptions!$C$76*Assumptions!$D$76+Assumptions!$C$77*Assumptions!$D$77)/2)</f>
        <v>90040</v>
      </c>
      <c r="H8" s="95">
        <f>IF('Position Model'!K8=0,0,G8/'Position Model'!K8)</f>
        <v>0.08058085361</v>
      </c>
    </row>
    <row r="10" ht="25.5" customHeight="1">
      <c r="B10" s="71" t="s">
        <v>196</v>
      </c>
      <c r="C10" s="77">
        <f t="shared" ref="C10:G10" si="1">SUM(C5:C8)</f>
        <v>16.5</v>
      </c>
      <c r="D10" s="77">
        <f t="shared" si="1"/>
        <v>2.9</v>
      </c>
      <c r="E10" s="77">
        <f t="shared" si="1"/>
        <v>3</v>
      </c>
      <c r="F10" s="77">
        <f t="shared" si="1"/>
        <v>9</v>
      </c>
      <c r="G10" s="72">
        <f t="shared" si="1"/>
        <v>468240</v>
      </c>
      <c r="H10" s="96">
        <f>IF('Position Model'!K10=0,0,G10/'Position Model'!K10)</f>
        <v>0.07637444171</v>
      </c>
    </row>
    <row r="13" ht="15.75" customHeight="1">
      <c r="B13" s="10" t="s">
        <v>285</v>
      </c>
    </row>
    <row r="14" ht="30.0" customHeight="1">
      <c r="B14" s="60" t="s">
        <v>286</v>
      </c>
      <c r="C14" s="5"/>
      <c r="D14" s="5"/>
      <c r="E14" s="97">
        <f>G10</f>
        <v>468240</v>
      </c>
      <c r="F14" s="5"/>
      <c r="G14" s="5"/>
    </row>
    <row r="15" ht="30.0" customHeight="1">
      <c r="B15" s="6"/>
      <c r="E15" s="6"/>
    </row>
    <row r="16" ht="30.0" customHeight="1">
      <c r="B16" s="6"/>
      <c r="E16" s="6"/>
    </row>
    <row r="17" ht="19.5" customHeight="1">
      <c r="B17" s="6"/>
      <c r="E17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G1"/>
    <mergeCell ref="A2:G2"/>
    <mergeCell ref="B3:G3"/>
    <mergeCell ref="B13:G13"/>
    <mergeCell ref="B14:D17"/>
    <mergeCell ref="E14:G17"/>
  </mergeCells>
  <printOptions horizontalCentered="1"/>
  <pageMargins bottom="0.6000000000000001" footer="0.0" header="0.0" left="0.4" right="0.4" top="0.6000000000000001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C6AE"/>
    <pageSetUpPr fitToPage="1"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18.0"/>
    <col customWidth="1" min="3" max="4" width="40.0"/>
    <col customWidth="1" min="5" max="5" width="3.0"/>
    <col customWidth="1" min="6" max="26" width="8.71"/>
  </cols>
  <sheetData>
    <row r="1" ht="43.5" customHeight="1">
      <c r="A1" s="7" t="s">
        <v>284</v>
      </c>
      <c r="B1" s="3"/>
      <c r="C1" s="3"/>
      <c r="D1" s="3"/>
      <c r="E1" s="3"/>
    </row>
    <row r="2" ht="21.75" customHeight="1">
      <c r="A2" s="9" t="s">
        <v>287</v>
      </c>
      <c r="B2" s="3"/>
      <c r="C2" s="3"/>
      <c r="D2" s="3"/>
      <c r="E2" s="3"/>
    </row>
    <row r="3">
      <c r="A3" s="1"/>
      <c r="B3" s="1"/>
      <c r="C3" s="1"/>
      <c r="D3" s="1"/>
      <c r="E3" s="1"/>
    </row>
    <row r="4" ht="21.75" customHeight="1">
      <c r="A4" s="1"/>
      <c r="B4" s="98" t="s">
        <v>288</v>
      </c>
      <c r="C4" s="3"/>
      <c r="D4" s="3"/>
      <c r="E4" s="1"/>
    </row>
    <row r="5" ht="27.75" customHeight="1">
      <c r="A5" s="1"/>
      <c r="B5" s="99" t="s">
        <v>291</v>
      </c>
      <c r="C5" s="100" t="s">
        <v>292</v>
      </c>
      <c r="D5" s="3"/>
      <c r="E5" s="1"/>
    </row>
    <row r="6" ht="36.0" customHeight="1">
      <c r="A6" s="1"/>
      <c r="B6" s="101"/>
      <c r="C6" s="102" t="s">
        <v>294</v>
      </c>
      <c r="D6" s="3"/>
      <c r="E6" s="1"/>
    </row>
    <row r="7">
      <c r="A7" s="1"/>
      <c r="B7" s="1"/>
      <c r="C7" s="1"/>
      <c r="D7" s="1"/>
      <c r="E7" s="1"/>
    </row>
    <row r="8" ht="27.75" customHeight="1">
      <c r="A8" s="1"/>
      <c r="B8" s="103" t="s">
        <v>296</v>
      </c>
      <c r="C8" s="100" t="s">
        <v>297</v>
      </c>
      <c r="D8" s="3"/>
      <c r="E8" s="1"/>
    </row>
    <row r="9" ht="36.0" customHeight="1">
      <c r="A9" s="1"/>
      <c r="B9" s="101"/>
      <c r="C9" s="102" t="s">
        <v>298</v>
      </c>
      <c r="D9" s="3"/>
      <c r="E9" s="1"/>
    </row>
    <row r="10">
      <c r="A10" s="1"/>
      <c r="B10" s="1"/>
      <c r="C10" s="1"/>
      <c r="D10" s="1"/>
      <c r="E10" s="1"/>
    </row>
    <row r="11" ht="27.75" customHeight="1">
      <c r="A11" s="1"/>
      <c r="B11" s="104" t="s">
        <v>299</v>
      </c>
      <c r="C11" s="100" t="s">
        <v>300</v>
      </c>
      <c r="D11" s="3"/>
      <c r="E11" s="1"/>
    </row>
    <row r="12" ht="36.0" customHeight="1">
      <c r="A12" s="1"/>
      <c r="B12" s="101"/>
      <c r="C12" s="102" t="s">
        <v>301</v>
      </c>
      <c r="D12" s="3"/>
      <c r="E12" s="1"/>
    </row>
    <row r="13">
      <c r="A13" s="1"/>
      <c r="B13" s="1"/>
      <c r="C13" s="1"/>
      <c r="D13" s="1"/>
      <c r="E13" s="1"/>
    </row>
    <row r="14" ht="21.75" customHeight="1">
      <c r="A14" s="1"/>
      <c r="B14" s="98" t="s">
        <v>302</v>
      </c>
      <c r="C14" s="3"/>
      <c r="D14" s="3"/>
      <c r="E14" s="1"/>
    </row>
    <row r="15" ht="27.75" customHeight="1">
      <c r="A15" s="1"/>
      <c r="B15" s="99" t="s">
        <v>303</v>
      </c>
      <c r="C15" s="100" t="s">
        <v>304</v>
      </c>
      <c r="D15" s="3"/>
      <c r="E15" s="1"/>
    </row>
    <row r="16" ht="36.0" customHeight="1">
      <c r="A16" s="1"/>
      <c r="B16" s="101"/>
      <c r="C16" s="102" t="s">
        <v>305</v>
      </c>
      <c r="D16" s="3"/>
      <c r="E16" s="1"/>
    </row>
    <row r="17">
      <c r="A17" s="1"/>
      <c r="B17" s="1"/>
      <c r="C17" s="1"/>
      <c r="D17" s="1"/>
      <c r="E17" s="1"/>
    </row>
    <row r="18" ht="27.75" customHeight="1">
      <c r="A18" s="1"/>
      <c r="B18" s="103" t="s">
        <v>306</v>
      </c>
      <c r="C18" s="100" t="s">
        <v>307</v>
      </c>
      <c r="D18" s="3"/>
      <c r="E18" s="1"/>
    </row>
    <row r="19" ht="36.0" customHeight="1">
      <c r="A19" s="1"/>
      <c r="B19" s="101"/>
      <c r="C19" s="102" t="s">
        <v>308</v>
      </c>
      <c r="D19" s="3"/>
      <c r="E19" s="1"/>
    </row>
    <row r="20">
      <c r="A20" s="1"/>
      <c r="B20" s="1"/>
      <c r="C20" s="1"/>
      <c r="D20" s="1"/>
      <c r="E20" s="1"/>
    </row>
    <row r="21" ht="27.75" customHeight="1">
      <c r="A21" s="1"/>
      <c r="B21" s="104" t="s">
        <v>309</v>
      </c>
      <c r="C21" s="100" t="s">
        <v>310</v>
      </c>
      <c r="D21" s="3"/>
      <c r="E21" s="1"/>
    </row>
    <row r="22" ht="36.0" customHeight="1">
      <c r="A22" s="1"/>
      <c r="B22" s="101"/>
      <c r="C22" s="102" t="s">
        <v>311</v>
      </c>
      <c r="D22" s="3"/>
      <c r="E22" s="1"/>
    </row>
    <row r="23" ht="15.75" customHeight="1">
      <c r="A23" s="1"/>
      <c r="B23" s="1"/>
      <c r="C23" s="1"/>
      <c r="D23" s="1"/>
      <c r="E23" s="1"/>
    </row>
    <row r="24" ht="21.75" customHeight="1">
      <c r="A24" s="1"/>
      <c r="B24" s="98" t="s">
        <v>312</v>
      </c>
      <c r="C24" s="3"/>
      <c r="D24" s="3"/>
      <c r="E24" s="1"/>
    </row>
    <row r="25" ht="27.75" customHeight="1">
      <c r="A25" s="1"/>
      <c r="B25" s="99" t="s">
        <v>291</v>
      </c>
      <c r="C25" s="100" t="s">
        <v>313</v>
      </c>
      <c r="D25" s="3"/>
      <c r="E25" s="1"/>
    </row>
    <row r="26" ht="36.0" customHeight="1">
      <c r="A26" s="1"/>
      <c r="B26" s="101"/>
      <c r="C26" s="102" t="s">
        <v>314</v>
      </c>
      <c r="D26" s="3"/>
      <c r="E26" s="1"/>
    </row>
    <row r="27" ht="15.75" customHeight="1">
      <c r="A27" s="1"/>
      <c r="B27" s="1"/>
      <c r="C27" s="1"/>
      <c r="D27" s="1"/>
      <c r="E27" s="1"/>
    </row>
    <row r="28" ht="27.75" customHeight="1">
      <c r="A28" s="1"/>
      <c r="B28" s="103" t="s">
        <v>315</v>
      </c>
      <c r="C28" s="100" t="s">
        <v>316</v>
      </c>
      <c r="D28" s="3"/>
      <c r="E28" s="1"/>
    </row>
    <row r="29" ht="36.0" customHeight="1">
      <c r="A29" s="1"/>
      <c r="B29" s="101"/>
      <c r="C29" s="102" t="s">
        <v>317</v>
      </c>
      <c r="D29" s="3"/>
      <c r="E29" s="1"/>
    </row>
    <row r="30" ht="15.75" customHeight="1">
      <c r="A30" s="1"/>
      <c r="B30" s="1"/>
      <c r="C30" s="1"/>
      <c r="D30" s="1"/>
      <c r="E30" s="1"/>
    </row>
    <row r="31" ht="27.75" customHeight="1">
      <c r="A31" s="1"/>
      <c r="B31" s="104" t="s">
        <v>319</v>
      </c>
      <c r="C31" s="100" t="s">
        <v>320</v>
      </c>
      <c r="D31" s="3"/>
      <c r="E31" s="1"/>
    </row>
    <row r="32" ht="36.0" customHeight="1">
      <c r="A32" s="1"/>
      <c r="B32" s="101"/>
      <c r="C32" s="102" t="s">
        <v>321</v>
      </c>
      <c r="D32" s="3"/>
      <c r="E32" s="1"/>
    </row>
    <row r="33" ht="15.75" customHeight="1">
      <c r="A33" s="1"/>
      <c r="B33" s="1"/>
      <c r="C33" s="1"/>
      <c r="D33" s="1"/>
      <c r="E33" s="1"/>
    </row>
    <row r="34" ht="15.75" customHeight="1">
      <c r="A34" s="1"/>
      <c r="B34" s="1"/>
      <c r="C34" s="1"/>
      <c r="D34" s="1"/>
      <c r="E34" s="1"/>
    </row>
    <row r="35" ht="33.75" customHeight="1">
      <c r="A35" s="1"/>
      <c r="B35" s="105" t="s">
        <v>324</v>
      </c>
      <c r="C35" s="3"/>
      <c r="D35" s="3"/>
      <c r="E35" s="1"/>
    </row>
    <row r="36" ht="31.5" customHeight="1">
      <c r="A36" s="1"/>
      <c r="B36" s="106" t="s">
        <v>325</v>
      </c>
      <c r="C36" s="5"/>
      <c r="D36" s="5"/>
      <c r="E36" s="1"/>
    </row>
    <row r="37" ht="42.0" customHeight="1">
      <c r="A37" s="1"/>
      <c r="B37" s="6"/>
      <c r="E37" s="1"/>
    </row>
    <row r="38" ht="7.5" customHeight="1">
      <c r="A38" s="1"/>
      <c r="B38" s="107"/>
      <c r="C38" s="107"/>
      <c r="D38" s="107"/>
      <c r="E38" s="1"/>
    </row>
    <row r="39" ht="15.75" customHeight="1">
      <c r="A39" s="1"/>
      <c r="B39" s="1"/>
      <c r="C39" s="1"/>
      <c r="D39" s="1"/>
      <c r="E39" s="1"/>
    </row>
    <row r="40" ht="15.75" customHeight="1">
      <c r="A40" s="1"/>
      <c r="B40" s="108" t="s">
        <v>326</v>
      </c>
      <c r="C40" s="3"/>
      <c r="D40" s="3"/>
      <c r="E40" s="1"/>
    </row>
    <row r="41" ht="15.75" customHeight="1">
      <c r="A41" s="1"/>
      <c r="B41" s="1"/>
      <c r="C41" s="1"/>
      <c r="D41" s="1"/>
      <c r="E41" s="1"/>
    </row>
    <row r="42" ht="15.75" customHeight="1">
      <c r="A42" s="1"/>
      <c r="B42" s="1"/>
      <c r="C42" s="1"/>
      <c r="D42" s="1"/>
      <c r="E42" s="1"/>
    </row>
    <row r="43" ht="15.75" customHeight="1">
      <c r="A43" s="1"/>
      <c r="B43" s="1"/>
      <c r="C43" s="1"/>
      <c r="D43" s="1"/>
      <c r="E43" s="1"/>
    </row>
    <row r="44" ht="15.75" customHeight="1">
      <c r="A44" s="1"/>
      <c r="B44" s="1"/>
      <c r="C44" s="1"/>
      <c r="D44" s="1"/>
      <c r="E44" s="1"/>
    </row>
    <row r="45" ht="15.75" customHeight="1">
      <c r="A45" s="1"/>
      <c r="B45" s="1"/>
      <c r="C45" s="1"/>
      <c r="D45" s="1"/>
      <c r="E45" s="1"/>
    </row>
    <row r="46" ht="15.75" customHeight="1">
      <c r="A46" s="1"/>
      <c r="B46" s="1"/>
      <c r="C46" s="1"/>
      <c r="D46" s="1"/>
      <c r="E46" s="1"/>
    </row>
    <row r="47" ht="15.75" customHeight="1">
      <c r="A47" s="1"/>
      <c r="B47" s="1"/>
      <c r="C47" s="1"/>
      <c r="D47" s="1"/>
      <c r="E47" s="1"/>
    </row>
    <row r="48" ht="15.75" customHeight="1">
      <c r="A48" s="1"/>
      <c r="B48" s="1"/>
      <c r="C48" s="1"/>
      <c r="D48" s="1"/>
      <c r="E48" s="1"/>
    </row>
    <row r="49" ht="15.75" customHeight="1">
      <c r="A49" s="1"/>
      <c r="B49" s="1"/>
      <c r="C49" s="1"/>
      <c r="D49" s="1"/>
      <c r="E49" s="1"/>
    </row>
    <row r="50" ht="15.75" customHeight="1">
      <c r="A50" s="1"/>
      <c r="B50" s="1"/>
      <c r="C50" s="1"/>
      <c r="D50" s="1"/>
      <c r="E50" s="1"/>
    </row>
    <row r="51" ht="15.75" customHeight="1">
      <c r="A51" s="1"/>
      <c r="B51" s="1"/>
      <c r="C51" s="1"/>
      <c r="D51" s="1"/>
      <c r="E51" s="1"/>
    </row>
    <row r="52" ht="15.75" customHeight="1">
      <c r="A52" s="1"/>
      <c r="B52" s="1"/>
      <c r="C52" s="1"/>
      <c r="D52" s="1"/>
      <c r="E52" s="1"/>
    </row>
    <row r="53" ht="15.75" customHeight="1">
      <c r="A53" s="1"/>
      <c r="B53" s="1"/>
      <c r="C53" s="1"/>
      <c r="D53" s="1"/>
      <c r="E53" s="1"/>
    </row>
    <row r="54" ht="15.75" customHeight="1">
      <c r="A54" s="1"/>
      <c r="B54" s="1"/>
      <c r="C54" s="1"/>
      <c r="D54" s="1"/>
      <c r="E54" s="1"/>
    </row>
    <row r="55" ht="15.75" customHeight="1">
      <c r="A55" s="1"/>
      <c r="B55" s="1"/>
      <c r="C55" s="1"/>
      <c r="D55" s="1"/>
      <c r="E55" s="1"/>
    </row>
    <row r="56" ht="15.75" customHeight="1">
      <c r="A56" s="1"/>
      <c r="B56" s="1"/>
      <c r="C56" s="1"/>
      <c r="D56" s="1"/>
      <c r="E56" s="1"/>
    </row>
    <row r="57" ht="15.75" customHeight="1">
      <c r="A57" s="1"/>
      <c r="B57" s="1"/>
      <c r="C57" s="1"/>
      <c r="D57" s="1"/>
      <c r="E57" s="1"/>
    </row>
    <row r="58" ht="15.75" customHeight="1">
      <c r="A58" s="1"/>
      <c r="B58" s="1"/>
      <c r="C58" s="1"/>
      <c r="D58" s="1"/>
      <c r="E58" s="1"/>
    </row>
    <row r="59" ht="15.75" customHeight="1">
      <c r="A59" s="1"/>
      <c r="B59" s="1"/>
      <c r="C59" s="1"/>
      <c r="D59" s="1"/>
      <c r="E59" s="1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E1"/>
    <mergeCell ref="A2:E2"/>
    <mergeCell ref="B4:D4"/>
    <mergeCell ref="C5:D5"/>
    <mergeCell ref="C6:D6"/>
    <mergeCell ref="C8:D8"/>
    <mergeCell ref="C9:D9"/>
    <mergeCell ref="C11:D11"/>
    <mergeCell ref="C12:D12"/>
    <mergeCell ref="B14:D14"/>
    <mergeCell ref="C15:D15"/>
    <mergeCell ref="C16:D16"/>
    <mergeCell ref="C18:D18"/>
    <mergeCell ref="C19:D19"/>
    <mergeCell ref="C31:D31"/>
    <mergeCell ref="C32:D32"/>
    <mergeCell ref="B35:D35"/>
    <mergeCell ref="B36:D37"/>
    <mergeCell ref="B40:D40"/>
    <mergeCell ref="C21:D21"/>
    <mergeCell ref="C22:D22"/>
    <mergeCell ref="B24:D24"/>
    <mergeCell ref="C25:D25"/>
    <mergeCell ref="C26:D26"/>
    <mergeCell ref="C28:D28"/>
    <mergeCell ref="C29:D29"/>
  </mergeCells>
  <hyperlinks>
    <hyperlink r:id="rId1" ref="B36"/>
  </hyperlinks>
  <printOptions horizontalCentered="1"/>
  <pageMargins bottom="0.6000000000000001" footer="0.0" header="0.0" left="0.4" right="0.4" top="0.6000000000000001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2026-08-12T14:18:45Z</dcterms:created>
  <dc:creator>openpyxl</dc:creator>
</cp:coreProperties>
</file>