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mc:AlternateContent xmlns:mc="http://schemas.openxmlformats.org/markup-compatibility/2006">
    <mc:Choice Requires="x15"/>
  </mc:AlternateContent>
  <xr:revisionPtr revIDLastSave="0" documentId="13_ncr:1_{FE7B0115-485E-FB41-8593-9B6AA18C41F9}" xr6:coauthVersionLast="47" xr6:coauthVersionMax="47" xr10:uidLastSave="{00000000-0000-0000-0000-000000000000}"/>
  <bookViews>
    <workbookView xWindow="0" yWindow="660" windowWidth="34560" windowHeight="19620" xr2:uid="{00000000-000D-0000-FFFF-FFFF00000000}"/>
  </bookViews>
  <sheets>
    <sheet name="Simulatie" sheetId="1" r:id="rId1"/>
    <sheet name="Aflossingen" sheetId="2" r:id="rId2"/>
    <sheet name="Per jaar" sheetId="3" r:id="rId3"/>
    <sheet name="Uitleg"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1" l="1"/>
  <c r="F5" i="2" l="1"/>
  <c r="B48" i="1"/>
  <c r="F45" i="1"/>
  <c r="B50" i="1"/>
  <c r="C45" i="1"/>
  <c r="B46" i="1"/>
  <c r="B44" i="1"/>
  <c r="C23" i="1"/>
  <c r="C4" i="2" s="1"/>
  <c r="F14" i="1"/>
  <c r="F12" i="1"/>
  <c r="B47" i="1"/>
  <c r="E45" i="1"/>
  <c r="F4" i="2"/>
  <c r="G45" i="1"/>
  <c r="D45" i="1"/>
  <c r="C22" i="1"/>
  <c r="I5" i="2"/>
  <c r="B49" i="1"/>
  <c r="C5" i="2" l="1"/>
  <c r="B8" i="2" s="1"/>
  <c r="C25" i="1"/>
  <c r="F19" i="1"/>
  <c r="F8" i="1"/>
  <c r="C24" i="1"/>
  <c r="C8" i="2" l="1"/>
  <c r="I8" i="2"/>
  <c r="D8" i="2"/>
  <c r="E8" i="2" s="1"/>
  <c r="G8" i="2" s="1"/>
  <c r="H8" i="2" s="1"/>
  <c r="M25" i="2"/>
  <c r="B45" i="1"/>
  <c r="I4" i="2"/>
  <c r="N25" i="2" l="1"/>
  <c r="K8" i="2"/>
  <c r="B9" i="2" s="1"/>
  <c r="O25" i="2"/>
  <c r="F8" i="2"/>
  <c r="J8" i="2" s="1"/>
  <c r="D9" i="2" l="1"/>
  <c r="E9" i="2" s="1"/>
  <c r="C9" i="2"/>
  <c r="M26" i="2"/>
  <c r="I9" i="2"/>
  <c r="F9" i="1"/>
  <c r="O26" i="2" l="1"/>
  <c r="G9" i="2"/>
  <c r="F9" i="2" s="1"/>
  <c r="H9" i="2" l="1"/>
  <c r="J9" i="2" l="1"/>
  <c r="N26" i="2"/>
  <c r="K9" i="2"/>
  <c r="B10" i="2" s="1"/>
  <c r="C10" i="2"/>
  <c r="I10" i="2"/>
  <c r="M27" i="2"/>
  <c r="D10" i="2"/>
  <c r="E10" i="2" l="1"/>
  <c r="G10" i="2" l="1"/>
  <c r="F10" i="2" s="1"/>
  <c r="O27" i="2"/>
  <c r="H10" i="2" l="1"/>
  <c r="J10" i="2" l="1"/>
  <c r="K10" i="2"/>
  <c r="B11" i="2" s="1"/>
  <c r="N27" i="2"/>
  <c r="C11" i="2" l="1"/>
  <c r="D11" i="2"/>
  <c r="E11" i="2" s="1"/>
  <c r="G11" i="2" s="1"/>
  <c r="I11" i="2"/>
  <c r="M28" i="2"/>
  <c r="O28" i="2" l="1"/>
  <c r="F11" i="2"/>
  <c r="H11" i="2"/>
  <c r="J11" i="2" l="1"/>
  <c r="N28" i="2"/>
  <c r="K11" i="2"/>
  <c r="B12" i="2" s="1"/>
  <c r="M29" i="2" l="1"/>
  <c r="D12" i="2"/>
  <c r="E12" i="2" s="1"/>
  <c r="G12" i="2" s="1"/>
  <c r="C12" i="2"/>
  <c r="I12" i="2"/>
  <c r="H12" i="2" l="1"/>
  <c r="F12" i="2"/>
  <c r="O29" i="2"/>
  <c r="J12" i="2" l="1"/>
  <c r="N29" i="2"/>
  <c r="K12" i="2"/>
  <c r="B13" i="2" s="1"/>
  <c r="D13" i="2" l="1"/>
  <c r="E13" i="2" s="1"/>
  <c r="M30" i="2"/>
  <c r="I13" i="2"/>
  <c r="C13" i="2"/>
  <c r="G13" i="2" l="1"/>
  <c r="F13" i="2" s="1"/>
  <c r="O30" i="2"/>
  <c r="H13" i="2" l="1"/>
  <c r="K13" i="2"/>
  <c r="B14" i="2" s="1"/>
  <c r="J13" i="2" l="1"/>
  <c r="N30" i="2"/>
  <c r="M31" i="2"/>
  <c r="C14" i="2"/>
  <c r="D14" i="2"/>
  <c r="E14" i="2" s="1"/>
  <c r="G14" i="2" s="1"/>
  <c r="I14" i="2"/>
  <c r="H14" i="2" l="1"/>
  <c r="F14" i="2"/>
  <c r="J14" i="2" s="1"/>
  <c r="O31" i="2"/>
  <c r="N31" i="2" l="1"/>
  <c r="K14" i="2"/>
  <c r="B15" i="2" s="1"/>
  <c r="D15" i="2" l="1"/>
  <c r="E15" i="2"/>
  <c r="M32" i="2"/>
  <c r="I15" i="2"/>
  <c r="C15" i="2"/>
  <c r="G15" i="2"/>
  <c r="O32" i="2"/>
  <c r="H15" i="2" l="1"/>
  <c r="F15" i="2"/>
  <c r="J15" i="2" l="1"/>
  <c r="N32" i="2"/>
  <c r="K15" i="2"/>
  <c r="B16" i="2" s="1"/>
  <c r="C16" i="2"/>
  <c r="D16" i="2"/>
  <c r="E16" i="2" s="1"/>
  <c r="M33" i="2" l="1"/>
  <c r="I16" i="2"/>
  <c r="G16" i="2"/>
  <c r="F16" i="2" s="1"/>
  <c r="O33" i="2"/>
  <c r="H16" i="2" l="1"/>
  <c r="N33" i="2" s="1"/>
  <c r="J16" i="2" l="1"/>
  <c r="K16" i="2"/>
  <c r="B17" i="2" s="1"/>
  <c r="D17" i="2" l="1"/>
  <c r="E17" i="2" s="1"/>
  <c r="C17" i="2"/>
  <c r="M34" i="2"/>
  <c r="I17" i="2"/>
  <c r="O34" i="2" l="1"/>
  <c r="G17" i="2"/>
  <c r="F17" i="2" l="1"/>
  <c r="H17" i="2"/>
  <c r="K17" i="2" l="1"/>
  <c r="B18" i="2" s="1"/>
  <c r="J17" i="2"/>
  <c r="N34" i="2"/>
  <c r="C18" i="2" l="1"/>
  <c r="M35" i="2"/>
  <c r="D18" i="2"/>
  <c r="E18" i="2" s="1"/>
  <c r="I18" i="2"/>
  <c r="O35" i="2" l="1"/>
  <c r="G18" i="2"/>
  <c r="F18" i="2" l="1"/>
  <c r="H18" i="2"/>
  <c r="J18" i="2" l="1"/>
  <c r="K18" i="2"/>
  <c r="B19" i="2" s="1"/>
  <c r="N35" i="2"/>
  <c r="D19" i="2" l="1"/>
  <c r="M36" i="2"/>
  <c r="C19" i="2"/>
  <c r="I19" i="2"/>
  <c r="G19" i="2"/>
  <c r="F19" i="2" s="1"/>
  <c r="O36" i="2"/>
  <c r="E19" i="2" l="1"/>
  <c r="H19" i="2"/>
  <c r="N36" i="2" l="1"/>
  <c r="K19" i="2"/>
  <c r="B20" i="2" s="1"/>
  <c r="J19" i="2"/>
  <c r="C20" i="2" l="1"/>
  <c r="D20" i="2"/>
  <c r="E20" i="2" s="1"/>
  <c r="G20" i="2" s="1"/>
  <c r="F20" i="2" s="1"/>
  <c r="I20" i="2"/>
  <c r="H20" i="2" l="1"/>
  <c r="J20" i="2" l="1"/>
  <c r="K20" i="2"/>
  <c r="B21" i="2" s="1"/>
  <c r="D21" i="2" l="1"/>
  <c r="E21" i="2" s="1"/>
  <c r="C21" i="2"/>
  <c r="I21" i="2"/>
  <c r="G21" i="2" l="1"/>
  <c r="H21" i="2" l="1"/>
  <c r="K21" i="2" s="1"/>
  <c r="B22" i="2" s="1"/>
  <c r="F21" i="2"/>
  <c r="J21" i="2" s="1"/>
  <c r="D22" i="2" l="1"/>
  <c r="C22" i="2"/>
  <c r="E22" i="2"/>
  <c r="G22" i="2"/>
  <c r="H22" i="2" s="1"/>
  <c r="I22" i="2"/>
  <c r="F22" i="2" l="1"/>
  <c r="J22" i="2" s="1"/>
  <c r="K22" i="2"/>
  <c r="B23" i="2" s="1"/>
  <c r="D23" i="2"/>
  <c r="I23" i="2" l="1"/>
  <c r="C23" i="2"/>
  <c r="E23" i="2"/>
  <c r="G23" i="2" l="1"/>
  <c r="F23" i="2" s="1"/>
  <c r="H23" i="2" l="1"/>
  <c r="J23" i="2" l="1"/>
  <c r="K23" i="2"/>
  <c r="B24" i="2" s="1"/>
  <c r="I24" i="2" l="1"/>
  <c r="D24" i="2"/>
  <c r="C24" i="2"/>
  <c r="E24" i="2"/>
  <c r="G24" i="2" s="1"/>
  <c r="F24" i="2" l="1"/>
  <c r="H24" i="2"/>
  <c r="J24" i="2" l="1"/>
  <c r="K24" i="2"/>
  <c r="B25" i="2" s="1"/>
  <c r="C25" i="2" l="1"/>
  <c r="D25" i="2"/>
  <c r="I25" i="2"/>
  <c r="E25" i="2" l="1"/>
  <c r="G25" i="2" s="1"/>
  <c r="F25" i="2" l="1"/>
  <c r="H25" i="2"/>
  <c r="J25" i="2" l="1"/>
  <c r="K25" i="2"/>
  <c r="B26" i="2" s="1"/>
  <c r="C26" i="2" l="1"/>
  <c r="D26" i="2"/>
  <c r="E26" i="2" s="1"/>
  <c r="G26" i="2" s="1"/>
  <c r="I26" i="2"/>
  <c r="H26" i="2" l="1"/>
  <c r="K26" i="2" s="1"/>
  <c r="B27" i="2" s="1"/>
  <c r="F26" i="2"/>
  <c r="J26" i="2" l="1"/>
  <c r="D27" i="2"/>
  <c r="C27" i="2"/>
  <c r="I27" i="2"/>
  <c r="E27" i="2" l="1"/>
  <c r="G27" i="2" s="1"/>
  <c r="H27" i="2" l="1"/>
  <c r="K27" i="2" s="1"/>
  <c r="B28" i="2" s="1"/>
  <c r="F27" i="2"/>
  <c r="J27" i="2" l="1"/>
  <c r="C28" i="2"/>
  <c r="I28" i="2"/>
  <c r="D28" i="2"/>
  <c r="E28" i="2" s="1"/>
  <c r="G28" i="2" s="1"/>
  <c r="F28" i="2" s="1"/>
  <c r="H28" i="2" l="1"/>
  <c r="J28" i="2" l="1"/>
  <c r="K28" i="2"/>
  <c r="B29" i="2" s="1"/>
  <c r="D29" i="2" l="1"/>
  <c r="E29" i="2" s="1"/>
  <c r="G29" i="2" s="1"/>
  <c r="F29" i="2" s="1"/>
  <c r="I29" i="2"/>
  <c r="C29" i="2"/>
  <c r="H29" i="2" l="1"/>
  <c r="J29" i="2" l="1"/>
  <c r="K29" i="2"/>
  <c r="B30" i="2" s="1"/>
  <c r="D30" i="2" l="1"/>
  <c r="C30" i="2"/>
  <c r="I30" i="2"/>
  <c r="E30" i="2" l="1"/>
  <c r="G30" i="2" l="1"/>
  <c r="F30" i="2" s="1"/>
  <c r="H30" i="2" l="1"/>
  <c r="J30" i="2" l="1"/>
  <c r="K30" i="2"/>
  <c r="B31" i="2" s="1"/>
  <c r="C31" i="2" l="1"/>
  <c r="D31" i="2"/>
  <c r="E31" i="2" s="1"/>
  <c r="G31" i="2" s="1"/>
  <c r="F31" i="2" s="1"/>
  <c r="I31" i="2"/>
  <c r="H31" i="2" l="1"/>
  <c r="J31" i="2" l="1"/>
  <c r="K31" i="2"/>
  <c r="B32" i="2" s="1"/>
  <c r="C32" i="2" l="1"/>
  <c r="I32" i="2"/>
  <c r="D32" i="2"/>
  <c r="E32" i="2" s="1"/>
  <c r="G32" i="2" s="1"/>
  <c r="F32" i="2" l="1"/>
  <c r="H32" i="2"/>
  <c r="J32" i="2" s="1"/>
  <c r="K32" i="2"/>
  <c r="B33" i="2" s="1"/>
  <c r="D33" i="2" l="1"/>
  <c r="I33" i="2"/>
  <c r="C33" i="2"/>
  <c r="E33" i="2"/>
  <c r="G33" i="2" l="1"/>
  <c r="F33" i="2" s="1"/>
  <c r="H33" i="2" l="1"/>
  <c r="J33" i="2" l="1"/>
  <c r="K33" i="2"/>
  <c r="B34" i="2" s="1"/>
  <c r="D34" i="2" l="1"/>
  <c r="E34" i="2" s="1"/>
  <c r="G34" i="2" s="1"/>
  <c r="F34" i="2" s="1"/>
  <c r="I34" i="2"/>
  <c r="C34" i="2"/>
  <c r="H34" i="2" l="1"/>
  <c r="K34" i="2" s="1"/>
  <c r="B35" i="2" s="1"/>
  <c r="J34" i="2"/>
  <c r="D35" i="2" l="1"/>
  <c r="I35" i="2"/>
  <c r="C35" i="2"/>
  <c r="E35" i="2" l="1"/>
  <c r="G35" i="2" l="1"/>
  <c r="F35" i="2" s="1"/>
  <c r="H35" i="2" l="1"/>
  <c r="J35" i="2" l="1"/>
  <c r="K35" i="2"/>
  <c r="B36" i="2" s="1"/>
  <c r="D36" i="2" l="1"/>
  <c r="I36" i="2"/>
  <c r="C36" i="2"/>
  <c r="E36" i="2"/>
  <c r="G36" i="2" s="1"/>
  <c r="F36" i="2" l="1"/>
  <c r="H36" i="2"/>
  <c r="K36" i="2" s="1"/>
  <c r="B37" i="2" s="1"/>
  <c r="J36" i="2" l="1"/>
  <c r="C37" i="2"/>
  <c r="I37" i="2"/>
  <c r="D37" i="2"/>
  <c r="E37" i="2" s="1"/>
  <c r="G37" i="2" l="1"/>
  <c r="F37" i="2" s="1"/>
  <c r="H37" i="2" l="1"/>
  <c r="J37" i="2" l="1"/>
  <c r="K37" i="2"/>
  <c r="B38" i="2" s="1"/>
  <c r="C38" i="2" l="1"/>
  <c r="I38" i="2"/>
  <c r="D38" i="2"/>
  <c r="E38" i="2" s="1"/>
  <c r="G38" i="2" l="1"/>
  <c r="H38" i="2" l="1"/>
  <c r="K38" i="2" s="1"/>
  <c r="B39" i="2" s="1"/>
  <c r="F38" i="2"/>
  <c r="J38" i="2" l="1"/>
  <c r="C39" i="2"/>
  <c r="D39" i="2"/>
  <c r="I39" i="2"/>
  <c r="E39" i="2"/>
  <c r="G39" i="2" l="1"/>
  <c r="F39" i="2" s="1"/>
  <c r="H39" i="2" l="1"/>
  <c r="J39" i="2" s="1"/>
  <c r="K39" i="2"/>
  <c r="B40" i="2" s="1"/>
  <c r="I40" i="2" l="1"/>
  <c r="D40" i="2"/>
  <c r="C40" i="2"/>
  <c r="E40" i="2" l="1"/>
  <c r="G40" i="2" l="1"/>
  <c r="F40" i="2" s="1"/>
  <c r="H40" i="2" l="1"/>
  <c r="J40" i="2" l="1"/>
  <c r="K40" i="2"/>
  <c r="B41" i="2" s="1"/>
  <c r="C41" i="2" l="1"/>
  <c r="D41" i="2"/>
  <c r="I41" i="2"/>
  <c r="E41" i="2" l="1"/>
  <c r="G41" i="2" l="1"/>
  <c r="F41" i="2" s="1"/>
  <c r="H41" i="2" l="1"/>
  <c r="J41" i="2" l="1"/>
  <c r="K41" i="2"/>
  <c r="B42" i="2" s="1"/>
  <c r="I42" i="2" l="1"/>
  <c r="C42" i="2"/>
  <c r="D42" i="2"/>
  <c r="E42" i="2" s="1"/>
  <c r="G42" i="2" l="1"/>
  <c r="F42" i="2" s="1"/>
  <c r="H42" i="2" l="1"/>
  <c r="J42" i="2" l="1"/>
  <c r="K42" i="2"/>
  <c r="B43" i="2" s="1"/>
  <c r="C43" i="2" l="1"/>
  <c r="D43" i="2"/>
  <c r="I43" i="2"/>
  <c r="E43" i="2" l="1"/>
  <c r="G43" i="2" s="1"/>
  <c r="F43" i="2" l="1"/>
  <c r="H43" i="2"/>
  <c r="K43" i="2" s="1"/>
  <c r="B44" i="2" s="1"/>
  <c r="J43" i="2" l="1"/>
  <c r="C44" i="2"/>
  <c r="I44" i="2"/>
  <c r="D44" i="2"/>
  <c r="E44" i="2" s="1"/>
  <c r="G44" i="2" l="1"/>
  <c r="F44" i="2" s="1"/>
  <c r="H44" i="2" l="1"/>
  <c r="J44" i="2" l="1"/>
  <c r="K44" i="2"/>
  <c r="B45" i="2" s="1"/>
  <c r="C45" i="2" l="1"/>
  <c r="D45" i="2"/>
  <c r="E45" i="2" s="1"/>
  <c r="G45" i="2" s="1"/>
  <c r="I45" i="2"/>
  <c r="H45" i="2" l="1"/>
  <c r="K45" i="2" s="1"/>
  <c r="B46" i="2" s="1"/>
  <c r="F45" i="2"/>
  <c r="I46" i="2" l="1"/>
  <c r="C46" i="2"/>
  <c r="D46" i="2"/>
  <c r="E46" i="2" s="1"/>
  <c r="J45" i="2"/>
  <c r="G46" i="2" l="1"/>
  <c r="F46" i="2" s="1"/>
  <c r="H46" i="2" l="1"/>
  <c r="J46" i="2" l="1"/>
  <c r="K46" i="2"/>
  <c r="B47" i="2" s="1"/>
  <c r="I47" i="2" l="1"/>
  <c r="D47" i="2"/>
  <c r="E47" i="2" s="1"/>
  <c r="G47" i="2" s="1"/>
  <c r="C47" i="2"/>
  <c r="H47" i="2" l="1"/>
  <c r="K47" i="2" s="1"/>
  <c r="B48" i="2" s="1"/>
  <c r="F47" i="2"/>
  <c r="J47" i="2" l="1"/>
  <c r="C48" i="2"/>
  <c r="I48" i="2"/>
  <c r="D48" i="2"/>
  <c r="E48" i="2" s="1"/>
  <c r="G48" i="2" l="1"/>
  <c r="F48" i="2" s="1"/>
  <c r="H48" i="2" l="1"/>
  <c r="J48" i="2" l="1"/>
  <c r="K48" i="2"/>
  <c r="B49" i="2" s="1"/>
  <c r="I49" i="2"/>
  <c r="C49" i="2"/>
  <c r="D49" i="2"/>
  <c r="E49" i="2" l="1"/>
  <c r="G49" i="2" l="1"/>
  <c r="F49" i="2" s="1"/>
  <c r="H49" i="2" l="1"/>
  <c r="J49" i="2" l="1"/>
  <c r="K49" i="2"/>
  <c r="B50" i="2" s="1"/>
  <c r="I50" i="2" l="1"/>
  <c r="C50" i="2"/>
  <c r="D50" i="2"/>
  <c r="E50" i="2" s="1"/>
  <c r="G50" i="2" s="1"/>
  <c r="F50" i="2" l="1"/>
  <c r="H50" i="2"/>
  <c r="J50" i="2" l="1"/>
  <c r="K50" i="2"/>
  <c r="B51" i="2" s="1"/>
  <c r="C51" i="2" l="1"/>
  <c r="D51" i="2"/>
  <c r="E51" i="2" s="1"/>
  <c r="G51" i="2" s="1"/>
  <c r="I51" i="2"/>
  <c r="F51" i="2" l="1"/>
  <c r="J51" i="2" s="1"/>
  <c r="H51" i="2"/>
  <c r="K51" i="2" s="1"/>
  <c r="B52" i="2" s="1"/>
  <c r="D52" i="2" l="1"/>
  <c r="I52" i="2"/>
  <c r="C52" i="2"/>
  <c r="E52" i="2" l="1"/>
  <c r="H52" i="2"/>
  <c r="K52" i="2" s="1"/>
  <c r="B53" i="2" s="1"/>
  <c r="F52" i="2" l="1"/>
  <c r="J52" i="2" s="1"/>
  <c r="G52" i="2"/>
  <c r="I53" i="2"/>
  <c r="C53" i="2"/>
  <c r="D53" i="2"/>
  <c r="E53" i="2" s="1"/>
  <c r="G53" i="2" s="1"/>
  <c r="H53" i="2" l="1"/>
  <c r="F53" i="2"/>
  <c r="J53" i="2" l="1"/>
  <c r="K53" i="2"/>
  <c r="B54" i="2" s="1"/>
  <c r="D54" i="2" l="1"/>
  <c r="E54" i="2" s="1"/>
  <c r="G54" i="2" s="1"/>
  <c r="I54" i="2"/>
  <c r="C54" i="2"/>
  <c r="H54" i="2" l="1"/>
  <c r="K54" i="2" s="1"/>
  <c r="B55" i="2" s="1"/>
  <c r="F54" i="2"/>
  <c r="J54" i="2" l="1"/>
  <c r="D55" i="2"/>
  <c r="I55" i="2"/>
  <c r="C55" i="2"/>
  <c r="E55" i="2" l="1"/>
  <c r="G55" i="2" s="1"/>
  <c r="F55" i="2" l="1"/>
  <c r="H55" i="2"/>
  <c r="J55" i="2" l="1"/>
  <c r="K55" i="2"/>
  <c r="B56" i="2" s="1"/>
  <c r="C56" i="2" l="1"/>
  <c r="I56" i="2"/>
  <c r="D56" i="2"/>
  <c r="E56" i="2" s="1"/>
  <c r="G56" i="2"/>
  <c r="F56" i="2"/>
  <c r="H56" i="2" l="1"/>
  <c r="J56" i="2" l="1"/>
  <c r="K56" i="2"/>
  <c r="B57" i="2" s="1"/>
  <c r="C57" i="2" l="1"/>
  <c r="D57" i="2"/>
  <c r="I57" i="2"/>
  <c r="E57" i="2" l="1"/>
  <c r="G57" i="2" s="1"/>
  <c r="H57" i="2" s="1"/>
  <c r="K57" i="2" l="1"/>
  <c r="B58" i="2" s="1"/>
  <c r="F57" i="2"/>
  <c r="J57" i="2" s="1"/>
  <c r="C58" i="2" l="1"/>
  <c r="D58" i="2"/>
  <c r="I58" i="2"/>
  <c r="E58" i="2" l="1"/>
  <c r="G58" i="2" s="1"/>
  <c r="H58" i="2" s="1"/>
  <c r="K58" i="2" l="1"/>
  <c r="B59" i="2" s="1"/>
  <c r="F58" i="2"/>
  <c r="J58" i="2" s="1"/>
  <c r="I59" i="2" l="1"/>
  <c r="C59" i="2"/>
  <c r="D59" i="2"/>
  <c r="E59" i="2" s="1"/>
  <c r="G59" i="2" l="1"/>
  <c r="F59" i="2" s="1"/>
  <c r="H59" i="2" l="1"/>
  <c r="J59" i="2" l="1"/>
  <c r="K59" i="2"/>
  <c r="B60" i="2" s="1"/>
  <c r="C60" i="2"/>
  <c r="D60" i="2" l="1"/>
  <c r="E60" i="2" s="1"/>
  <c r="I60" i="2"/>
  <c r="G60" i="2"/>
  <c r="H60" i="2" l="1"/>
  <c r="K60" i="2" s="1"/>
  <c r="B61" i="2" s="1"/>
  <c r="F60" i="2"/>
  <c r="J60" i="2" s="1"/>
  <c r="C61" i="2" l="1"/>
  <c r="I61" i="2"/>
  <c r="D61" i="2"/>
  <c r="E61" i="2" s="1"/>
  <c r="G61" i="2"/>
  <c r="F61" i="2" s="1"/>
  <c r="H61" i="2" l="1"/>
  <c r="J61" i="2" l="1"/>
  <c r="K61" i="2"/>
  <c r="B62" i="2" s="1"/>
  <c r="C62" i="2" l="1"/>
  <c r="D62" i="2"/>
  <c r="I62" i="2"/>
  <c r="E62" i="2"/>
  <c r="G62" i="2" s="1"/>
  <c r="F62" i="2" s="1"/>
  <c r="H62" i="2" l="1"/>
  <c r="J62" i="2" l="1"/>
  <c r="K62" i="2"/>
  <c r="B63" i="2" s="1"/>
  <c r="C63" i="2" l="1"/>
  <c r="I63" i="2"/>
  <c r="D63" i="2"/>
  <c r="E63" i="2" l="1"/>
  <c r="G63" i="2" s="1"/>
  <c r="H63" i="2" s="1"/>
  <c r="K63" i="2" l="1"/>
  <c r="B64" i="2" s="1"/>
  <c r="F63" i="2"/>
  <c r="J63" i="2" s="1"/>
  <c r="C64" i="2" l="1"/>
  <c r="I64" i="2"/>
  <c r="D64" i="2"/>
  <c r="E64" i="2" s="1"/>
  <c r="G64" i="2" l="1"/>
  <c r="H64" i="2" l="1"/>
  <c r="K64" i="2" s="1"/>
  <c r="B65" i="2" s="1"/>
  <c r="F64" i="2"/>
  <c r="J64" i="2" s="1"/>
  <c r="C65" i="2"/>
  <c r="I65" i="2"/>
  <c r="D65" i="2"/>
  <c r="E65" i="2" s="1"/>
  <c r="G65" i="2" s="1"/>
  <c r="F65" i="2" s="1"/>
  <c r="H65" i="2" l="1"/>
  <c r="J65" i="2" l="1"/>
  <c r="K65" i="2"/>
  <c r="B66" i="2" s="1"/>
  <c r="C66" i="2" l="1"/>
  <c r="D66" i="2"/>
  <c r="E66" i="2" s="1"/>
  <c r="I66" i="2"/>
  <c r="G66" i="2" l="1"/>
  <c r="F66" i="2" s="1"/>
  <c r="H66" i="2" l="1"/>
  <c r="J66" i="2" l="1"/>
  <c r="K66" i="2"/>
  <c r="B67" i="2" s="1"/>
  <c r="C67" i="2" l="1"/>
  <c r="D67" i="2"/>
  <c r="G67" i="2" s="1"/>
  <c r="E67" i="2" l="1"/>
  <c r="F67" i="2" s="1"/>
  <c r="H67" i="2"/>
  <c r="I67" i="2" l="1"/>
  <c r="K67" i="2" l="1"/>
  <c r="B68" i="2" s="1"/>
  <c r="J67" i="2"/>
  <c r="E68" i="2" l="1"/>
  <c r="H68" i="2"/>
  <c r="D68" i="2"/>
  <c r="F68" i="2"/>
  <c r="B69" i="2"/>
  <c r="K68" i="2"/>
  <c r="C68" i="2"/>
  <c r="G68" i="2"/>
  <c r="I68" i="2"/>
  <c r="J68" i="2"/>
  <c r="D69" i="2" l="1"/>
  <c r="E69" i="2"/>
  <c r="F69" i="2"/>
  <c r="J69" i="2"/>
  <c r="G69" i="2"/>
  <c r="K69" i="2"/>
  <c r="C69" i="2"/>
  <c r="I69" i="2"/>
  <c r="B70" i="2"/>
  <c r="H69" i="2"/>
  <c r="F70" i="2" l="1"/>
  <c r="H70" i="2"/>
  <c r="K70" i="2"/>
  <c r="B71" i="2"/>
  <c r="J70" i="2"/>
  <c r="D70" i="2"/>
  <c r="G70" i="2"/>
  <c r="E70" i="2"/>
  <c r="C70" i="2"/>
  <c r="I70" i="2"/>
  <c r="K71" i="2" l="1"/>
  <c r="H71" i="2"/>
  <c r="C71" i="2"/>
  <c r="F71" i="2"/>
  <c r="I71" i="2"/>
  <c r="D71" i="2"/>
  <c r="E71" i="2"/>
  <c r="B72" i="2"/>
  <c r="E72" i="2" s="1"/>
  <c r="G71" i="2"/>
  <c r="J71" i="2"/>
  <c r="F72" i="2" l="1"/>
  <c r="K72" i="2"/>
  <c r="D72" i="2"/>
  <c r="B73" i="2"/>
  <c r="I72" i="2"/>
  <c r="H72" i="2"/>
  <c r="G72" i="2"/>
  <c r="J72" i="2"/>
  <c r="C72" i="2"/>
  <c r="F73" i="2" l="1"/>
  <c r="D73" i="2"/>
  <c r="G73" i="2"/>
  <c r="I73" i="2"/>
  <c r="J73" i="2"/>
  <c r="H73" i="2"/>
  <c r="K73" i="2"/>
  <c r="C73" i="2"/>
  <c r="E73" i="2"/>
  <c r="B74" i="2"/>
  <c r="H74" i="2"/>
  <c r="K74" i="2"/>
  <c r="E74" i="2" l="1"/>
  <c r="F74" i="2"/>
  <c r="C74" i="2"/>
  <c r="G74" i="2"/>
  <c r="D74" i="2"/>
  <c r="I74" i="2"/>
  <c r="J74" i="2"/>
  <c r="B75" i="2"/>
  <c r="D75" i="2"/>
  <c r="G75" i="2"/>
  <c r="J75" i="2"/>
  <c r="F75" i="2"/>
  <c r="H75" i="2"/>
  <c r="K75" i="2"/>
  <c r="E75" i="2"/>
  <c r="I75" i="2"/>
  <c r="B76" i="2"/>
  <c r="C75" i="2"/>
  <c r="F76" i="2" l="1"/>
  <c r="H76" i="2"/>
  <c r="C76" i="2"/>
  <c r="D76" i="2"/>
  <c r="K76" i="2"/>
  <c r="E76" i="2"/>
  <c r="G76" i="2"/>
  <c r="J76" i="2"/>
  <c r="B77" i="2"/>
  <c r="I76" i="2"/>
  <c r="C77" i="2" l="1"/>
  <c r="I77" i="2"/>
  <c r="B78" i="2"/>
  <c r="E77" i="2"/>
  <c r="G77" i="2"/>
  <c r="K77" i="2"/>
  <c r="D77" i="2"/>
  <c r="F77" i="2"/>
  <c r="J77" i="2"/>
  <c r="H77" i="2"/>
  <c r="D78" i="2" l="1"/>
  <c r="E78" i="2"/>
  <c r="H78" i="2"/>
  <c r="G78" i="2"/>
  <c r="K78" i="2"/>
  <c r="J78" i="2"/>
  <c r="C78" i="2"/>
  <c r="F78" i="2"/>
  <c r="I78" i="2"/>
  <c r="B79" i="2"/>
  <c r="D79" i="2" l="1"/>
  <c r="H79" i="2"/>
  <c r="J79" i="2"/>
  <c r="C79" i="2"/>
  <c r="E79" i="2"/>
  <c r="G79" i="2"/>
  <c r="K79" i="2"/>
  <c r="F79" i="2"/>
  <c r="B80" i="2"/>
  <c r="I79" i="2"/>
  <c r="F80" i="2" l="1"/>
  <c r="H80" i="2"/>
  <c r="C80" i="2"/>
  <c r="G80" i="2"/>
  <c r="K80" i="2"/>
  <c r="J80" i="2"/>
  <c r="D80" i="2"/>
  <c r="B81" i="2"/>
  <c r="E80" i="2"/>
  <c r="I80" i="2"/>
  <c r="G81" i="2" l="1"/>
  <c r="E81" i="2"/>
  <c r="F81" i="2"/>
  <c r="C81" i="2"/>
  <c r="H81" i="2"/>
  <c r="K81" i="2"/>
  <c r="B82" i="2"/>
  <c r="D81" i="2"/>
  <c r="J81" i="2"/>
  <c r="I81" i="2"/>
  <c r="C82" i="2" l="1"/>
  <c r="D82" i="2"/>
  <c r="E82" i="2"/>
  <c r="F82" i="2"/>
  <c r="G82" i="2"/>
  <c r="H82" i="2"/>
  <c r="I82" i="2"/>
  <c r="J82" i="2"/>
  <c r="K82" i="2"/>
  <c r="B83" i="2"/>
  <c r="C83" i="2" l="1"/>
  <c r="D83" i="2"/>
  <c r="E83" i="2"/>
  <c r="F83" i="2"/>
  <c r="G83" i="2"/>
  <c r="H83" i="2"/>
  <c r="I83" i="2"/>
  <c r="J83" i="2"/>
  <c r="K83" i="2"/>
  <c r="B84" i="2"/>
  <c r="C84" i="2" l="1"/>
  <c r="D84" i="2"/>
  <c r="E84" i="2"/>
  <c r="F84" i="2"/>
  <c r="G84" i="2"/>
  <c r="H84" i="2"/>
  <c r="I84" i="2"/>
  <c r="J84" i="2"/>
  <c r="K84" i="2"/>
  <c r="B85" i="2"/>
  <c r="C85" i="2" l="1"/>
  <c r="D85" i="2"/>
  <c r="E85" i="2"/>
  <c r="F85" i="2"/>
  <c r="G85" i="2"/>
  <c r="H85" i="2"/>
  <c r="I85" i="2"/>
  <c r="J85" i="2"/>
  <c r="K85" i="2"/>
  <c r="B86" i="2"/>
  <c r="C86" i="2" l="1"/>
  <c r="D86" i="2"/>
  <c r="E86" i="2"/>
  <c r="F86" i="2"/>
  <c r="G86" i="2"/>
  <c r="H86" i="2"/>
  <c r="I86" i="2"/>
  <c r="J86" i="2"/>
  <c r="K86" i="2"/>
  <c r="B87" i="2"/>
  <c r="C87" i="2" l="1"/>
  <c r="D87" i="2"/>
  <c r="E87" i="2"/>
  <c r="F87" i="2"/>
  <c r="G87" i="2"/>
  <c r="H87" i="2"/>
  <c r="I87" i="2"/>
  <c r="J87" i="2"/>
  <c r="K87" i="2"/>
  <c r="B88" i="2"/>
  <c r="C88" i="2" l="1"/>
  <c r="D88" i="2"/>
  <c r="E88" i="2"/>
  <c r="F88" i="2"/>
  <c r="G88" i="2"/>
  <c r="H88" i="2"/>
  <c r="I88" i="2"/>
  <c r="J88" i="2"/>
  <c r="K88" i="2"/>
  <c r="B89" i="2"/>
  <c r="C89" i="2" l="1"/>
  <c r="D89" i="2"/>
  <c r="E89" i="2"/>
  <c r="F89" i="2"/>
  <c r="G89" i="2"/>
  <c r="H89" i="2"/>
  <c r="I89" i="2"/>
  <c r="J89" i="2"/>
  <c r="K89" i="2"/>
  <c r="B90" i="2"/>
  <c r="C90" i="2" l="1"/>
  <c r="D90" i="2"/>
  <c r="E90" i="2"/>
  <c r="F90" i="2"/>
  <c r="G90" i="2"/>
  <c r="H90" i="2"/>
  <c r="I90" i="2"/>
  <c r="J90" i="2"/>
  <c r="K90" i="2"/>
  <c r="B91" i="2"/>
  <c r="C91" i="2" l="1"/>
  <c r="D91" i="2"/>
  <c r="E91" i="2"/>
  <c r="F91" i="2"/>
  <c r="G91" i="2"/>
  <c r="H91" i="2"/>
  <c r="I91" i="2"/>
  <c r="J91" i="2"/>
  <c r="K91" i="2"/>
  <c r="B92" i="2"/>
  <c r="C92" i="2" l="1"/>
  <c r="D92" i="2"/>
  <c r="E92" i="2"/>
  <c r="F92" i="2"/>
  <c r="G92" i="2"/>
  <c r="H92" i="2"/>
  <c r="I92" i="2"/>
  <c r="J92" i="2"/>
  <c r="K92" i="2"/>
  <c r="B93" i="2"/>
  <c r="C93" i="2" l="1"/>
  <c r="D93" i="2"/>
  <c r="E93" i="2"/>
  <c r="F93" i="2"/>
  <c r="G93" i="2"/>
  <c r="H93" i="2"/>
  <c r="I93" i="2"/>
  <c r="J93" i="2"/>
  <c r="K93" i="2"/>
  <c r="B94" i="2"/>
  <c r="C94" i="2" l="1"/>
  <c r="D94" i="2"/>
  <c r="E94" i="2"/>
  <c r="F94" i="2"/>
  <c r="G94" i="2"/>
  <c r="H94" i="2"/>
  <c r="I94" i="2"/>
  <c r="J94" i="2"/>
  <c r="K94" i="2"/>
  <c r="B95" i="2"/>
  <c r="C95" i="2" l="1"/>
  <c r="D95" i="2"/>
  <c r="E95" i="2"/>
  <c r="F95" i="2"/>
  <c r="G95" i="2"/>
  <c r="H95" i="2"/>
  <c r="I95" i="2"/>
  <c r="J95" i="2"/>
  <c r="K95" i="2"/>
  <c r="B96" i="2"/>
  <c r="C96" i="2" l="1"/>
  <c r="D96" i="2"/>
  <c r="E96" i="2"/>
  <c r="F96" i="2"/>
  <c r="G96" i="2"/>
  <c r="H96" i="2"/>
  <c r="I96" i="2"/>
  <c r="J96" i="2"/>
  <c r="K96" i="2"/>
  <c r="B97" i="2"/>
  <c r="C97" i="2" l="1"/>
  <c r="D97" i="2"/>
  <c r="E97" i="2"/>
  <c r="F97" i="2"/>
  <c r="G97" i="2"/>
  <c r="H97" i="2"/>
  <c r="I97" i="2"/>
  <c r="J97" i="2"/>
  <c r="K97" i="2"/>
  <c r="B98" i="2"/>
  <c r="C98" i="2" l="1"/>
  <c r="D98" i="2"/>
  <c r="E98" i="2"/>
  <c r="F98" i="2"/>
  <c r="G98" i="2"/>
  <c r="H98" i="2"/>
  <c r="I98" i="2"/>
  <c r="J98" i="2"/>
  <c r="K98" i="2"/>
  <c r="B99" i="2"/>
  <c r="C99" i="2" l="1"/>
  <c r="D99" i="2"/>
  <c r="E99" i="2"/>
  <c r="F99" i="2"/>
  <c r="G99" i="2"/>
  <c r="H99" i="2"/>
  <c r="I99" i="2"/>
  <c r="J99" i="2"/>
  <c r="K99" i="2"/>
  <c r="B100" i="2"/>
  <c r="C100" i="2" l="1"/>
  <c r="D100" i="2"/>
  <c r="E100" i="2"/>
  <c r="F100" i="2"/>
  <c r="G100" i="2"/>
  <c r="H100" i="2"/>
  <c r="I100" i="2"/>
  <c r="J100" i="2"/>
  <c r="K100" i="2"/>
  <c r="B101" i="2"/>
  <c r="C101" i="2" l="1"/>
  <c r="D101" i="2"/>
  <c r="E101" i="2"/>
  <c r="F101" i="2"/>
  <c r="G101" i="2"/>
  <c r="H101" i="2"/>
  <c r="I101" i="2"/>
  <c r="J101" i="2"/>
  <c r="K101" i="2"/>
  <c r="B102" i="2"/>
  <c r="C102" i="2" l="1"/>
  <c r="D102" i="2"/>
  <c r="E102" i="2"/>
  <c r="F102" i="2"/>
  <c r="G102" i="2"/>
  <c r="H102" i="2"/>
  <c r="I102" i="2"/>
  <c r="J102" i="2"/>
  <c r="K102" i="2"/>
  <c r="B103" i="2"/>
  <c r="C103" i="2" l="1"/>
  <c r="D103" i="2"/>
  <c r="E103" i="2"/>
  <c r="F103" i="2"/>
  <c r="G103" i="2"/>
  <c r="H103" i="2"/>
  <c r="I103" i="2"/>
  <c r="J103" i="2"/>
  <c r="K103" i="2"/>
  <c r="B104" i="2"/>
  <c r="C104" i="2" l="1"/>
  <c r="D104" i="2"/>
  <c r="E104" i="2"/>
  <c r="F104" i="2"/>
  <c r="G104" i="2"/>
  <c r="H104" i="2"/>
  <c r="I104" i="2"/>
  <c r="J104" i="2"/>
  <c r="K104" i="2"/>
  <c r="B105" i="2"/>
  <c r="C105" i="2" l="1"/>
  <c r="D105" i="2"/>
  <c r="E105" i="2"/>
  <c r="F105" i="2"/>
  <c r="G105" i="2"/>
  <c r="H105" i="2"/>
  <c r="I105" i="2"/>
  <c r="J105" i="2"/>
  <c r="K105" i="2"/>
  <c r="B106" i="2"/>
  <c r="C106" i="2" l="1"/>
  <c r="D106" i="2"/>
  <c r="E106" i="2"/>
  <c r="F106" i="2"/>
  <c r="G106" i="2"/>
  <c r="H106" i="2"/>
  <c r="I106" i="2"/>
  <c r="J106" i="2"/>
  <c r="K106" i="2"/>
  <c r="B107" i="2"/>
  <c r="C107" i="2" l="1"/>
  <c r="D107" i="2"/>
  <c r="E107" i="2"/>
  <c r="F107" i="2"/>
  <c r="G107" i="2"/>
  <c r="H107" i="2"/>
  <c r="I107" i="2"/>
  <c r="J107" i="2"/>
  <c r="K107" i="2"/>
  <c r="B108" i="2"/>
  <c r="C108" i="2" l="1"/>
  <c r="D108" i="2"/>
  <c r="E108" i="2"/>
  <c r="F108" i="2"/>
  <c r="G108" i="2"/>
  <c r="H108" i="2"/>
  <c r="I108" i="2"/>
  <c r="J108" i="2"/>
  <c r="K108" i="2"/>
  <c r="B109" i="2"/>
  <c r="C109" i="2" l="1"/>
  <c r="D109" i="2"/>
  <c r="E109" i="2"/>
  <c r="F109" i="2"/>
  <c r="G109" i="2"/>
  <c r="H109" i="2"/>
  <c r="I109" i="2"/>
  <c r="J109" i="2"/>
  <c r="K109" i="2"/>
  <c r="B110" i="2"/>
  <c r="C110" i="2" l="1"/>
  <c r="D110" i="2"/>
  <c r="E110" i="2"/>
  <c r="F110" i="2"/>
  <c r="G110" i="2"/>
  <c r="H110" i="2"/>
  <c r="I110" i="2"/>
  <c r="J110" i="2"/>
  <c r="K110" i="2"/>
  <c r="B111" i="2"/>
  <c r="C111" i="2" l="1"/>
  <c r="D111" i="2"/>
  <c r="E111" i="2"/>
  <c r="F111" i="2"/>
  <c r="G111" i="2"/>
  <c r="H111" i="2"/>
  <c r="I111" i="2"/>
  <c r="J111" i="2"/>
  <c r="K111" i="2"/>
  <c r="B112" i="2"/>
  <c r="C112" i="2" l="1"/>
  <c r="D112" i="2"/>
  <c r="E112" i="2"/>
  <c r="F112" i="2"/>
  <c r="G112" i="2"/>
  <c r="H112" i="2"/>
  <c r="I112" i="2"/>
  <c r="J112" i="2"/>
  <c r="K112" i="2"/>
  <c r="B113" i="2"/>
  <c r="C113" i="2" l="1"/>
  <c r="D113" i="2"/>
  <c r="E113" i="2"/>
  <c r="F113" i="2"/>
  <c r="G113" i="2"/>
  <c r="H113" i="2"/>
  <c r="I113" i="2"/>
  <c r="J113" i="2"/>
  <c r="K113" i="2"/>
  <c r="B114" i="2"/>
  <c r="C114" i="2" l="1"/>
  <c r="D114" i="2"/>
  <c r="E114" i="2"/>
  <c r="F114" i="2"/>
  <c r="G114" i="2"/>
  <c r="H114" i="2"/>
  <c r="I114" i="2"/>
  <c r="J114" i="2"/>
  <c r="K114" i="2"/>
  <c r="B115" i="2"/>
  <c r="C115" i="2" l="1"/>
  <c r="D115" i="2"/>
  <c r="E115" i="2"/>
  <c r="F115" i="2"/>
  <c r="B116" i="2"/>
  <c r="G115" i="2"/>
  <c r="K115" i="2"/>
  <c r="H115" i="2"/>
  <c r="I115" i="2"/>
  <c r="J115" i="2"/>
  <c r="D116" i="2" l="1"/>
  <c r="F116" i="2"/>
  <c r="J116" i="2"/>
  <c r="C116" i="2"/>
  <c r="E116" i="2"/>
  <c r="G116" i="2"/>
  <c r="B117" i="2"/>
  <c r="H116" i="2"/>
  <c r="K116" i="2"/>
  <c r="I116" i="2"/>
  <c r="G117" i="2" l="1"/>
  <c r="J117" i="2"/>
  <c r="B118" i="2"/>
  <c r="F117" i="2"/>
  <c r="E117" i="2"/>
  <c r="C117" i="2"/>
  <c r="H117" i="2"/>
  <c r="K117" i="2"/>
  <c r="D117" i="2"/>
  <c r="I117" i="2"/>
  <c r="E118" i="2" l="1"/>
  <c r="G118" i="2"/>
  <c r="D118" i="2"/>
  <c r="H118" i="2"/>
  <c r="C118" i="2"/>
  <c r="I118" i="2"/>
  <c r="J118" i="2"/>
  <c r="F118" i="2"/>
  <c r="K118" i="2"/>
  <c r="B119" i="2"/>
  <c r="D119" i="2" l="1"/>
  <c r="F119" i="2"/>
  <c r="C119" i="2"/>
  <c r="E119" i="2"/>
  <c r="G119" i="2"/>
  <c r="H119" i="2"/>
  <c r="I119" i="2"/>
  <c r="J119" i="2"/>
  <c r="K119" i="2"/>
  <c r="B120" i="2"/>
  <c r="C120" i="2" l="1"/>
  <c r="D120" i="2"/>
  <c r="E120" i="2"/>
  <c r="F120" i="2"/>
  <c r="G120" i="2"/>
  <c r="H120" i="2"/>
  <c r="I120" i="2"/>
  <c r="J120" i="2"/>
  <c r="K120" i="2"/>
  <c r="B121" i="2"/>
  <c r="C121" i="2" l="1"/>
  <c r="D121" i="2"/>
  <c r="E121" i="2"/>
  <c r="F121" i="2"/>
  <c r="G121" i="2"/>
  <c r="H121" i="2"/>
  <c r="I121" i="2"/>
  <c r="J121" i="2"/>
  <c r="K121" i="2"/>
  <c r="B122" i="2"/>
  <c r="C122" i="2" l="1"/>
  <c r="D122" i="2"/>
  <c r="E122" i="2"/>
  <c r="F122" i="2"/>
  <c r="G122" i="2"/>
  <c r="H122" i="2"/>
  <c r="I122" i="2"/>
  <c r="J122" i="2"/>
  <c r="K122" i="2"/>
  <c r="B123" i="2"/>
  <c r="C123" i="2" l="1"/>
  <c r="D123" i="2"/>
  <c r="E123" i="2"/>
  <c r="F123" i="2"/>
  <c r="G123" i="2"/>
  <c r="H123" i="2"/>
  <c r="I123" i="2"/>
  <c r="J123" i="2"/>
  <c r="K123" i="2"/>
  <c r="B124" i="2"/>
  <c r="C124" i="2" l="1"/>
  <c r="D124" i="2"/>
  <c r="E124" i="2"/>
  <c r="F124" i="2"/>
  <c r="G124" i="2"/>
  <c r="H124" i="2"/>
  <c r="I124" i="2"/>
  <c r="J124" i="2"/>
  <c r="K124" i="2"/>
  <c r="B125" i="2"/>
  <c r="C125" i="2" l="1"/>
  <c r="D125" i="2"/>
  <c r="E125" i="2"/>
  <c r="F125" i="2"/>
  <c r="G125" i="2"/>
  <c r="H125" i="2"/>
  <c r="I125" i="2"/>
  <c r="J125" i="2"/>
  <c r="K125" i="2"/>
  <c r="B126" i="2"/>
  <c r="C126" i="2" l="1"/>
  <c r="D126" i="2"/>
  <c r="E126" i="2"/>
  <c r="F126" i="2"/>
  <c r="G126" i="2"/>
  <c r="H126" i="2"/>
  <c r="I126" i="2"/>
  <c r="J126" i="2"/>
  <c r="K126" i="2"/>
  <c r="B127" i="2"/>
  <c r="C127" i="2" l="1"/>
  <c r="D127" i="2"/>
  <c r="E127" i="2"/>
  <c r="F127" i="2"/>
  <c r="G127" i="2"/>
  <c r="H127" i="2"/>
  <c r="I127" i="2"/>
  <c r="J127" i="2"/>
  <c r="K127" i="2"/>
  <c r="B128" i="2"/>
  <c r="C128" i="2" l="1"/>
  <c r="D128" i="2"/>
  <c r="E128" i="2"/>
  <c r="F128" i="2"/>
  <c r="G128" i="2"/>
  <c r="H128" i="2"/>
  <c r="I128" i="2"/>
  <c r="J128" i="2"/>
  <c r="K128" i="2"/>
  <c r="B129" i="2"/>
  <c r="C129" i="2" l="1"/>
  <c r="D129" i="2"/>
  <c r="E129" i="2"/>
  <c r="F129" i="2"/>
  <c r="G129" i="2"/>
  <c r="H129" i="2"/>
  <c r="I129" i="2"/>
  <c r="J129" i="2"/>
  <c r="K129" i="2"/>
  <c r="B130" i="2"/>
  <c r="C130" i="2" l="1"/>
  <c r="D130" i="2"/>
  <c r="E130" i="2"/>
  <c r="F130" i="2"/>
  <c r="G130" i="2"/>
  <c r="H130" i="2"/>
  <c r="I130" i="2"/>
  <c r="J130" i="2"/>
  <c r="K130" i="2"/>
  <c r="B131" i="2"/>
  <c r="C131" i="2" l="1"/>
  <c r="D131" i="2"/>
  <c r="E131" i="2"/>
  <c r="F131" i="2"/>
  <c r="G131" i="2"/>
  <c r="H131" i="2"/>
  <c r="I131" i="2"/>
  <c r="J131" i="2"/>
  <c r="K131" i="2"/>
  <c r="B132" i="2"/>
  <c r="C132" i="2" l="1"/>
  <c r="D132" i="2"/>
  <c r="E132" i="2"/>
  <c r="F132" i="2"/>
  <c r="G132" i="2"/>
  <c r="H132" i="2"/>
  <c r="I132" i="2"/>
  <c r="J132" i="2"/>
  <c r="K132" i="2"/>
  <c r="B133" i="2"/>
  <c r="C133" i="2" l="1"/>
  <c r="D133" i="2"/>
  <c r="E133" i="2"/>
  <c r="F133" i="2"/>
  <c r="G133" i="2"/>
  <c r="H133" i="2"/>
  <c r="I133" i="2"/>
  <c r="J133" i="2"/>
  <c r="K133" i="2"/>
  <c r="B134" i="2"/>
  <c r="C134" i="2" l="1"/>
  <c r="D134" i="2"/>
  <c r="E134" i="2"/>
  <c r="F134" i="2"/>
  <c r="G134" i="2"/>
  <c r="H134" i="2"/>
  <c r="I134" i="2"/>
  <c r="J134" i="2"/>
  <c r="K134" i="2"/>
  <c r="B135" i="2"/>
  <c r="C135" i="2" l="1"/>
  <c r="D135" i="2"/>
  <c r="E135" i="2"/>
  <c r="F135" i="2"/>
  <c r="G135" i="2"/>
  <c r="H135" i="2"/>
  <c r="I135" i="2"/>
  <c r="J135" i="2"/>
  <c r="K135" i="2"/>
  <c r="B136" i="2"/>
  <c r="C136" i="2" l="1"/>
  <c r="D136" i="2"/>
  <c r="E136" i="2"/>
  <c r="F136" i="2"/>
  <c r="G136" i="2"/>
  <c r="H136" i="2"/>
  <c r="I136" i="2"/>
  <c r="J136" i="2"/>
  <c r="K136" i="2"/>
  <c r="B137" i="2"/>
  <c r="C137" i="2" l="1"/>
  <c r="D137" i="2"/>
  <c r="E137" i="2"/>
  <c r="F137" i="2"/>
  <c r="G137" i="2"/>
  <c r="H137" i="2"/>
  <c r="I137" i="2"/>
  <c r="J137" i="2"/>
  <c r="K137" i="2"/>
  <c r="B138" i="2"/>
  <c r="C138" i="2" l="1"/>
  <c r="D138" i="2"/>
  <c r="E138" i="2"/>
  <c r="F138" i="2"/>
  <c r="G138" i="2"/>
  <c r="H138" i="2"/>
  <c r="I138" i="2"/>
  <c r="J138" i="2"/>
  <c r="K138" i="2"/>
  <c r="B139" i="2"/>
  <c r="C139" i="2" l="1"/>
  <c r="D139" i="2"/>
  <c r="E139" i="2"/>
  <c r="F139" i="2"/>
  <c r="G139" i="2"/>
  <c r="H139" i="2"/>
  <c r="I139" i="2"/>
  <c r="J139" i="2"/>
  <c r="K139" i="2"/>
  <c r="B140" i="2"/>
  <c r="C140" i="2" l="1"/>
  <c r="D140" i="2"/>
  <c r="E140" i="2"/>
  <c r="F140" i="2"/>
  <c r="G140" i="2"/>
  <c r="H140" i="2"/>
  <c r="I140" i="2"/>
  <c r="J140" i="2"/>
  <c r="K140" i="2"/>
  <c r="B141" i="2"/>
  <c r="C141" i="2" l="1"/>
  <c r="D141" i="2"/>
  <c r="E141" i="2"/>
  <c r="F141" i="2"/>
  <c r="G141" i="2"/>
  <c r="H141" i="2"/>
  <c r="I141" i="2"/>
  <c r="J141" i="2"/>
  <c r="K141" i="2"/>
  <c r="B142" i="2"/>
  <c r="C142" i="2" l="1"/>
  <c r="D142" i="2"/>
  <c r="E142" i="2"/>
  <c r="F142" i="2"/>
  <c r="G142" i="2"/>
  <c r="H142" i="2"/>
  <c r="I142" i="2"/>
  <c r="J142" i="2"/>
  <c r="K142" i="2"/>
  <c r="B143" i="2"/>
  <c r="C143" i="2" l="1"/>
  <c r="D143" i="2"/>
  <c r="E143" i="2"/>
  <c r="F143" i="2"/>
  <c r="G143" i="2"/>
  <c r="H143" i="2"/>
  <c r="I143" i="2"/>
  <c r="J143" i="2"/>
  <c r="K143" i="2"/>
  <c r="B144" i="2"/>
  <c r="C144" i="2" l="1"/>
  <c r="D144" i="2"/>
  <c r="E144" i="2"/>
  <c r="F144" i="2"/>
  <c r="G144" i="2"/>
  <c r="H144" i="2"/>
  <c r="I144" i="2"/>
  <c r="J144" i="2"/>
  <c r="K144" i="2"/>
  <c r="B145" i="2"/>
  <c r="C145" i="2" l="1"/>
  <c r="D145" i="2"/>
  <c r="E145" i="2"/>
  <c r="F145" i="2"/>
  <c r="G145" i="2"/>
  <c r="H145" i="2"/>
  <c r="I145" i="2"/>
  <c r="J145" i="2"/>
  <c r="K145" i="2"/>
  <c r="B146" i="2"/>
  <c r="C146" i="2" l="1"/>
  <c r="D146" i="2"/>
  <c r="E146" i="2"/>
  <c r="F146" i="2"/>
  <c r="G146" i="2"/>
  <c r="H146" i="2"/>
  <c r="I146" i="2"/>
  <c r="J146" i="2"/>
  <c r="K146" i="2"/>
  <c r="B147" i="2"/>
  <c r="C147" i="2" l="1"/>
  <c r="D147" i="2"/>
  <c r="E147" i="2"/>
  <c r="F147" i="2"/>
  <c r="G147" i="2"/>
  <c r="H147" i="2"/>
  <c r="I147" i="2"/>
  <c r="J147" i="2"/>
  <c r="K147" i="2"/>
  <c r="B148" i="2"/>
  <c r="C148" i="2" l="1"/>
  <c r="D148" i="2"/>
  <c r="E148" i="2"/>
  <c r="F148" i="2"/>
  <c r="G148" i="2"/>
  <c r="H148" i="2"/>
  <c r="I148" i="2"/>
  <c r="J148" i="2"/>
  <c r="K148" i="2"/>
  <c r="B149" i="2"/>
  <c r="C149" i="2" l="1"/>
  <c r="D149" i="2"/>
  <c r="E149" i="2"/>
  <c r="F149" i="2"/>
  <c r="G149" i="2"/>
  <c r="H149" i="2"/>
  <c r="I149" i="2"/>
  <c r="J149" i="2"/>
  <c r="K149" i="2"/>
  <c r="B150" i="2"/>
  <c r="C150" i="2" l="1"/>
  <c r="D150" i="2"/>
  <c r="E150" i="2"/>
  <c r="F150" i="2"/>
  <c r="G150" i="2"/>
  <c r="H150" i="2"/>
  <c r="I150" i="2"/>
  <c r="J150" i="2"/>
  <c r="K150" i="2"/>
  <c r="B151" i="2"/>
  <c r="C151" i="2" l="1"/>
  <c r="D151" i="2"/>
  <c r="E151" i="2"/>
  <c r="F151" i="2"/>
  <c r="G151" i="2"/>
  <c r="H151" i="2"/>
  <c r="I151" i="2"/>
  <c r="J151" i="2"/>
  <c r="K151" i="2"/>
  <c r="B152" i="2"/>
  <c r="C152" i="2" l="1"/>
  <c r="D152" i="2"/>
  <c r="E152" i="2"/>
  <c r="F152" i="2"/>
  <c r="G152" i="2"/>
  <c r="H152" i="2"/>
  <c r="I152" i="2"/>
  <c r="J152" i="2"/>
  <c r="K152" i="2"/>
  <c r="B153" i="2"/>
  <c r="C153" i="2" l="1"/>
  <c r="D153" i="2"/>
  <c r="E153" i="2"/>
  <c r="F153" i="2"/>
  <c r="G153" i="2"/>
  <c r="H153" i="2"/>
  <c r="I153" i="2"/>
  <c r="J153" i="2"/>
  <c r="K153" i="2"/>
  <c r="B154" i="2"/>
  <c r="C154" i="2" l="1"/>
  <c r="D154" i="2"/>
  <c r="E154" i="2"/>
  <c r="F154" i="2"/>
  <c r="G154" i="2"/>
  <c r="H154" i="2"/>
  <c r="I154" i="2"/>
  <c r="J154" i="2"/>
  <c r="K154" i="2"/>
  <c r="B155" i="2"/>
  <c r="C155" i="2" l="1"/>
  <c r="D155" i="2"/>
  <c r="E155" i="2"/>
  <c r="F155" i="2"/>
  <c r="G155" i="2"/>
  <c r="H155" i="2"/>
  <c r="I155" i="2"/>
  <c r="J155" i="2"/>
  <c r="K155" i="2"/>
  <c r="B156" i="2"/>
  <c r="C156" i="2" l="1"/>
  <c r="D156" i="2"/>
  <c r="E156" i="2"/>
  <c r="F156" i="2"/>
  <c r="G156" i="2"/>
  <c r="H156" i="2"/>
  <c r="I156" i="2"/>
  <c r="J156" i="2"/>
  <c r="K156" i="2"/>
  <c r="B157" i="2"/>
  <c r="C157" i="2" l="1"/>
  <c r="D157" i="2"/>
  <c r="E157" i="2"/>
  <c r="F157" i="2"/>
  <c r="G157" i="2"/>
  <c r="H157" i="2"/>
  <c r="I157" i="2"/>
  <c r="J157" i="2"/>
  <c r="K157" i="2"/>
  <c r="B158" i="2"/>
  <c r="C158" i="2" l="1"/>
  <c r="D158" i="2"/>
  <c r="E158" i="2"/>
  <c r="F158" i="2"/>
  <c r="G158" i="2"/>
  <c r="H158" i="2"/>
  <c r="I158" i="2"/>
  <c r="J158" i="2"/>
  <c r="K158" i="2"/>
  <c r="B159" i="2"/>
  <c r="C159" i="2" l="1"/>
  <c r="D159" i="2"/>
  <c r="E159" i="2"/>
  <c r="F159" i="2"/>
  <c r="G159" i="2"/>
  <c r="H159" i="2"/>
  <c r="I159" i="2"/>
  <c r="J159" i="2"/>
  <c r="K159" i="2"/>
  <c r="B160" i="2"/>
  <c r="C160" i="2" l="1"/>
  <c r="D160" i="2"/>
  <c r="E160" i="2"/>
  <c r="F160" i="2"/>
  <c r="G160" i="2"/>
  <c r="H160" i="2"/>
  <c r="I160" i="2"/>
  <c r="J160" i="2"/>
  <c r="K160" i="2"/>
  <c r="B161" i="2"/>
  <c r="C161" i="2" l="1"/>
  <c r="D161" i="2"/>
  <c r="E161" i="2"/>
  <c r="F161" i="2"/>
  <c r="G161" i="2"/>
  <c r="H161" i="2"/>
  <c r="I161" i="2"/>
  <c r="J161" i="2"/>
  <c r="K161" i="2"/>
  <c r="B162" i="2"/>
  <c r="C162" i="2" l="1"/>
  <c r="D162" i="2"/>
  <c r="E162" i="2"/>
  <c r="F162" i="2"/>
  <c r="G162" i="2"/>
  <c r="H162" i="2"/>
  <c r="I162" i="2"/>
  <c r="J162" i="2"/>
  <c r="K162" i="2"/>
  <c r="B163" i="2"/>
  <c r="C163" i="2" l="1"/>
  <c r="D163" i="2"/>
  <c r="E163" i="2"/>
  <c r="F163" i="2"/>
  <c r="G163" i="2"/>
  <c r="H163" i="2"/>
  <c r="I163" i="2"/>
  <c r="J163" i="2"/>
  <c r="K163" i="2"/>
  <c r="B164" i="2"/>
  <c r="C164" i="2" l="1"/>
  <c r="D164" i="2"/>
  <c r="E164" i="2"/>
  <c r="F164" i="2"/>
  <c r="G164" i="2"/>
  <c r="H164" i="2"/>
  <c r="I164" i="2"/>
  <c r="J164" i="2"/>
  <c r="K164" i="2"/>
  <c r="B165" i="2"/>
  <c r="C165" i="2" l="1"/>
  <c r="D165" i="2"/>
  <c r="E165" i="2"/>
  <c r="F165" i="2"/>
  <c r="G165" i="2"/>
  <c r="H165" i="2"/>
  <c r="I165" i="2"/>
  <c r="J165" i="2"/>
  <c r="K165" i="2"/>
  <c r="B166" i="2"/>
  <c r="C166" i="2" l="1"/>
  <c r="D166" i="2"/>
  <c r="E166" i="2"/>
  <c r="F166" i="2"/>
  <c r="G166" i="2"/>
  <c r="H166" i="2"/>
  <c r="I166" i="2"/>
  <c r="J166" i="2"/>
  <c r="K166" i="2"/>
  <c r="B167" i="2"/>
  <c r="C167" i="2" l="1"/>
  <c r="D167" i="2"/>
  <c r="E167" i="2"/>
  <c r="F167" i="2"/>
  <c r="G167" i="2"/>
  <c r="H167" i="2"/>
  <c r="I167" i="2"/>
  <c r="J167" i="2"/>
  <c r="K167" i="2"/>
  <c r="B168" i="2"/>
  <c r="C168" i="2" l="1"/>
  <c r="D168" i="2"/>
  <c r="E168" i="2"/>
  <c r="F168" i="2"/>
  <c r="G168" i="2"/>
  <c r="H168" i="2"/>
  <c r="I168" i="2"/>
  <c r="J168" i="2"/>
  <c r="K168" i="2"/>
  <c r="B169" i="2"/>
  <c r="C169" i="2" l="1"/>
  <c r="D169" i="2"/>
  <c r="E169" i="2"/>
  <c r="F169" i="2"/>
  <c r="G169" i="2"/>
  <c r="H169" i="2"/>
  <c r="I169" i="2"/>
  <c r="J169" i="2"/>
  <c r="K169" i="2"/>
  <c r="B170" i="2"/>
  <c r="C170" i="2" l="1"/>
  <c r="D170" i="2"/>
  <c r="E170" i="2"/>
  <c r="F170" i="2"/>
  <c r="G170" i="2"/>
  <c r="H170" i="2"/>
  <c r="I170" i="2"/>
  <c r="J170" i="2"/>
  <c r="K170" i="2"/>
  <c r="B171" i="2"/>
  <c r="C171" i="2" l="1"/>
  <c r="D171" i="2"/>
  <c r="E171" i="2"/>
  <c r="F171" i="2"/>
  <c r="G171" i="2"/>
  <c r="H171" i="2"/>
  <c r="I171" i="2"/>
  <c r="J171" i="2"/>
  <c r="K171" i="2"/>
  <c r="B172" i="2"/>
  <c r="C172" i="2" l="1"/>
  <c r="D172" i="2"/>
  <c r="E172" i="2"/>
  <c r="F172" i="2"/>
  <c r="G172" i="2"/>
  <c r="H172" i="2"/>
  <c r="I172" i="2"/>
  <c r="J172" i="2"/>
  <c r="K172" i="2"/>
  <c r="B173" i="2"/>
  <c r="C173" i="2" l="1"/>
  <c r="D173" i="2"/>
  <c r="E173" i="2"/>
  <c r="F173" i="2"/>
  <c r="G173" i="2"/>
  <c r="H173" i="2"/>
  <c r="I173" i="2"/>
  <c r="J173" i="2"/>
  <c r="K173" i="2"/>
  <c r="B174" i="2"/>
  <c r="C174" i="2" l="1"/>
  <c r="D174" i="2"/>
  <c r="E174" i="2"/>
  <c r="F174" i="2"/>
  <c r="G174" i="2"/>
  <c r="H174" i="2"/>
  <c r="I174" i="2"/>
  <c r="J174" i="2"/>
  <c r="K174" i="2"/>
  <c r="B175" i="2"/>
  <c r="C175" i="2" l="1"/>
  <c r="D175" i="2"/>
  <c r="E175" i="2"/>
  <c r="F175" i="2"/>
  <c r="G175" i="2"/>
  <c r="H175" i="2"/>
  <c r="I175" i="2"/>
  <c r="J175" i="2"/>
  <c r="K175" i="2"/>
  <c r="B176" i="2"/>
  <c r="C176" i="2" l="1"/>
  <c r="D176" i="2"/>
  <c r="E176" i="2"/>
  <c r="F176" i="2"/>
  <c r="G176" i="2"/>
  <c r="H176" i="2"/>
  <c r="I176" i="2"/>
  <c r="J176" i="2"/>
  <c r="K176" i="2"/>
  <c r="B177" i="2"/>
  <c r="C177" i="2" l="1"/>
  <c r="D177" i="2"/>
  <c r="E177" i="2"/>
  <c r="F177" i="2"/>
  <c r="G177" i="2"/>
  <c r="H177" i="2"/>
  <c r="I177" i="2"/>
  <c r="J177" i="2"/>
  <c r="K177" i="2"/>
  <c r="B178" i="2"/>
  <c r="C178" i="2" l="1"/>
  <c r="D178" i="2"/>
  <c r="E178" i="2"/>
  <c r="F178" i="2"/>
  <c r="G178" i="2"/>
  <c r="H178" i="2"/>
  <c r="I178" i="2"/>
  <c r="J178" i="2"/>
  <c r="K178" i="2"/>
  <c r="B179" i="2"/>
  <c r="C179" i="2" l="1"/>
  <c r="D179" i="2"/>
  <c r="E179" i="2"/>
  <c r="F179" i="2"/>
  <c r="G179" i="2"/>
  <c r="H179" i="2"/>
  <c r="I179" i="2"/>
  <c r="J179" i="2"/>
  <c r="K179" i="2"/>
  <c r="B180" i="2"/>
  <c r="C180" i="2" l="1"/>
  <c r="D180" i="2"/>
  <c r="E180" i="2"/>
  <c r="F180" i="2"/>
  <c r="G180" i="2"/>
  <c r="H180" i="2"/>
  <c r="I180" i="2"/>
  <c r="J180" i="2"/>
  <c r="K180" i="2"/>
  <c r="B181" i="2"/>
  <c r="C181" i="2" l="1"/>
  <c r="D181" i="2"/>
  <c r="E181" i="2"/>
  <c r="F181" i="2"/>
  <c r="G181" i="2"/>
  <c r="H181" i="2"/>
  <c r="I181" i="2"/>
  <c r="J181" i="2"/>
  <c r="K181" i="2"/>
  <c r="B182" i="2"/>
  <c r="C182" i="2" l="1"/>
  <c r="D182" i="2"/>
  <c r="E182" i="2"/>
  <c r="F182" i="2"/>
  <c r="G182" i="2"/>
  <c r="H182" i="2"/>
  <c r="I182" i="2"/>
  <c r="J182" i="2"/>
  <c r="K182" i="2"/>
  <c r="B183" i="2"/>
  <c r="C183" i="2" l="1"/>
  <c r="D183" i="2"/>
  <c r="E183" i="2"/>
  <c r="F183" i="2"/>
  <c r="G183" i="2"/>
  <c r="H183" i="2"/>
  <c r="I183" i="2"/>
  <c r="J183" i="2"/>
  <c r="K183" i="2"/>
  <c r="B184" i="2"/>
  <c r="C184" i="2" l="1"/>
  <c r="D184" i="2"/>
  <c r="E184" i="2"/>
  <c r="F184" i="2"/>
  <c r="G184" i="2"/>
  <c r="H184" i="2"/>
  <c r="I184" i="2"/>
  <c r="J184" i="2"/>
  <c r="K184" i="2"/>
  <c r="B185" i="2"/>
  <c r="C185" i="2" l="1"/>
  <c r="D185" i="2"/>
  <c r="E185" i="2"/>
  <c r="F185" i="2"/>
  <c r="G185" i="2"/>
  <c r="H185" i="2"/>
  <c r="I185" i="2"/>
  <c r="J185" i="2"/>
  <c r="K185" i="2"/>
  <c r="B186" i="2"/>
  <c r="C186" i="2" l="1"/>
  <c r="D186" i="2"/>
  <c r="E186" i="2"/>
  <c r="F186" i="2"/>
  <c r="G186" i="2"/>
  <c r="H186" i="2"/>
  <c r="I186" i="2"/>
  <c r="J186" i="2"/>
  <c r="K186" i="2"/>
  <c r="B187" i="2"/>
  <c r="C187" i="2" l="1"/>
  <c r="D187" i="2"/>
  <c r="E187" i="2"/>
  <c r="F187" i="2"/>
  <c r="G187" i="2"/>
  <c r="H187" i="2"/>
  <c r="I187" i="2"/>
  <c r="J187" i="2"/>
  <c r="K187" i="2"/>
  <c r="B188" i="2"/>
  <c r="C188" i="2" l="1"/>
  <c r="D188" i="2"/>
  <c r="E188" i="2"/>
  <c r="F188" i="2"/>
  <c r="G188" i="2"/>
  <c r="H188" i="2"/>
  <c r="I188" i="2"/>
  <c r="J188" i="2"/>
  <c r="K188" i="2"/>
  <c r="B189" i="2"/>
  <c r="C189" i="2" l="1"/>
  <c r="D189" i="2"/>
  <c r="E189" i="2"/>
  <c r="F189" i="2"/>
  <c r="G189" i="2"/>
  <c r="H189" i="2"/>
  <c r="I189" i="2"/>
  <c r="J189" i="2"/>
  <c r="K189" i="2"/>
  <c r="B190" i="2"/>
  <c r="C190" i="2" l="1"/>
  <c r="D190" i="2"/>
  <c r="E190" i="2"/>
  <c r="F190" i="2"/>
  <c r="G190" i="2"/>
  <c r="H190" i="2"/>
  <c r="I190" i="2"/>
  <c r="J190" i="2"/>
  <c r="K190" i="2"/>
  <c r="B191" i="2"/>
  <c r="C191" i="2" l="1"/>
  <c r="D191" i="2"/>
  <c r="E191" i="2"/>
  <c r="F191" i="2"/>
  <c r="G191" i="2"/>
  <c r="H191" i="2"/>
  <c r="I191" i="2"/>
  <c r="J191" i="2"/>
  <c r="K191" i="2"/>
  <c r="B192" i="2"/>
  <c r="C192" i="2" l="1"/>
  <c r="D192" i="2"/>
  <c r="E192" i="2"/>
  <c r="F192" i="2"/>
  <c r="G192" i="2"/>
  <c r="H192" i="2"/>
  <c r="I192" i="2"/>
  <c r="J192" i="2"/>
  <c r="K192" i="2"/>
  <c r="B193" i="2"/>
  <c r="C193" i="2" l="1"/>
  <c r="D193" i="2"/>
  <c r="E193" i="2"/>
  <c r="F193" i="2"/>
  <c r="G193" i="2"/>
  <c r="H193" i="2"/>
  <c r="I193" i="2"/>
  <c r="J193" i="2"/>
  <c r="K193" i="2"/>
  <c r="B194" i="2"/>
  <c r="C194" i="2" l="1"/>
  <c r="D194" i="2"/>
  <c r="E194" i="2"/>
  <c r="F194" i="2"/>
  <c r="G194" i="2"/>
  <c r="H194" i="2"/>
  <c r="J194" i="2"/>
  <c r="B195" i="2"/>
  <c r="K194" i="2"/>
  <c r="I194" i="2"/>
  <c r="E195" i="2" l="1"/>
  <c r="I195" i="2"/>
  <c r="D195" i="2"/>
  <c r="H195" i="2"/>
  <c r="G195" i="2"/>
  <c r="K195" i="2"/>
  <c r="C195" i="2"/>
  <c r="F195" i="2"/>
  <c r="J195" i="2"/>
  <c r="B196" i="2"/>
  <c r="F196" i="2" l="1"/>
  <c r="H196" i="2"/>
  <c r="I196" i="2"/>
  <c r="K196" i="2"/>
  <c r="D196" i="2"/>
  <c r="E196" i="2"/>
  <c r="C196" i="2"/>
  <c r="G196" i="2"/>
  <c r="J196" i="2"/>
  <c r="B197" i="2"/>
  <c r="E197" i="2" l="1"/>
  <c r="F197" i="2"/>
  <c r="G197" i="2"/>
  <c r="J197" i="2"/>
  <c r="K197" i="2"/>
  <c r="C197" i="2"/>
  <c r="D197" i="2"/>
  <c r="H197" i="2"/>
  <c r="I197" i="2"/>
  <c r="B198" i="2"/>
  <c r="F198" i="2" l="1"/>
  <c r="K198" i="2"/>
  <c r="E198" i="2"/>
  <c r="I198" i="2"/>
  <c r="B199" i="2"/>
  <c r="J198" i="2"/>
  <c r="D198" i="2"/>
  <c r="G198" i="2"/>
  <c r="C198" i="2"/>
  <c r="H198" i="2"/>
  <c r="E199" i="2" l="1"/>
  <c r="J199" i="2"/>
  <c r="I199" i="2"/>
  <c r="C199" i="2"/>
  <c r="K199" i="2"/>
  <c r="D199" i="2"/>
  <c r="G199" i="2"/>
  <c r="F199" i="2"/>
  <c r="H199" i="2"/>
  <c r="B200" i="2"/>
  <c r="C200" i="2" l="1"/>
  <c r="D200" i="2"/>
  <c r="E200" i="2"/>
  <c r="F200" i="2"/>
  <c r="G200" i="2"/>
  <c r="H200" i="2"/>
  <c r="I200" i="2"/>
  <c r="J200" i="2"/>
  <c r="K200" i="2"/>
  <c r="B201" i="2"/>
  <c r="C201" i="2" l="1"/>
  <c r="D201" i="2"/>
  <c r="E201" i="2"/>
  <c r="F201" i="2"/>
  <c r="G201" i="2"/>
  <c r="H201" i="2"/>
  <c r="I201" i="2"/>
  <c r="J201" i="2"/>
  <c r="K201" i="2"/>
  <c r="B202" i="2"/>
  <c r="C202" i="2" l="1"/>
  <c r="D202" i="2"/>
  <c r="E202" i="2"/>
  <c r="F202" i="2"/>
  <c r="G202" i="2"/>
  <c r="H202" i="2"/>
  <c r="I202" i="2"/>
  <c r="J202" i="2"/>
  <c r="K202" i="2"/>
  <c r="B203" i="2"/>
  <c r="C203" i="2" l="1"/>
  <c r="D203" i="2"/>
  <c r="E203" i="2"/>
  <c r="F203" i="2"/>
  <c r="G203" i="2"/>
  <c r="H203" i="2"/>
  <c r="I203" i="2"/>
  <c r="J203" i="2"/>
  <c r="K203" i="2"/>
  <c r="B204" i="2"/>
  <c r="C204" i="2" l="1"/>
  <c r="D204" i="2"/>
  <c r="E204" i="2"/>
  <c r="F204" i="2"/>
  <c r="G204" i="2"/>
  <c r="H204" i="2"/>
  <c r="I204" i="2"/>
  <c r="J204" i="2"/>
  <c r="K204" i="2"/>
  <c r="B205" i="2"/>
  <c r="C205" i="2" l="1"/>
  <c r="D205" i="2"/>
  <c r="E205" i="2"/>
  <c r="F205" i="2"/>
  <c r="G205" i="2"/>
  <c r="H205" i="2"/>
  <c r="I205" i="2"/>
  <c r="J205" i="2"/>
  <c r="K205" i="2"/>
  <c r="B206" i="2"/>
  <c r="C206" i="2" l="1"/>
  <c r="D206" i="2"/>
  <c r="E206" i="2"/>
  <c r="F206" i="2"/>
  <c r="G206" i="2"/>
  <c r="H206" i="2"/>
  <c r="I206" i="2"/>
  <c r="J206" i="2"/>
  <c r="K206" i="2"/>
  <c r="B207" i="2"/>
  <c r="C207" i="2" l="1"/>
  <c r="D207" i="2"/>
  <c r="E207" i="2"/>
  <c r="F207" i="2"/>
  <c r="G207" i="2"/>
  <c r="H207" i="2"/>
  <c r="I207" i="2"/>
  <c r="J207" i="2"/>
  <c r="K207" i="2"/>
  <c r="B208" i="2"/>
  <c r="C208" i="2" l="1"/>
  <c r="D208" i="2"/>
  <c r="E208" i="2"/>
  <c r="F208" i="2"/>
  <c r="G208" i="2"/>
  <c r="H208" i="2"/>
  <c r="I208" i="2"/>
  <c r="J208" i="2"/>
  <c r="K208" i="2"/>
  <c r="B209" i="2"/>
  <c r="C209" i="2" l="1"/>
  <c r="D209" i="2"/>
  <c r="E209" i="2"/>
  <c r="F209" i="2"/>
  <c r="G209" i="2"/>
  <c r="H209" i="2"/>
  <c r="I209" i="2"/>
  <c r="J209" i="2"/>
  <c r="K209" i="2"/>
  <c r="B210" i="2"/>
  <c r="C210" i="2" l="1"/>
  <c r="D210" i="2"/>
  <c r="E210" i="2"/>
  <c r="F210" i="2"/>
  <c r="G210" i="2"/>
  <c r="H210" i="2"/>
  <c r="I210" i="2"/>
  <c r="J210" i="2"/>
  <c r="K210" i="2"/>
  <c r="B211" i="2"/>
  <c r="C211" i="2" l="1"/>
  <c r="D211" i="2"/>
  <c r="E211" i="2"/>
  <c r="F211" i="2"/>
  <c r="G211" i="2"/>
  <c r="H211" i="2"/>
  <c r="I211" i="2"/>
  <c r="J211" i="2"/>
  <c r="K211" i="2"/>
  <c r="B212" i="2"/>
  <c r="C212" i="2" l="1"/>
  <c r="D212" i="2"/>
  <c r="E212" i="2"/>
  <c r="F212" i="2"/>
  <c r="G212" i="2"/>
  <c r="H212" i="2"/>
  <c r="I212" i="2"/>
  <c r="J212" i="2"/>
  <c r="K212" i="2"/>
  <c r="B213" i="2"/>
  <c r="C213" i="2" l="1"/>
  <c r="D213" i="2"/>
  <c r="E213" i="2"/>
  <c r="F213" i="2"/>
  <c r="G213" i="2"/>
  <c r="H213" i="2"/>
  <c r="I213" i="2"/>
  <c r="J213" i="2"/>
  <c r="K213" i="2"/>
  <c r="B214" i="2"/>
  <c r="C214" i="2" l="1"/>
  <c r="D214" i="2"/>
  <c r="E214" i="2"/>
  <c r="F214" i="2"/>
  <c r="G214" i="2"/>
  <c r="H214" i="2"/>
  <c r="I214" i="2"/>
  <c r="J214" i="2"/>
  <c r="K214" i="2"/>
  <c r="B215" i="2"/>
  <c r="C215" i="2" l="1"/>
  <c r="D215" i="2"/>
  <c r="E215" i="2"/>
  <c r="F215" i="2"/>
  <c r="G215" i="2"/>
  <c r="H215" i="2"/>
  <c r="I215" i="2"/>
  <c r="J215" i="2"/>
  <c r="K215" i="2"/>
  <c r="B216" i="2"/>
  <c r="C216" i="2" l="1"/>
  <c r="D216" i="2"/>
  <c r="E216" i="2"/>
  <c r="F216" i="2"/>
  <c r="G216" i="2"/>
  <c r="H216" i="2"/>
  <c r="I216" i="2"/>
  <c r="J216" i="2"/>
  <c r="K216" i="2"/>
  <c r="B217" i="2"/>
  <c r="C217" i="2" l="1"/>
  <c r="D217" i="2"/>
  <c r="E217" i="2"/>
  <c r="F217" i="2"/>
  <c r="G217" i="2"/>
  <c r="H217" i="2"/>
  <c r="I217" i="2"/>
  <c r="J217" i="2"/>
  <c r="K217" i="2"/>
  <c r="B218" i="2"/>
  <c r="C218" i="2" l="1"/>
  <c r="D218" i="2"/>
  <c r="E218" i="2"/>
  <c r="F218" i="2"/>
  <c r="G218" i="2"/>
  <c r="H218" i="2"/>
  <c r="I218" i="2"/>
  <c r="J218" i="2"/>
  <c r="K218" i="2"/>
  <c r="B219" i="2"/>
  <c r="C219" i="2" l="1"/>
  <c r="D219" i="2"/>
  <c r="E219" i="2"/>
  <c r="F219" i="2"/>
  <c r="G219" i="2"/>
  <c r="H219" i="2"/>
  <c r="I219" i="2"/>
  <c r="J219" i="2"/>
  <c r="K219" i="2"/>
  <c r="B220" i="2"/>
  <c r="C220" i="2" l="1"/>
  <c r="D220" i="2"/>
  <c r="E220" i="2"/>
  <c r="F220" i="2"/>
  <c r="G220" i="2"/>
  <c r="H220" i="2"/>
  <c r="I220" i="2"/>
  <c r="J220" i="2"/>
  <c r="K220" i="2"/>
  <c r="B221" i="2"/>
  <c r="C221" i="2" l="1"/>
  <c r="D221" i="2"/>
  <c r="E221" i="2"/>
  <c r="F221" i="2"/>
  <c r="G221" i="2"/>
  <c r="H221" i="2"/>
  <c r="I221" i="2"/>
  <c r="J221" i="2"/>
  <c r="K221" i="2"/>
  <c r="B222" i="2"/>
  <c r="C222" i="2" l="1"/>
  <c r="D222" i="2"/>
  <c r="E222" i="2"/>
  <c r="F222" i="2"/>
  <c r="G222" i="2"/>
  <c r="H222" i="2"/>
  <c r="I222" i="2"/>
  <c r="J222" i="2"/>
  <c r="K222" i="2"/>
  <c r="B223" i="2"/>
  <c r="C223" i="2" l="1"/>
  <c r="D223" i="2"/>
  <c r="E223" i="2"/>
  <c r="F223" i="2"/>
  <c r="G223" i="2"/>
  <c r="H223" i="2"/>
  <c r="I223" i="2"/>
  <c r="J223" i="2"/>
  <c r="K223" i="2"/>
  <c r="B224" i="2"/>
  <c r="C224" i="2" l="1"/>
  <c r="D224" i="2"/>
  <c r="E224" i="2"/>
  <c r="F224" i="2"/>
  <c r="G224" i="2"/>
  <c r="H224" i="2"/>
  <c r="I224" i="2"/>
  <c r="J224" i="2"/>
  <c r="K224" i="2"/>
  <c r="B225" i="2"/>
  <c r="C225" i="2" l="1"/>
  <c r="D225" i="2"/>
  <c r="E225" i="2"/>
  <c r="F225" i="2"/>
  <c r="G225" i="2"/>
  <c r="H225" i="2"/>
  <c r="I225" i="2"/>
  <c r="J225" i="2"/>
  <c r="K225" i="2"/>
  <c r="B226" i="2"/>
  <c r="C226" i="2" l="1"/>
  <c r="D226" i="2"/>
  <c r="E226" i="2"/>
  <c r="F226" i="2"/>
  <c r="G226" i="2"/>
  <c r="H226" i="2"/>
  <c r="I226" i="2"/>
  <c r="J226" i="2"/>
  <c r="K226" i="2"/>
  <c r="B227" i="2"/>
  <c r="C227" i="2" l="1"/>
  <c r="D227" i="2"/>
  <c r="E227" i="2"/>
  <c r="F227" i="2"/>
  <c r="G227" i="2"/>
  <c r="H227" i="2"/>
  <c r="I227" i="2"/>
  <c r="J227" i="2"/>
  <c r="K227" i="2"/>
  <c r="B228" i="2"/>
  <c r="C228" i="2" l="1"/>
  <c r="D228" i="2"/>
  <c r="E228" i="2"/>
  <c r="F228" i="2"/>
  <c r="G228" i="2"/>
  <c r="H228" i="2"/>
  <c r="I228" i="2"/>
  <c r="J228" i="2"/>
  <c r="K228" i="2"/>
  <c r="B229" i="2"/>
  <c r="C229" i="2" l="1"/>
  <c r="D229" i="2"/>
  <c r="E229" i="2"/>
  <c r="F229" i="2"/>
  <c r="G229" i="2"/>
  <c r="H229" i="2"/>
  <c r="I229" i="2"/>
  <c r="J229" i="2"/>
  <c r="K229" i="2"/>
  <c r="B230" i="2"/>
  <c r="C230" i="2" l="1"/>
  <c r="D230" i="2"/>
  <c r="E230" i="2"/>
  <c r="F230" i="2"/>
  <c r="G230" i="2"/>
  <c r="H230" i="2"/>
  <c r="I230" i="2"/>
  <c r="J230" i="2"/>
  <c r="K230" i="2"/>
  <c r="B231" i="2"/>
  <c r="C231" i="2" l="1"/>
  <c r="D231" i="2"/>
  <c r="E231" i="2"/>
  <c r="F231" i="2"/>
  <c r="G231" i="2"/>
  <c r="H231" i="2"/>
  <c r="I231" i="2"/>
  <c r="J231" i="2"/>
  <c r="K231" i="2"/>
  <c r="B232" i="2"/>
  <c r="C232" i="2" l="1"/>
  <c r="D232" i="2"/>
  <c r="E232" i="2"/>
  <c r="F232" i="2"/>
  <c r="G232" i="2"/>
  <c r="H232" i="2"/>
  <c r="I232" i="2"/>
  <c r="J232" i="2"/>
  <c r="K232" i="2"/>
  <c r="B233" i="2"/>
  <c r="C233" i="2" l="1"/>
  <c r="D233" i="2"/>
  <c r="E233" i="2"/>
  <c r="F233" i="2"/>
  <c r="G233" i="2"/>
  <c r="H233" i="2"/>
  <c r="I233" i="2"/>
  <c r="J233" i="2"/>
  <c r="K233" i="2"/>
  <c r="B234" i="2"/>
  <c r="C234" i="2" l="1"/>
  <c r="D234" i="2"/>
  <c r="E234" i="2"/>
  <c r="H234" i="2"/>
  <c r="K234" i="2"/>
  <c r="J234" i="2"/>
  <c r="F234" i="2"/>
  <c r="B235" i="2"/>
  <c r="G234" i="2"/>
  <c r="I234" i="2"/>
  <c r="F235" i="2" l="1"/>
  <c r="J235" i="2"/>
  <c r="C235" i="2"/>
  <c r="G235" i="2"/>
  <c r="K235" i="2"/>
  <c r="D235" i="2"/>
  <c r="I235" i="2"/>
  <c r="E235" i="2"/>
  <c r="H235" i="2"/>
  <c r="B236" i="2"/>
  <c r="F236" i="2" l="1"/>
  <c r="K236" i="2"/>
  <c r="C236" i="2"/>
  <c r="G236" i="2"/>
  <c r="I236" i="2"/>
  <c r="E236" i="2"/>
  <c r="H236" i="2"/>
  <c r="B237" i="2"/>
  <c r="D236" i="2"/>
  <c r="J236" i="2"/>
  <c r="G237" i="2" l="1"/>
  <c r="D237" i="2"/>
  <c r="H237" i="2"/>
  <c r="K237" i="2"/>
  <c r="F237" i="2"/>
  <c r="J237" i="2"/>
  <c r="C237" i="2"/>
  <c r="E237" i="2"/>
  <c r="I237" i="2"/>
  <c r="B238" i="2"/>
  <c r="J238" i="2" l="1"/>
  <c r="C238" i="2"/>
  <c r="F238" i="2"/>
  <c r="I238" i="2"/>
  <c r="E238" i="2"/>
  <c r="G238" i="2"/>
  <c r="B239" i="2"/>
  <c r="D238" i="2"/>
  <c r="H238" i="2"/>
  <c r="K238" i="2"/>
  <c r="D239" i="2" l="1"/>
  <c r="H239" i="2"/>
  <c r="B240" i="2"/>
  <c r="E239" i="2"/>
  <c r="I239" i="2"/>
  <c r="C239" i="2"/>
  <c r="G239" i="2"/>
  <c r="J239" i="2"/>
  <c r="F239" i="2"/>
  <c r="K239" i="2"/>
  <c r="F240" i="2" l="1"/>
  <c r="I240" i="2"/>
  <c r="C240" i="2"/>
  <c r="G240" i="2"/>
  <c r="J240" i="2"/>
  <c r="B241" i="2"/>
  <c r="D240" i="2"/>
  <c r="E240" i="2"/>
  <c r="H240" i="2"/>
  <c r="K240" i="2"/>
  <c r="E241" i="2" l="1"/>
  <c r="H241" i="2"/>
  <c r="K241" i="2"/>
  <c r="D241" i="2"/>
  <c r="G241" i="2"/>
  <c r="J241" i="2"/>
  <c r="B242" i="2"/>
  <c r="C241" i="2"/>
  <c r="F241" i="2"/>
  <c r="I241" i="2"/>
  <c r="E242" i="2" l="1"/>
  <c r="H242" i="2"/>
  <c r="K242" i="2"/>
  <c r="C242" i="2"/>
  <c r="G242" i="2"/>
  <c r="J242" i="2"/>
  <c r="D242" i="2"/>
  <c r="F242" i="2"/>
  <c r="I242" i="2"/>
  <c r="B243" i="2"/>
  <c r="F243" i="2" l="1"/>
  <c r="I243" i="2"/>
  <c r="D243" i="2"/>
  <c r="G243" i="2"/>
  <c r="J243" i="2"/>
  <c r="C243" i="2"/>
  <c r="E243" i="2"/>
  <c r="H243" i="2"/>
  <c r="K243" i="2"/>
  <c r="B244" i="2"/>
  <c r="C244" i="2" l="1"/>
  <c r="D244" i="2"/>
  <c r="E244" i="2"/>
  <c r="F244" i="2"/>
  <c r="G244" i="2"/>
  <c r="H244" i="2"/>
  <c r="I244" i="2"/>
  <c r="J244" i="2"/>
  <c r="K244" i="2"/>
  <c r="B245" i="2"/>
  <c r="C245" i="2" l="1"/>
  <c r="D245" i="2"/>
  <c r="E245" i="2"/>
  <c r="F245" i="2"/>
  <c r="G245" i="2"/>
  <c r="H245" i="2"/>
  <c r="I245" i="2"/>
  <c r="J245" i="2"/>
  <c r="K245" i="2"/>
  <c r="B246" i="2"/>
  <c r="C246" i="2" l="1"/>
  <c r="D246" i="2"/>
  <c r="E246" i="2"/>
  <c r="F246" i="2"/>
  <c r="G246" i="2"/>
  <c r="H246" i="2"/>
  <c r="I246" i="2"/>
  <c r="J246" i="2"/>
  <c r="K246" i="2"/>
  <c r="B247" i="2"/>
  <c r="C247" i="2" l="1"/>
  <c r="D247" i="2"/>
  <c r="E247" i="2"/>
  <c r="F247" i="2"/>
  <c r="G247" i="2"/>
  <c r="H247" i="2"/>
  <c r="I247" i="2"/>
  <c r="J247" i="2"/>
  <c r="K247" i="2"/>
  <c r="B248" i="2"/>
  <c r="C248" i="2" l="1"/>
  <c r="D248" i="2"/>
  <c r="E248" i="2"/>
  <c r="F248" i="2"/>
  <c r="G248" i="2"/>
  <c r="H248" i="2"/>
  <c r="I248" i="2"/>
  <c r="J248" i="2"/>
  <c r="K248" i="2"/>
  <c r="B249" i="2"/>
  <c r="C249" i="2" l="1"/>
  <c r="D249" i="2"/>
  <c r="E249" i="2"/>
  <c r="F249" i="2"/>
  <c r="G249" i="2"/>
  <c r="H249" i="2"/>
  <c r="I249" i="2"/>
  <c r="J249" i="2"/>
  <c r="K249" i="2"/>
  <c r="B250" i="2"/>
  <c r="C250" i="2" l="1"/>
  <c r="D250" i="2"/>
  <c r="E250" i="2"/>
  <c r="F250" i="2"/>
  <c r="G250" i="2"/>
  <c r="H250" i="2"/>
  <c r="I250" i="2"/>
  <c r="J250" i="2"/>
  <c r="K250" i="2"/>
  <c r="B251" i="2"/>
  <c r="C251" i="2" l="1"/>
  <c r="D251" i="2"/>
  <c r="E251" i="2"/>
  <c r="F251" i="2"/>
  <c r="G251" i="2"/>
  <c r="H251" i="2"/>
  <c r="I251" i="2"/>
  <c r="J251" i="2"/>
  <c r="K251" i="2"/>
  <c r="B252" i="2"/>
  <c r="C252" i="2" l="1"/>
  <c r="D252" i="2"/>
  <c r="E252" i="2"/>
  <c r="F252" i="2"/>
  <c r="G252" i="2"/>
  <c r="H252" i="2"/>
  <c r="I252" i="2"/>
  <c r="J252" i="2"/>
  <c r="K252" i="2"/>
  <c r="B253" i="2"/>
  <c r="C253" i="2" l="1"/>
  <c r="D253" i="2"/>
  <c r="E253" i="2"/>
  <c r="F253" i="2"/>
  <c r="G253" i="2"/>
  <c r="H253" i="2"/>
  <c r="I253" i="2"/>
  <c r="J253" i="2"/>
  <c r="K253" i="2"/>
  <c r="B254" i="2"/>
  <c r="C254" i="2" l="1"/>
  <c r="D254" i="2"/>
  <c r="E254" i="2"/>
  <c r="F254" i="2"/>
  <c r="G254" i="2"/>
  <c r="H254" i="2"/>
  <c r="I254" i="2"/>
  <c r="J254" i="2"/>
  <c r="K254" i="2"/>
  <c r="B255" i="2"/>
  <c r="C255" i="2" l="1"/>
  <c r="D255" i="2"/>
  <c r="E255" i="2"/>
  <c r="F255" i="2"/>
  <c r="G255" i="2"/>
  <c r="H255" i="2"/>
  <c r="I255" i="2"/>
  <c r="J255" i="2"/>
  <c r="K255" i="2"/>
  <c r="B256" i="2"/>
  <c r="C256" i="2" l="1"/>
  <c r="D256" i="2"/>
  <c r="E256" i="2"/>
  <c r="F256" i="2"/>
  <c r="G256" i="2"/>
  <c r="H256" i="2"/>
  <c r="I256" i="2"/>
  <c r="J256" i="2"/>
  <c r="K256" i="2"/>
  <c r="B257" i="2"/>
  <c r="C257" i="2" l="1"/>
  <c r="D257" i="2"/>
  <c r="E257" i="2"/>
  <c r="F257" i="2"/>
  <c r="G257" i="2"/>
  <c r="H257" i="2"/>
  <c r="I257" i="2"/>
  <c r="J257" i="2"/>
  <c r="K257" i="2"/>
  <c r="B258" i="2"/>
  <c r="C258" i="2" l="1"/>
  <c r="D258" i="2"/>
  <c r="E258" i="2"/>
  <c r="F258" i="2"/>
  <c r="G258" i="2"/>
  <c r="H258" i="2"/>
  <c r="I258" i="2"/>
  <c r="J258" i="2"/>
  <c r="K258" i="2"/>
  <c r="B259" i="2"/>
  <c r="C259" i="2" l="1"/>
  <c r="D259" i="2"/>
  <c r="E259" i="2"/>
  <c r="F259" i="2"/>
  <c r="G259" i="2"/>
  <c r="H259" i="2"/>
  <c r="I259" i="2"/>
  <c r="J259" i="2"/>
  <c r="K259" i="2"/>
  <c r="B260" i="2"/>
  <c r="C260" i="2" l="1"/>
  <c r="D260" i="2"/>
  <c r="E260" i="2"/>
  <c r="F260" i="2"/>
  <c r="G260" i="2"/>
  <c r="H260" i="2"/>
  <c r="I260" i="2"/>
  <c r="J260" i="2"/>
  <c r="K260" i="2"/>
  <c r="B261" i="2"/>
  <c r="C261" i="2" l="1"/>
  <c r="D261" i="2"/>
  <c r="E261" i="2"/>
  <c r="F261" i="2"/>
  <c r="G261" i="2"/>
  <c r="H261" i="2"/>
  <c r="I261" i="2"/>
  <c r="J261" i="2"/>
  <c r="K261" i="2"/>
  <c r="B262" i="2"/>
  <c r="C262" i="2" l="1"/>
  <c r="D262" i="2"/>
  <c r="E262" i="2"/>
  <c r="F262" i="2"/>
  <c r="G262" i="2"/>
  <c r="H262" i="2"/>
  <c r="I262" i="2"/>
  <c r="J262" i="2"/>
  <c r="K262" i="2"/>
  <c r="B263" i="2"/>
  <c r="C263" i="2" l="1"/>
  <c r="D263" i="2"/>
  <c r="E263" i="2"/>
  <c r="F263" i="2"/>
  <c r="G263" i="2"/>
  <c r="H263" i="2"/>
  <c r="I263" i="2"/>
  <c r="J263" i="2"/>
  <c r="K263" i="2"/>
  <c r="B264" i="2"/>
  <c r="C264" i="2" l="1"/>
  <c r="D264" i="2"/>
  <c r="E264" i="2"/>
  <c r="F264" i="2"/>
  <c r="G264" i="2"/>
  <c r="H264" i="2"/>
  <c r="I264" i="2"/>
  <c r="J264" i="2"/>
  <c r="K264" i="2"/>
  <c r="B265" i="2"/>
  <c r="C265" i="2" l="1"/>
  <c r="D265" i="2"/>
  <c r="E265" i="2"/>
  <c r="F265" i="2"/>
  <c r="G265" i="2"/>
  <c r="H265" i="2"/>
  <c r="I265" i="2"/>
  <c r="J265" i="2"/>
  <c r="K265" i="2"/>
  <c r="B266" i="2"/>
  <c r="C266" i="2" l="1"/>
  <c r="D266" i="2"/>
  <c r="E266" i="2"/>
  <c r="F266" i="2"/>
  <c r="G266" i="2"/>
  <c r="H266" i="2"/>
  <c r="I266" i="2"/>
  <c r="J266" i="2"/>
  <c r="K266" i="2"/>
  <c r="B267" i="2"/>
  <c r="C267" i="2" l="1"/>
  <c r="D267" i="2"/>
  <c r="E267" i="2"/>
  <c r="F267" i="2"/>
  <c r="G267" i="2"/>
  <c r="H267" i="2"/>
  <c r="I267" i="2"/>
  <c r="J267" i="2"/>
  <c r="K267" i="2"/>
  <c r="B268" i="2"/>
  <c r="C268" i="2" l="1"/>
  <c r="D268" i="2"/>
  <c r="E268" i="2"/>
  <c r="F268" i="2"/>
  <c r="G268" i="2"/>
  <c r="H268" i="2"/>
  <c r="I268" i="2"/>
  <c r="J268" i="2"/>
  <c r="K268" i="2"/>
  <c r="B269" i="2"/>
  <c r="C269" i="2" l="1"/>
  <c r="D269" i="2"/>
  <c r="E269" i="2"/>
  <c r="F269" i="2"/>
  <c r="G269" i="2"/>
  <c r="H269" i="2"/>
  <c r="I269" i="2"/>
  <c r="J269" i="2"/>
  <c r="K269" i="2"/>
  <c r="B270" i="2"/>
  <c r="C270" i="2" l="1"/>
  <c r="D270" i="2"/>
  <c r="E270" i="2"/>
  <c r="F270" i="2"/>
  <c r="G270" i="2"/>
  <c r="H270" i="2"/>
  <c r="I270" i="2"/>
  <c r="J270" i="2"/>
  <c r="K270" i="2"/>
  <c r="B271" i="2"/>
  <c r="C271" i="2" l="1"/>
  <c r="D271" i="2"/>
  <c r="E271" i="2"/>
  <c r="F271" i="2"/>
  <c r="G271" i="2"/>
  <c r="H271" i="2"/>
  <c r="I271" i="2"/>
  <c r="J271" i="2"/>
  <c r="K271" i="2"/>
  <c r="B272" i="2"/>
  <c r="C272" i="2" l="1"/>
  <c r="D272" i="2"/>
  <c r="E272" i="2"/>
  <c r="F272" i="2"/>
  <c r="G272" i="2"/>
  <c r="H272" i="2"/>
  <c r="I272" i="2"/>
  <c r="J272" i="2"/>
  <c r="K272" i="2"/>
  <c r="B273" i="2"/>
  <c r="C273" i="2" l="1"/>
  <c r="D273" i="2"/>
  <c r="E273" i="2"/>
  <c r="F273" i="2"/>
  <c r="G273" i="2"/>
  <c r="H273" i="2"/>
  <c r="I273" i="2"/>
  <c r="J273" i="2"/>
  <c r="K273" i="2"/>
  <c r="B274" i="2"/>
  <c r="D274" i="2" l="1"/>
  <c r="F274" i="2"/>
  <c r="H274" i="2"/>
  <c r="J274" i="2"/>
  <c r="B275" i="2"/>
  <c r="C274" i="2"/>
  <c r="E274" i="2"/>
  <c r="G274" i="2"/>
  <c r="I274" i="2"/>
  <c r="K274" i="2"/>
  <c r="D275" i="2" l="1"/>
  <c r="F275" i="2"/>
  <c r="H275" i="2"/>
  <c r="J275" i="2"/>
  <c r="B276" i="2"/>
  <c r="C275" i="2"/>
  <c r="E275" i="2"/>
  <c r="G275" i="2"/>
  <c r="I275" i="2"/>
  <c r="K275" i="2"/>
  <c r="D276" i="2" l="1"/>
  <c r="E276" i="2"/>
  <c r="F276" i="2"/>
  <c r="G276" i="2"/>
  <c r="H276" i="2"/>
  <c r="I276" i="2"/>
  <c r="J276" i="2"/>
  <c r="K276" i="2"/>
  <c r="B277" i="2"/>
  <c r="C276" i="2"/>
  <c r="C277" i="2" l="1"/>
  <c r="D277" i="2"/>
  <c r="E277" i="2"/>
  <c r="F277" i="2"/>
  <c r="G277" i="2"/>
  <c r="H277" i="2"/>
  <c r="I277" i="2"/>
  <c r="J277" i="2"/>
  <c r="K277" i="2"/>
  <c r="B278" i="2"/>
  <c r="C278" i="2" l="1"/>
  <c r="D278" i="2"/>
  <c r="E278" i="2"/>
  <c r="F278" i="2"/>
  <c r="G278" i="2"/>
  <c r="H278" i="2"/>
  <c r="I278" i="2"/>
  <c r="J278" i="2"/>
  <c r="K278" i="2"/>
  <c r="B279" i="2"/>
  <c r="C279" i="2" l="1"/>
  <c r="D279" i="2"/>
  <c r="E279" i="2"/>
  <c r="F279" i="2"/>
  <c r="G279" i="2"/>
  <c r="H279" i="2"/>
  <c r="I279" i="2"/>
  <c r="J279" i="2"/>
  <c r="K279" i="2"/>
  <c r="B280" i="2"/>
  <c r="C280" i="2" l="1"/>
  <c r="D280" i="2"/>
  <c r="E280" i="2"/>
  <c r="F280" i="2"/>
  <c r="G280" i="2"/>
  <c r="H280" i="2"/>
  <c r="I280" i="2"/>
  <c r="J280" i="2"/>
  <c r="K280" i="2"/>
  <c r="B281" i="2"/>
  <c r="C281" i="2" l="1"/>
  <c r="D281" i="2"/>
  <c r="E281" i="2"/>
  <c r="F281" i="2"/>
  <c r="G281" i="2"/>
  <c r="H281" i="2"/>
  <c r="I281" i="2"/>
  <c r="J281" i="2"/>
  <c r="K281" i="2"/>
  <c r="B282" i="2"/>
  <c r="C282" i="2" l="1"/>
  <c r="D282" i="2"/>
  <c r="E282" i="2"/>
  <c r="F282" i="2"/>
  <c r="G282" i="2"/>
  <c r="H282" i="2"/>
  <c r="I282" i="2"/>
  <c r="J282" i="2"/>
  <c r="K282" i="2"/>
  <c r="B283" i="2"/>
  <c r="C283" i="2" l="1"/>
  <c r="D283" i="2"/>
  <c r="E283" i="2"/>
  <c r="F283" i="2"/>
  <c r="G283" i="2"/>
  <c r="H283" i="2"/>
  <c r="I283" i="2"/>
  <c r="J283" i="2"/>
  <c r="K283" i="2"/>
  <c r="B284" i="2"/>
  <c r="C284" i="2" l="1"/>
  <c r="D284" i="2"/>
  <c r="E284" i="2"/>
  <c r="F284" i="2"/>
  <c r="G284" i="2"/>
  <c r="H284" i="2"/>
  <c r="I284" i="2"/>
  <c r="J284" i="2"/>
  <c r="K284" i="2"/>
  <c r="B285" i="2"/>
  <c r="C285" i="2" l="1"/>
  <c r="D285" i="2"/>
  <c r="E285" i="2"/>
  <c r="F285" i="2"/>
  <c r="G285" i="2"/>
  <c r="H285" i="2"/>
  <c r="I285" i="2"/>
  <c r="J285" i="2"/>
  <c r="K285" i="2"/>
  <c r="B286" i="2"/>
  <c r="C286" i="2" l="1"/>
  <c r="D286" i="2"/>
  <c r="E286" i="2"/>
  <c r="F286" i="2"/>
  <c r="G286" i="2"/>
  <c r="H286" i="2"/>
  <c r="I286" i="2"/>
  <c r="J286" i="2"/>
  <c r="K286" i="2"/>
  <c r="B287" i="2"/>
  <c r="C287" i="2" l="1"/>
  <c r="D287" i="2"/>
  <c r="E287" i="2"/>
  <c r="F287" i="2"/>
  <c r="G287" i="2"/>
  <c r="H287" i="2"/>
  <c r="I287" i="2"/>
  <c r="J287" i="2"/>
  <c r="K287" i="2"/>
  <c r="B288" i="2"/>
  <c r="C288" i="2" l="1"/>
  <c r="D288" i="2"/>
  <c r="E288" i="2"/>
  <c r="F288" i="2"/>
  <c r="G288" i="2"/>
  <c r="H288" i="2"/>
  <c r="I288" i="2"/>
  <c r="J288" i="2"/>
  <c r="K288" i="2"/>
  <c r="B289" i="2"/>
  <c r="C289" i="2" l="1"/>
  <c r="D289" i="2"/>
  <c r="E289" i="2"/>
  <c r="F289" i="2"/>
  <c r="G289" i="2"/>
  <c r="H289" i="2"/>
  <c r="I289" i="2"/>
  <c r="J289" i="2"/>
  <c r="K289" i="2"/>
  <c r="B290" i="2"/>
  <c r="C290" i="2" l="1"/>
  <c r="D290" i="2"/>
  <c r="E290" i="2"/>
  <c r="F290" i="2"/>
  <c r="G290" i="2"/>
  <c r="H290" i="2"/>
  <c r="I290" i="2"/>
  <c r="J290" i="2"/>
  <c r="K290" i="2"/>
  <c r="B291" i="2"/>
  <c r="C291" i="2" l="1"/>
  <c r="D291" i="2"/>
  <c r="E291" i="2"/>
  <c r="F291" i="2"/>
  <c r="G291" i="2"/>
  <c r="H291" i="2"/>
  <c r="I291" i="2"/>
  <c r="J291" i="2"/>
  <c r="K291" i="2"/>
  <c r="B292" i="2"/>
  <c r="C292" i="2" l="1"/>
  <c r="D292" i="2"/>
  <c r="E292" i="2"/>
  <c r="F292" i="2"/>
  <c r="G292" i="2"/>
  <c r="H292" i="2"/>
  <c r="I292" i="2"/>
  <c r="J292" i="2"/>
  <c r="K292" i="2"/>
  <c r="B293" i="2"/>
  <c r="C293" i="2" l="1"/>
  <c r="D293" i="2"/>
  <c r="E293" i="2"/>
  <c r="F293" i="2"/>
  <c r="G293" i="2"/>
  <c r="H293" i="2"/>
  <c r="I293" i="2"/>
  <c r="J293" i="2"/>
  <c r="K293" i="2"/>
  <c r="B294" i="2"/>
  <c r="C294" i="2" l="1"/>
  <c r="D294" i="2"/>
  <c r="E294" i="2"/>
  <c r="F294" i="2"/>
  <c r="G294" i="2"/>
  <c r="H294" i="2"/>
  <c r="I294" i="2"/>
  <c r="J294" i="2"/>
  <c r="K294" i="2"/>
  <c r="B295" i="2"/>
  <c r="C295" i="2" l="1"/>
  <c r="D295" i="2"/>
  <c r="E295" i="2"/>
  <c r="F295" i="2"/>
  <c r="G295" i="2"/>
  <c r="H295" i="2"/>
  <c r="I295" i="2"/>
  <c r="J295" i="2"/>
  <c r="K295" i="2"/>
  <c r="B296" i="2"/>
  <c r="C296" i="2" l="1"/>
  <c r="D296" i="2"/>
  <c r="E296" i="2"/>
  <c r="F296" i="2"/>
  <c r="G296" i="2"/>
  <c r="H296" i="2"/>
  <c r="I296" i="2"/>
  <c r="J296" i="2"/>
  <c r="K296" i="2"/>
  <c r="B297" i="2"/>
  <c r="C297" i="2" l="1"/>
  <c r="D297" i="2"/>
  <c r="E297" i="2"/>
  <c r="F297" i="2"/>
  <c r="G297" i="2"/>
  <c r="H297" i="2"/>
  <c r="I297" i="2"/>
  <c r="J297" i="2"/>
  <c r="K297" i="2"/>
  <c r="B298" i="2"/>
  <c r="C298" i="2" l="1"/>
  <c r="D298" i="2"/>
  <c r="E298" i="2"/>
  <c r="F298" i="2"/>
  <c r="G298" i="2"/>
  <c r="H298" i="2"/>
  <c r="I298" i="2"/>
  <c r="J298" i="2"/>
  <c r="K298" i="2"/>
  <c r="B299" i="2"/>
  <c r="C299" i="2" l="1"/>
  <c r="D299" i="2"/>
  <c r="E299" i="2"/>
  <c r="F299" i="2"/>
  <c r="G299" i="2"/>
  <c r="H299" i="2"/>
  <c r="I299" i="2"/>
  <c r="J299" i="2"/>
  <c r="K299" i="2"/>
  <c r="B300" i="2"/>
  <c r="C300" i="2" l="1"/>
  <c r="D300" i="2"/>
  <c r="E300" i="2"/>
  <c r="F300" i="2"/>
  <c r="G300" i="2"/>
  <c r="H300" i="2"/>
  <c r="I300" i="2"/>
  <c r="J300" i="2"/>
  <c r="K300" i="2"/>
  <c r="B301" i="2"/>
  <c r="C301" i="2" l="1"/>
  <c r="D301" i="2"/>
  <c r="E301" i="2"/>
  <c r="F301" i="2"/>
  <c r="G301" i="2"/>
  <c r="H301" i="2"/>
  <c r="I301" i="2"/>
  <c r="J301" i="2"/>
  <c r="K301" i="2"/>
  <c r="B302" i="2"/>
  <c r="C302" i="2" l="1"/>
  <c r="D302" i="2"/>
  <c r="E302" i="2"/>
  <c r="F302" i="2"/>
  <c r="G302" i="2"/>
  <c r="H302" i="2"/>
  <c r="I302" i="2"/>
  <c r="J302" i="2"/>
  <c r="K302" i="2"/>
  <c r="B303" i="2"/>
  <c r="C303" i="2" l="1"/>
  <c r="D303" i="2"/>
  <c r="E303" i="2"/>
  <c r="F303" i="2"/>
  <c r="G303" i="2"/>
  <c r="H303" i="2"/>
  <c r="I303" i="2"/>
  <c r="J303" i="2"/>
  <c r="K303" i="2"/>
  <c r="B304" i="2"/>
  <c r="C304" i="2" l="1"/>
  <c r="D304" i="2"/>
  <c r="E304" i="2"/>
  <c r="F304" i="2"/>
  <c r="G304" i="2"/>
  <c r="H304" i="2"/>
  <c r="I304" i="2"/>
  <c r="J304" i="2"/>
  <c r="K304" i="2"/>
  <c r="B305" i="2"/>
  <c r="C305" i="2" l="1"/>
  <c r="D305" i="2"/>
  <c r="E305" i="2"/>
  <c r="F305" i="2"/>
  <c r="G305" i="2"/>
  <c r="H305" i="2"/>
  <c r="I305" i="2"/>
  <c r="J305" i="2"/>
  <c r="K305" i="2"/>
  <c r="B306" i="2"/>
  <c r="C306" i="2" l="1"/>
  <c r="D306" i="2"/>
  <c r="E306" i="2"/>
  <c r="F306" i="2"/>
  <c r="G306" i="2"/>
  <c r="H306" i="2"/>
  <c r="I306" i="2"/>
  <c r="J306" i="2"/>
  <c r="K306" i="2"/>
  <c r="B307" i="2"/>
  <c r="C307" i="2" l="1"/>
  <c r="D307" i="2"/>
  <c r="E307" i="2"/>
  <c r="F307" i="2"/>
  <c r="G307" i="2"/>
  <c r="H307" i="2"/>
  <c r="I307" i="2"/>
  <c r="J307" i="2"/>
  <c r="K307" i="2"/>
  <c r="B308" i="2"/>
  <c r="C308" i="2" l="1"/>
  <c r="D308" i="2"/>
  <c r="E308" i="2"/>
  <c r="F308" i="2"/>
  <c r="G308" i="2"/>
  <c r="H308" i="2"/>
  <c r="I308" i="2"/>
  <c r="J308" i="2"/>
  <c r="K308" i="2"/>
  <c r="B309" i="2"/>
  <c r="C309" i="2" l="1"/>
  <c r="D309" i="2"/>
  <c r="E309" i="2"/>
  <c r="F309" i="2"/>
  <c r="G309" i="2"/>
  <c r="H309" i="2"/>
  <c r="I309" i="2"/>
  <c r="J309" i="2"/>
  <c r="K309" i="2"/>
  <c r="B310" i="2"/>
  <c r="C310" i="2" l="1"/>
  <c r="D310" i="2"/>
  <c r="E310" i="2"/>
  <c r="F310" i="2"/>
  <c r="G310" i="2"/>
  <c r="H310" i="2"/>
  <c r="I310" i="2"/>
  <c r="J310" i="2"/>
  <c r="K310" i="2"/>
  <c r="B311" i="2"/>
  <c r="C311" i="2" l="1"/>
  <c r="D311" i="2"/>
  <c r="E311" i="2"/>
  <c r="F311" i="2"/>
  <c r="G311" i="2"/>
  <c r="H311" i="2"/>
  <c r="I311" i="2"/>
  <c r="J311" i="2"/>
  <c r="K311" i="2"/>
  <c r="B312" i="2"/>
  <c r="C312" i="2" l="1"/>
  <c r="D312" i="2"/>
  <c r="E312" i="2"/>
  <c r="F312" i="2"/>
  <c r="G312" i="2"/>
  <c r="H312" i="2"/>
  <c r="I312" i="2"/>
  <c r="J312" i="2"/>
  <c r="K312" i="2"/>
  <c r="B313" i="2"/>
  <c r="C313" i="2" l="1"/>
  <c r="D313" i="2"/>
  <c r="E313" i="2"/>
  <c r="F313" i="2"/>
  <c r="G313" i="2"/>
  <c r="H313" i="2"/>
  <c r="I313" i="2"/>
  <c r="J313" i="2"/>
  <c r="K313" i="2"/>
  <c r="B314" i="2"/>
  <c r="C314" i="2" l="1"/>
  <c r="D314" i="2"/>
  <c r="E314" i="2"/>
  <c r="F314" i="2"/>
  <c r="G314" i="2"/>
  <c r="H314" i="2"/>
  <c r="I314" i="2"/>
  <c r="J314" i="2"/>
  <c r="K314" i="2"/>
  <c r="B315" i="2"/>
  <c r="C315" i="2" l="1"/>
  <c r="D315" i="2"/>
  <c r="E315" i="2"/>
  <c r="F315" i="2"/>
  <c r="G315" i="2"/>
  <c r="H315" i="2"/>
  <c r="I315" i="2"/>
  <c r="J315" i="2"/>
  <c r="K315" i="2"/>
  <c r="B316" i="2"/>
  <c r="C316" i="2" l="1"/>
  <c r="D316" i="2"/>
  <c r="E316" i="2"/>
  <c r="F316" i="2"/>
  <c r="G316" i="2"/>
  <c r="H316" i="2"/>
  <c r="I316" i="2"/>
  <c r="J316" i="2"/>
  <c r="K316" i="2"/>
  <c r="B317" i="2"/>
  <c r="C317" i="2" l="1"/>
  <c r="D317" i="2"/>
  <c r="E317" i="2"/>
  <c r="F317" i="2"/>
  <c r="G317" i="2"/>
  <c r="H317" i="2"/>
  <c r="I317" i="2"/>
  <c r="J317" i="2"/>
  <c r="K317" i="2"/>
  <c r="B318" i="2"/>
  <c r="C318" i="2" l="1"/>
  <c r="D318" i="2"/>
  <c r="E318" i="2"/>
  <c r="F318" i="2"/>
  <c r="G318" i="2"/>
  <c r="H318" i="2"/>
  <c r="I318" i="2"/>
  <c r="J318" i="2"/>
  <c r="K318" i="2"/>
  <c r="B319" i="2"/>
  <c r="C319" i="2" l="1"/>
  <c r="D319" i="2"/>
  <c r="E319" i="2"/>
  <c r="F319" i="2"/>
  <c r="G319" i="2"/>
  <c r="H319" i="2"/>
  <c r="I319" i="2"/>
  <c r="J319" i="2"/>
  <c r="K319" i="2"/>
  <c r="B320" i="2"/>
  <c r="C320" i="2" l="1"/>
  <c r="D320" i="2"/>
  <c r="E320" i="2"/>
  <c r="F320" i="2"/>
  <c r="G320" i="2"/>
  <c r="H320" i="2"/>
  <c r="I320" i="2"/>
  <c r="J320" i="2"/>
  <c r="K320" i="2"/>
  <c r="B321" i="2"/>
  <c r="C321" i="2" l="1"/>
  <c r="D321" i="2"/>
  <c r="E321" i="2"/>
  <c r="F321" i="2"/>
  <c r="G321" i="2"/>
  <c r="H321" i="2"/>
  <c r="I321" i="2"/>
  <c r="J321" i="2"/>
  <c r="K321" i="2"/>
  <c r="B322" i="2"/>
  <c r="C322" i="2" l="1"/>
  <c r="D322" i="2"/>
  <c r="E322" i="2"/>
  <c r="F322" i="2"/>
  <c r="G322" i="2"/>
  <c r="H322" i="2"/>
  <c r="I322" i="2"/>
  <c r="J322" i="2"/>
  <c r="K322" i="2"/>
  <c r="B323" i="2"/>
  <c r="C323" i="2" l="1"/>
  <c r="D323" i="2"/>
  <c r="E323" i="2"/>
  <c r="F323" i="2"/>
  <c r="G323" i="2"/>
  <c r="H323" i="2"/>
  <c r="I323" i="2"/>
  <c r="J323" i="2"/>
  <c r="K323" i="2"/>
  <c r="B324" i="2"/>
  <c r="C324" i="2" l="1"/>
  <c r="D324" i="2"/>
  <c r="E324" i="2"/>
  <c r="F324" i="2"/>
  <c r="G324" i="2"/>
  <c r="H324" i="2"/>
  <c r="I324" i="2"/>
  <c r="J324" i="2"/>
  <c r="K324" i="2"/>
  <c r="B325" i="2"/>
  <c r="C325" i="2" l="1"/>
  <c r="D325" i="2"/>
  <c r="E325" i="2"/>
  <c r="F325" i="2"/>
  <c r="G325" i="2"/>
  <c r="H325" i="2"/>
  <c r="I325" i="2"/>
  <c r="J325" i="2"/>
  <c r="K325" i="2"/>
  <c r="B326" i="2"/>
  <c r="C326" i="2" l="1"/>
  <c r="D326" i="2"/>
  <c r="E326" i="2"/>
  <c r="F326" i="2"/>
  <c r="G326" i="2"/>
  <c r="H326" i="2"/>
  <c r="I326" i="2"/>
  <c r="J326" i="2"/>
  <c r="K326" i="2"/>
  <c r="B327" i="2"/>
  <c r="C327" i="2" l="1"/>
  <c r="D327" i="2"/>
  <c r="E327" i="2"/>
  <c r="F327" i="2"/>
  <c r="G327" i="2"/>
  <c r="H327" i="2"/>
  <c r="I327" i="2"/>
  <c r="J327" i="2"/>
  <c r="K327" i="2"/>
  <c r="B328" i="2"/>
  <c r="C328" i="2" l="1"/>
  <c r="D328" i="2"/>
  <c r="E328" i="2"/>
  <c r="F328" i="2"/>
  <c r="G328" i="2"/>
  <c r="H328" i="2"/>
  <c r="I328" i="2"/>
  <c r="J328" i="2"/>
  <c r="K328" i="2"/>
  <c r="B329" i="2"/>
  <c r="C329" i="2" l="1"/>
  <c r="D329" i="2"/>
  <c r="E329" i="2"/>
  <c r="F329" i="2"/>
  <c r="G329" i="2"/>
  <c r="H329" i="2"/>
  <c r="I329" i="2"/>
  <c r="J329" i="2"/>
  <c r="K329" i="2"/>
  <c r="B330" i="2"/>
  <c r="C330" i="2" l="1"/>
  <c r="D330" i="2"/>
  <c r="E330" i="2"/>
  <c r="F330" i="2"/>
  <c r="G330" i="2"/>
  <c r="H330" i="2"/>
  <c r="I330" i="2"/>
  <c r="J330" i="2"/>
  <c r="K330" i="2"/>
  <c r="B331" i="2"/>
  <c r="C331" i="2" l="1"/>
  <c r="D331" i="2"/>
  <c r="E331" i="2"/>
  <c r="F331" i="2"/>
  <c r="G331" i="2"/>
  <c r="H331" i="2"/>
  <c r="I331" i="2"/>
  <c r="J331" i="2"/>
  <c r="K331" i="2"/>
  <c r="B332" i="2"/>
  <c r="C332" i="2" l="1"/>
  <c r="D332" i="2"/>
  <c r="E332" i="2"/>
  <c r="F332" i="2"/>
  <c r="G332" i="2"/>
  <c r="H332" i="2"/>
  <c r="I332" i="2"/>
  <c r="J332" i="2"/>
  <c r="K332" i="2"/>
  <c r="B333" i="2"/>
  <c r="C333" i="2" l="1"/>
  <c r="D333" i="2"/>
  <c r="E333" i="2"/>
  <c r="F333" i="2"/>
  <c r="G333" i="2"/>
  <c r="H333" i="2"/>
  <c r="I333" i="2"/>
  <c r="J333" i="2"/>
  <c r="K333" i="2"/>
  <c r="B334" i="2"/>
  <c r="C334" i="2" l="1"/>
  <c r="D334" i="2"/>
  <c r="E334" i="2"/>
  <c r="F334" i="2"/>
  <c r="G334" i="2"/>
  <c r="H334" i="2"/>
  <c r="I334" i="2"/>
  <c r="J334" i="2"/>
  <c r="K334" i="2"/>
  <c r="B335" i="2"/>
  <c r="C335" i="2" l="1"/>
  <c r="D335" i="2"/>
  <c r="E335" i="2"/>
  <c r="F335" i="2"/>
  <c r="G335" i="2"/>
  <c r="H335" i="2"/>
  <c r="I335" i="2"/>
  <c r="J335" i="2"/>
  <c r="K335" i="2"/>
  <c r="B336" i="2"/>
  <c r="C336" i="2" l="1"/>
  <c r="D336" i="2"/>
  <c r="E336" i="2"/>
  <c r="F336" i="2"/>
  <c r="G336" i="2"/>
  <c r="H336" i="2"/>
  <c r="I336" i="2"/>
  <c r="J336" i="2"/>
  <c r="K336" i="2"/>
  <c r="B337" i="2"/>
  <c r="C337" i="2" l="1"/>
  <c r="D337" i="2"/>
  <c r="E337" i="2"/>
  <c r="F337" i="2"/>
  <c r="G337" i="2"/>
  <c r="H337" i="2"/>
  <c r="I337" i="2"/>
  <c r="J337" i="2"/>
  <c r="K337" i="2"/>
  <c r="B338" i="2"/>
  <c r="C338" i="2" l="1"/>
  <c r="D338" i="2"/>
  <c r="E338" i="2"/>
  <c r="F338" i="2"/>
  <c r="G338" i="2"/>
  <c r="H338" i="2"/>
  <c r="I338" i="2"/>
  <c r="J338" i="2"/>
  <c r="K338" i="2"/>
  <c r="B339" i="2"/>
  <c r="C339" i="2" l="1"/>
  <c r="D339" i="2"/>
  <c r="E339" i="2"/>
  <c r="F339" i="2"/>
  <c r="G339" i="2"/>
  <c r="H339" i="2"/>
  <c r="I339" i="2"/>
  <c r="J339" i="2"/>
  <c r="K339" i="2"/>
  <c r="B340" i="2"/>
  <c r="C340" i="2" l="1"/>
  <c r="D340" i="2"/>
  <c r="E340" i="2"/>
  <c r="F340" i="2"/>
  <c r="G340" i="2"/>
  <c r="H340" i="2"/>
  <c r="I340" i="2"/>
  <c r="J340" i="2"/>
  <c r="K340" i="2"/>
  <c r="B341" i="2"/>
  <c r="C341" i="2" l="1"/>
  <c r="D341" i="2"/>
  <c r="E341" i="2"/>
  <c r="F341" i="2"/>
  <c r="G341" i="2"/>
  <c r="H341" i="2"/>
  <c r="I341" i="2"/>
  <c r="J341" i="2"/>
  <c r="K341" i="2"/>
  <c r="B342" i="2"/>
  <c r="C342" i="2" l="1"/>
  <c r="D342" i="2"/>
  <c r="E342" i="2"/>
  <c r="F342" i="2"/>
  <c r="G342" i="2"/>
  <c r="H342" i="2"/>
  <c r="I342" i="2"/>
  <c r="J342" i="2"/>
  <c r="K342" i="2"/>
  <c r="B343" i="2"/>
  <c r="C343" i="2" l="1"/>
  <c r="D343" i="2"/>
  <c r="E343" i="2"/>
  <c r="F343" i="2"/>
  <c r="G343" i="2"/>
  <c r="H343" i="2"/>
  <c r="I343" i="2"/>
  <c r="J343" i="2"/>
  <c r="K343" i="2"/>
  <c r="B344" i="2"/>
  <c r="C344" i="2" l="1"/>
  <c r="D344" i="2"/>
  <c r="E344" i="2"/>
  <c r="F344" i="2"/>
  <c r="G344" i="2"/>
  <c r="H344" i="2"/>
  <c r="I344" i="2"/>
  <c r="J344" i="2"/>
  <c r="K344" i="2"/>
  <c r="B345" i="2"/>
  <c r="C345" i="2" l="1"/>
  <c r="D345" i="2"/>
  <c r="E345" i="2"/>
  <c r="F345" i="2"/>
  <c r="G345" i="2"/>
  <c r="H345" i="2"/>
  <c r="I345" i="2"/>
  <c r="J345" i="2"/>
  <c r="K345" i="2"/>
  <c r="B346" i="2"/>
  <c r="C346" i="2" l="1"/>
  <c r="D346" i="2"/>
  <c r="E346" i="2"/>
  <c r="F346" i="2"/>
  <c r="G346" i="2"/>
  <c r="H346" i="2"/>
  <c r="I346" i="2"/>
  <c r="J346" i="2"/>
  <c r="K346" i="2"/>
  <c r="B347" i="2"/>
  <c r="C347" i="2" l="1"/>
  <c r="D347" i="2"/>
  <c r="E347" i="2"/>
  <c r="F347" i="2"/>
  <c r="G347" i="2"/>
  <c r="H347" i="2"/>
  <c r="I347" i="2"/>
  <c r="J347" i="2"/>
  <c r="K347" i="2"/>
  <c r="B348" i="2"/>
  <c r="C348" i="2" l="1"/>
  <c r="D348" i="2"/>
  <c r="E348" i="2"/>
  <c r="F348" i="2"/>
  <c r="G348" i="2"/>
  <c r="H348" i="2"/>
  <c r="I348" i="2"/>
  <c r="J348" i="2"/>
  <c r="K348" i="2"/>
  <c r="B349" i="2"/>
  <c r="C349" i="2" l="1"/>
  <c r="D349" i="2"/>
  <c r="E349" i="2"/>
  <c r="F349" i="2"/>
  <c r="G349" i="2"/>
  <c r="H349" i="2"/>
  <c r="I349" i="2"/>
  <c r="J349" i="2"/>
  <c r="K349" i="2"/>
  <c r="B350" i="2"/>
  <c r="C350" i="2" l="1"/>
  <c r="D350" i="2"/>
  <c r="E350" i="2"/>
  <c r="F350" i="2"/>
  <c r="G350" i="2"/>
  <c r="H350" i="2"/>
  <c r="I350" i="2"/>
  <c r="J350" i="2"/>
  <c r="K350" i="2"/>
  <c r="B351" i="2"/>
  <c r="C351" i="2" l="1"/>
  <c r="D351" i="2"/>
  <c r="E351" i="2"/>
  <c r="F351" i="2"/>
  <c r="G351" i="2"/>
  <c r="H351" i="2"/>
  <c r="I351" i="2"/>
  <c r="J351" i="2"/>
  <c r="K351" i="2"/>
  <c r="B352" i="2"/>
  <c r="C352" i="2" l="1"/>
  <c r="D352" i="2"/>
  <c r="E352" i="2"/>
  <c r="F352" i="2"/>
  <c r="G352" i="2"/>
  <c r="H352" i="2"/>
  <c r="I352" i="2"/>
  <c r="J352" i="2"/>
  <c r="K352" i="2"/>
  <c r="B353" i="2"/>
  <c r="C353" i="2" l="1"/>
  <c r="D353" i="2"/>
  <c r="E353" i="2"/>
  <c r="F353" i="2"/>
  <c r="G353" i="2"/>
  <c r="H353" i="2"/>
  <c r="I353" i="2"/>
  <c r="J353" i="2"/>
  <c r="K353" i="2"/>
  <c r="B354" i="2"/>
  <c r="C354" i="2" l="1"/>
  <c r="D354" i="2"/>
  <c r="E354" i="2"/>
  <c r="F354" i="2"/>
  <c r="G354" i="2"/>
  <c r="H354" i="2"/>
  <c r="I354" i="2"/>
  <c r="J354" i="2"/>
  <c r="K354" i="2"/>
  <c r="B355" i="2"/>
  <c r="C355" i="2" l="1"/>
  <c r="D355" i="2"/>
  <c r="E355" i="2"/>
  <c r="F355" i="2"/>
  <c r="G355" i="2"/>
  <c r="H355" i="2"/>
  <c r="I355" i="2"/>
  <c r="J355" i="2"/>
  <c r="K355" i="2"/>
  <c r="B356" i="2"/>
  <c r="C356" i="2" l="1"/>
  <c r="D356" i="2"/>
  <c r="E356" i="2"/>
  <c r="F356" i="2"/>
  <c r="G356" i="2"/>
  <c r="H356" i="2"/>
  <c r="I356" i="2"/>
  <c r="J356" i="2"/>
  <c r="K356" i="2"/>
  <c r="B357" i="2"/>
  <c r="C357" i="2" l="1"/>
  <c r="D357" i="2"/>
  <c r="E357" i="2"/>
  <c r="F357" i="2"/>
  <c r="G357" i="2"/>
  <c r="H357" i="2"/>
  <c r="I357" i="2"/>
  <c r="J357" i="2"/>
  <c r="K357" i="2"/>
  <c r="B358" i="2"/>
  <c r="C358" i="2" l="1"/>
  <c r="D358" i="2"/>
  <c r="E358" i="2"/>
  <c r="F358" i="2"/>
  <c r="G358" i="2"/>
  <c r="H358" i="2"/>
  <c r="I358" i="2"/>
  <c r="J358" i="2"/>
  <c r="K358" i="2"/>
  <c r="B359" i="2"/>
  <c r="C359" i="2" l="1"/>
  <c r="D359" i="2"/>
  <c r="E359" i="2"/>
  <c r="F359" i="2"/>
  <c r="G359" i="2"/>
  <c r="H359" i="2"/>
  <c r="I359" i="2"/>
  <c r="J359" i="2"/>
  <c r="K359" i="2"/>
  <c r="B360" i="2"/>
  <c r="C360" i="2" l="1"/>
  <c r="D360" i="2"/>
  <c r="E360" i="2"/>
  <c r="F360" i="2"/>
  <c r="G360" i="2"/>
  <c r="H360" i="2"/>
  <c r="I360" i="2"/>
  <c r="J360" i="2"/>
  <c r="K360" i="2"/>
  <c r="B361" i="2"/>
  <c r="C361" i="2" l="1"/>
  <c r="D361" i="2"/>
  <c r="E361" i="2"/>
  <c r="F361" i="2"/>
  <c r="G361" i="2"/>
  <c r="H361" i="2"/>
  <c r="I361" i="2"/>
  <c r="J361" i="2"/>
  <c r="K361" i="2"/>
  <c r="B362" i="2"/>
  <c r="C362" i="2" l="1"/>
  <c r="D362" i="2"/>
  <c r="E362" i="2"/>
  <c r="F362" i="2"/>
  <c r="G362" i="2"/>
  <c r="H362" i="2"/>
  <c r="I362" i="2"/>
  <c r="J362" i="2"/>
  <c r="K362" i="2"/>
  <c r="B363" i="2"/>
  <c r="C363" i="2" l="1"/>
  <c r="D363" i="2"/>
  <c r="E363" i="2"/>
  <c r="F363" i="2"/>
  <c r="G363" i="2"/>
  <c r="H363" i="2"/>
  <c r="I363" i="2"/>
  <c r="J363" i="2"/>
  <c r="K363" i="2"/>
  <c r="B364" i="2"/>
  <c r="C364" i="2" l="1"/>
  <c r="D364" i="2"/>
  <c r="E364" i="2"/>
  <c r="F364" i="2"/>
  <c r="G364" i="2"/>
  <c r="H364" i="2"/>
  <c r="I364" i="2"/>
  <c r="J364" i="2"/>
  <c r="K364" i="2"/>
  <c r="B365" i="2"/>
  <c r="C365" i="2" l="1"/>
  <c r="D365" i="2"/>
  <c r="E365" i="2"/>
  <c r="F365" i="2"/>
  <c r="G365" i="2"/>
  <c r="H365" i="2"/>
  <c r="I365" i="2"/>
  <c r="J365" i="2"/>
  <c r="K365" i="2"/>
  <c r="B366" i="2"/>
  <c r="C366" i="2" l="1"/>
  <c r="D366" i="2"/>
  <c r="E366" i="2"/>
  <c r="F366" i="2"/>
  <c r="G366" i="2"/>
  <c r="H366" i="2"/>
  <c r="I366" i="2"/>
  <c r="J366" i="2"/>
  <c r="K366" i="2"/>
  <c r="B367" i="2"/>
  <c r="F17" i="1" l="1"/>
  <c r="C367" i="2"/>
  <c r="D367" i="2"/>
  <c r="E367" i="2"/>
  <c r="F11" i="1" s="1"/>
  <c r="F22" i="1" s="1"/>
  <c r="F367" i="2"/>
  <c r="G367" i="2"/>
  <c r="H367" i="2"/>
  <c r="I367" i="2"/>
  <c r="J367" i="2"/>
  <c r="F13" i="1" s="1"/>
  <c r="F15" i="1" s="1"/>
  <c r="K367" i="2"/>
  <c r="M17" i="2" l="1"/>
  <c r="M12" i="2"/>
  <c r="M13" i="2"/>
  <c r="M15" i="2"/>
  <c r="M20" i="2"/>
  <c r="M10" i="2"/>
  <c r="F10" i="1"/>
  <c r="M18" i="2"/>
  <c r="M19" i="2"/>
  <c r="M14" i="2"/>
  <c r="M11" i="2"/>
  <c r="B7" i="3"/>
  <c r="M16" i="2"/>
  <c r="F16" i="1"/>
  <c r="F21" i="1"/>
  <c r="M8" i="2"/>
  <c r="M9" i="2"/>
  <c r="F18" i="1"/>
  <c r="F20" i="1"/>
  <c r="N17" i="2" l="1"/>
  <c r="O17" i="2"/>
  <c r="O12" i="2"/>
  <c r="N12" i="2"/>
  <c r="N13" i="2"/>
  <c r="O13" i="2"/>
  <c r="O15" i="2"/>
  <c r="N15" i="2"/>
  <c r="N20" i="2"/>
  <c r="O20" i="2"/>
  <c r="N10" i="2"/>
  <c r="O10" i="2"/>
  <c r="N18" i="2"/>
  <c r="O18" i="2"/>
  <c r="N19" i="2"/>
  <c r="O19" i="2"/>
  <c r="O14" i="2"/>
  <c r="N14" i="2"/>
  <c r="N11" i="2"/>
  <c r="O11" i="2"/>
  <c r="B8" i="3"/>
  <c r="H7" i="3"/>
  <c r="G7" i="3"/>
  <c r="F7" i="3"/>
  <c r="E7" i="3"/>
  <c r="D7" i="3"/>
  <c r="C7" i="3"/>
  <c r="N16" i="2"/>
  <c r="O16" i="2"/>
  <c r="N8" i="2"/>
  <c r="O8" i="2"/>
  <c r="O9" i="2"/>
  <c r="N9" i="2"/>
  <c r="I7" i="3" l="1"/>
  <c r="C8" i="3" s="1"/>
  <c r="D8" i="3"/>
  <c r="E8" i="3"/>
  <c r="F8" i="3"/>
  <c r="G8" i="3"/>
  <c r="H8" i="3"/>
  <c r="B9" i="3"/>
  <c r="I8" i="3" l="1"/>
  <c r="C9" i="3" s="1"/>
  <c r="D9" i="3"/>
  <c r="E9" i="3"/>
  <c r="F9" i="3"/>
  <c r="G9" i="3"/>
  <c r="H9" i="3"/>
  <c r="B10" i="3"/>
  <c r="I9" i="3" l="1"/>
  <c r="C10" i="3" s="1"/>
  <c r="D10" i="3"/>
  <c r="E10" i="3"/>
  <c r="F10" i="3"/>
  <c r="G10" i="3"/>
  <c r="H10" i="3"/>
  <c r="B11" i="3"/>
  <c r="I10" i="3" l="1"/>
  <c r="C11" i="3" s="1"/>
  <c r="D11" i="3"/>
  <c r="E11" i="3"/>
  <c r="F11" i="3"/>
  <c r="G11" i="3"/>
  <c r="H11" i="3"/>
  <c r="B12" i="3"/>
  <c r="I11" i="3" l="1"/>
  <c r="C12" i="3"/>
  <c r="D12" i="3"/>
  <c r="E12" i="3"/>
  <c r="F12" i="3"/>
  <c r="G12" i="3"/>
  <c r="H12" i="3"/>
  <c r="I12" i="3"/>
  <c r="B13" i="3"/>
  <c r="C13" i="3" l="1"/>
  <c r="D13" i="3"/>
  <c r="E13" i="3"/>
  <c r="F13" i="3"/>
  <c r="G13" i="3"/>
  <c r="H13" i="3"/>
  <c r="I13" i="3"/>
  <c r="B14" i="3"/>
  <c r="C14" i="3" l="1"/>
  <c r="D14" i="3"/>
  <c r="E14" i="3"/>
  <c r="F14" i="3"/>
  <c r="G14" i="3"/>
  <c r="H14" i="3"/>
  <c r="I14" i="3"/>
  <c r="B15" i="3"/>
  <c r="C15" i="3" l="1"/>
  <c r="D15" i="3"/>
  <c r="E15" i="3"/>
  <c r="F15" i="3"/>
  <c r="G15" i="3"/>
  <c r="H15" i="3"/>
  <c r="I15" i="3"/>
  <c r="B16" i="3"/>
  <c r="C16" i="3" l="1"/>
  <c r="D16" i="3"/>
  <c r="E16" i="3"/>
  <c r="F16" i="3"/>
  <c r="G16" i="3"/>
  <c r="H16" i="3"/>
  <c r="I16" i="3"/>
  <c r="B17" i="3"/>
  <c r="C17" i="3" l="1"/>
  <c r="D17" i="3"/>
  <c r="E17" i="3"/>
  <c r="F17" i="3"/>
  <c r="G17" i="3"/>
  <c r="H17" i="3"/>
  <c r="I17" i="3"/>
  <c r="B18" i="3"/>
  <c r="C18" i="3" l="1"/>
  <c r="D18" i="3"/>
  <c r="E18" i="3"/>
  <c r="F18" i="3"/>
  <c r="G18" i="3"/>
  <c r="H18" i="3"/>
  <c r="I18" i="3"/>
  <c r="B19" i="3"/>
  <c r="C19" i="3" l="1"/>
  <c r="D19" i="3"/>
  <c r="E19" i="3"/>
  <c r="F19" i="3"/>
  <c r="G19" i="3"/>
  <c r="H19" i="3"/>
  <c r="I19" i="3"/>
  <c r="B20" i="3"/>
  <c r="C20" i="3" l="1"/>
  <c r="D20" i="3"/>
  <c r="E20" i="3"/>
  <c r="F20" i="3"/>
  <c r="G20" i="3"/>
  <c r="H20" i="3"/>
  <c r="I20" i="3"/>
  <c r="B21" i="3"/>
  <c r="C21" i="3" l="1"/>
  <c r="D21" i="3"/>
  <c r="E21" i="3"/>
  <c r="F21" i="3"/>
  <c r="G21" i="3"/>
  <c r="H21" i="3"/>
  <c r="I21" i="3"/>
  <c r="B22" i="3"/>
  <c r="C22" i="3" l="1"/>
  <c r="D22" i="3"/>
  <c r="E22" i="3"/>
  <c r="F22" i="3"/>
  <c r="G22" i="3"/>
  <c r="H22" i="3"/>
  <c r="I22" i="3"/>
  <c r="B23" i="3"/>
  <c r="C23" i="3" l="1"/>
  <c r="D23" i="3"/>
  <c r="E23" i="3"/>
  <c r="F23" i="3"/>
  <c r="G23" i="3"/>
  <c r="H23" i="3"/>
  <c r="I23" i="3"/>
  <c r="B24" i="3"/>
  <c r="C24" i="3" l="1"/>
  <c r="D24" i="3"/>
  <c r="E24" i="3"/>
  <c r="F24" i="3"/>
  <c r="G24" i="3"/>
  <c r="H24" i="3"/>
  <c r="I24" i="3"/>
  <c r="B25" i="3"/>
  <c r="C25" i="3" l="1"/>
  <c r="D25" i="3"/>
  <c r="E25" i="3"/>
  <c r="F25" i="3"/>
  <c r="G25" i="3"/>
  <c r="H25" i="3"/>
  <c r="I25" i="3"/>
  <c r="B26" i="3"/>
  <c r="C26" i="3" l="1"/>
  <c r="D26" i="3"/>
  <c r="E26" i="3"/>
  <c r="F26" i="3"/>
  <c r="G26" i="3"/>
  <c r="H26" i="3"/>
  <c r="I26" i="3"/>
  <c r="B27" i="3"/>
  <c r="C27" i="3" l="1"/>
  <c r="D27" i="3"/>
  <c r="E27" i="3"/>
  <c r="F27" i="3"/>
  <c r="G27" i="3"/>
  <c r="H27" i="3"/>
  <c r="I27" i="3"/>
  <c r="B28" i="3"/>
  <c r="C28" i="3" l="1"/>
  <c r="D28" i="3"/>
  <c r="E28" i="3"/>
  <c r="F28" i="3"/>
  <c r="G28" i="3"/>
  <c r="H28" i="3"/>
  <c r="I28" i="3"/>
  <c r="B29" i="3"/>
  <c r="C29" i="3" l="1"/>
  <c r="D29" i="3"/>
  <c r="E29" i="3"/>
  <c r="F29" i="3"/>
  <c r="G29" i="3"/>
  <c r="H29" i="3"/>
  <c r="I29" i="3"/>
  <c r="B30" i="3"/>
  <c r="C30" i="3" l="1"/>
  <c r="D30" i="3"/>
  <c r="E30" i="3"/>
  <c r="F30" i="3"/>
  <c r="G30" i="3"/>
  <c r="H30" i="3"/>
  <c r="I30" i="3"/>
  <c r="B31" i="3"/>
  <c r="C31" i="3" l="1"/>
  <c r="D31" i="3"/>
  <c r="E31" i="3"/>
  <c r="F31" i="3"/>
  <c r="G31" i="3"/>
  <c r="H31" i="3"/>
  <c r="I31" i="3"/>
  <c r="B32" i="3"/>
  <c r="C32" i="3" l="1"/>
  <c r="D32" i="3"/>
  <c r="E32" i="3"/>
  <c r="F32" i="3"/>
  <c r="G32" i="3"/>
  <c r="H32" i="3"/>
  <c r="I32" i="3"/>
  <c r="B33" i="3"/>
  <c r="C33" i="3" l="1"/>
  <c r="D33" i="3"/>
  <c r="E33" i="3"/>
  <c r="F33" i="3"/>
  <c r="G33" i="3"/>
  <c r="H33" i="3"/>
  <c r="I33" i="3"/>
  <c r="B34" i="3"/>
  <c r="C34" i="3" l="1"/>
  <c r="D34" i="3"/>
  <c r="E34" i="3"/>
  <c r="F34" i="3"/>
  <c r="G34" i="3"/>
  <c r="H34" i="3"/>
  <c r="I34" i="3"/>
  <c r="B35" i="3"/>
  <c r="C35" i="3" l="1"/>
  <c r="D35" i="3"/>
  <c r="E35" i="3"/>
  <c r="F35" i="3"/>
  <c r="G35" i="3"/>
  <c r="H35" i="3"/>
  <c r="I35" i="3"/>
  <c r="B36" i="3"/>
  <c r="C36" i="3" l="1"/>
  <c r="D36" i="3"/>
  <c r="E36" i="3"/>
  <c r="F36" i="3"/>
  <c r="G36" i="3"/>
  <c r="H36" i="3"/>
  <c r="I36" i="3"/>
  <c r="B37" i="3"/>
  <c r="C37" i="3" l="1"/>
  <c r="D37" i="3"/>
  <c r="E37" i="3"/>
  <c r="F37" i="3"/>
  <c r="G37" i="3"/>
  <c r="H37" i="3"/>
  <c r="I37" i="3"/>
</calcChain>
</file>

<file path=xl/sharedStrings.xml><?xml version="1.0" encoding="utf-8"?>
<sst xmlns="http://schemas.openxmlformats.org/spreadsheetml/2006/main" count="106" uniqueCount="91">
  <si>
    <t>Aflossingstabel</t>
  </si>
  <si>
    <t>Vergelijk een lening met je eigen financieringsvoorstel.</t>
  </si>
  <si>
    <t>Fictief voorbeeld. Bedragen in euro; maandelijkse betaling achteraf.</t>
  </si>
  <si>
    <t>Jouw gegevens</t>
  </si>
  <si>
    <t>Uitkomst van je lening</t>
  </si>
  <si>
    <t>Aankoopbudget</t>
  </si>
  <si>
    <t>Geleend bedrag</t>
  </si>
  <si>
    <t>Eigen inbreng</t>
  </si>
  <si>
    <t>Eerste totale maandbetaling</t>
  </si>
  <si>
    <t>Jaarrente</t>
  </si>
  <si>
    <t>Laatste totale maandbetaling</t>
  </si>
  <si>
    <t>Renteconventie</t>
  </si>
  <si>
    <t>Nominaal</t>
  </si>
  <si>
    <t>Totale interest</t>
  </si>
  <si>
    <t>Looptijd in maanden</t>
  </si>
  <si>
    <t>Eenmalige kosten vooraf</t>
  </si>
  <si>
    <t>Aflossingsmethode</t>
  </si>
  <si>
    <t>Annuïteit</t>
  </si>
  <si>
    <t>Alle kredietbetalingen</t>
  </si>
  <si>
    <t>Eerste vervaldatum</t>
  </si>
  <si>
    <t>Slottermijn</t>
  </si>
  <si>
    <t>Uitgaven incl. eigen inbreng</t>
  </si>
  <si>
    <t>Extra aflossing per maand</t>
  </si>
  <si>
    <t>Laatste vervaldatum</t>
  </si>
  <si>
    <t>Werkelijke betaalmaanden</t>
  </si>
  <si>
    <t>Lichtgeel = aanpasbaar. Vul ook nulbedragen in.</t>
  </si>
  <si>
    <t>Werkelijke slotbetaling</t>
  </si>
  <si>
    <t>Gefinancierd aandeel</t>
  </si>
  <si>
    <t>Invoercontrole</t>
  </si>
  <si>
    <t>Kapitaalcontrole</t>
  </si>
  <si>
    <t>Eindsaldo</t>
  </si>
  <si>
    <t>Te financieren</t>
  </si>
  <si>
    <t>Rente + kosten vooraf</t>
  </si>
  <si>
    <t>Maandrente</t>
  </si>
  <si>
    <t>Kapitaalcontrole en eindsaldo horen nul te zijn.</t>
  </si>
  <si>
    <t>Gewone basisbetaling</t>
  </si>
  <si>
    <t>Vast kapitaal bij lineair</t>
  </si>
  <si>
    <t>Wat verandert bij een andere rente of looptijd?</t>
  </si>
  <si>
    <t>Bij lineair: eerste gewone betaling. Zonder extra aflossing en slotbetaling.</t>
  </si>
  <si>
    <t>Bij wijziging herberekent Excel deze tabel met dezelfde overige invoer.</t>
  </si>
  <si>
    <t>Aflossingen per maand</t>
  </si>
  <si>
    <t>Rente</t>
  </si>
  <si>
    <t>Termijnen</t>
  </si>
  <si>
    <t>Basisbetaling</t>
  </si>
  <si>
    <t>Lening</t>
  </si>
  <si>
    <t>Extra / maand</t>
  </si>
  <si>
    <t>Nr.</t>
  </si>
  <si>
    <t>Vervaldatum</t>
  </si>
  <si>
    <t>Beginsaldo</t>
  </si>
  <si>
    <t>Interest</t>
  </si>
  <si>
    <t>Gewone betaling</t>
  </si>
  <si>
    <t>Gewoon kapitaal</t>
  </si>
  <si>
    <t>Extra kapitaal</t>
  </si>
  <si>
    <t>Slotbetaling</t>
  </si>
  <si>
    <t>Totale betaling</t>
  </si>
  <si>
    <t>Steekproef maand</t>
  </si>
  <si>
    <t>Maandlabel</t>
  </si>
  <si>
    <t>Maand</t>
  </si>
  <si>
    <t>Kapitaal</t>
  </si>
  <si>
    <t>Aflossingen per kalenderjaar</t>
  </si>
  <si>
    <t>Leningbetalingen per vervaldatum, exclusief kosten vooraf en eigen inbreng.</t>
  </si>
  <si>
    <t>Jaar</t>
  </si>
  <si>
    <t>Zo gebruik je deze aflossingstabel</t>
  </si>
  <si>
    <t>Begin bij je offerte</t>
  </si>
  <si>
    <t>Vul de lichtgele velden op Simulatie in. Alle voorbeeldgegevens zijn fictief. De uitkomst is een betalingsberekening, geen kredietgoedkeuring of bewijs van betaalbaarheid.</t>
  </si>
  <si>
    <t>Nominaal: jaarrente gedeeld door twaalf. Effectief: (1 + jaarrente) tot de macht 1/12, min 1. Gebruik de conventie uit je financieringsvoorstel. Ook 0% rente is toegestaan.</t>
  </si>
  <si>
    <t>Maandelijkse vervaldagen</t>
  </si>
  <si>
    <t>De eerste vervaldatum is vrij in te vullen. Elke volgende vervaldag wordt vanaf die eerste datum bepaald: dezelfde dag van de maand, of de laatste dag wanneer die dag niet bestaat. Geen verschuiving voor weekends of feestdagen.</t>
  </si>
  <si>
    <t>Betaling achteraf</t>
  </si>
  <si>
    <t>Interest wordt berekend op het beginsaldo, met een vaste maandrente. Er is geen dagpro-rata of dagelijkse interestberekening.</t>
  </si>
  <si>
    <t>Annuïteit en lineair</t>
  </si>
  <si>
    <t>Bij annuïteit is de gewone basisbetaling gelijk. Bij lineair blijft het gewone kapitaal gelijk en daalt de interest. Zonder extra aflossing wordt de laatste gewone betaling aangepast om centverschillen af te sluiten.</t>
  </si>
  <si>
    <t>Slottermijn en extra aflossing</t>
  </si>
  <si>
    <t>Extra maandelijkse aflossingen komen na de gewone betaling en kunnen de werkelijke slottermijn of looptijd verminderen. Ook in de laatste maand met extra aflossing blijft de gewone basisbetaling gelden, begrensd door de schuld. Het restant wordt de slotbetaling. Geen vervroegde-aflossingsvergoeding verondersteld.</t>
  </si>
  <si>
    <t>Kosten en totale kasuitgave</t>
  </si>
  <si>
    <t>Eenmalige kosten worden vooraf betaald en niet meegefinancierd. Totale kasuitgave project = eigen inbreng + alle kredietbetalingen + die voorafkosten.</t>
  </si>
  <si>
    <t>Wat niet berekend wordt</t>
  </si>
  <si>
    <t>Geen btw, fiscale aftrek, verzekeringen, heffingen, boetes of JKP. Neem werkelijke bijkomende kosten en contractvoorwaarden afzonderlijk mee in je kasplanning.</t>
  </si>
  <si>
    <t>Invoergrenzen</t>
  </si>
  <si>
    <t>Looptijd 1–360 hele maanden. Geldbedragen 0–1 miljard euro met maximaal twee decimalen; jaarrente 0–100%. Datums vanaf 2 januari 1900 tot en met 31 december 2099. Dit zijn modelgrenzen. Inbreng kan het aankoopbudget niet overschrijden; de slottermijn kan het leenbedrag niet overschrijden.</t>
  </si>
  <si>
    <t>Geen lening nodig</t>
  </si>
  <si>
    <t>Bij nul te financieren kapitaal zijn de kredietbetalingen nul en blijft het schema leeg. Eigen inbreng en eventuele voorafkosten blijven wel in de totale projectuitgave staan.</t>
  </si>
  <si>
    <t>Gevoeligheid</t>
  </si>
  <si>
    <t>De tabel op Simulatie verandert telkens de jaarrente en looptijd, met dezelfde overige invoer. Zet de Excel-berekeningsmodus op Automatisch, inclusief gegevenstabellen.</t>
  </si>
  <si>
    <t>Controleer je resultaat</t>
  </si>
  <si>
    <t>Het afgeloste kapitaal moet gelijk zijn aan het leenbedrag; het eindsaldo hoort nul te zijn. Vergelijk ook de vervaldagen, afronding en bijkomende voorwaarden met het schema van je kredietgever.</t>
  </si>
  <si>
    <t>Bespreek je financiering</t>
  </si>
  <si>
    <t>Meesters Accountants — www.meesters.be. Bekijk de lening samen met je ontvangsten, bestaande verplichtingen en gewenste kasbuffer.</t>
  </si>
  <si>
    <t>Online aflossingstabel</t>
  </si>
  <si>
    <t>https://www.meesters.be/tools/aflossingstabel</t>
  </si>
  <si>
    <t>https://www.meesters.be/contact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</si>
</sst>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 #,##0.00;\(&quot;€&quot;\ #,##0.00\);&quot;€&quot;\ 0.00"/>
    <numFmt numFmtId="165" formatCode="dd/mm/yyyy"/>
    <numFmt numFmtId="166" formatCode="0.0000%"/>
    <numFmt numFmtId="167" formatCode="0.0%"/>
    <numFmt numFmtId="168" formatCode="#,##0.00;\(#,##0.00\);&quot;-&quot;"/>
    <numFmt numFmtId="169" formatCode=";;;"/>
  </numFmts>
  <fonts count="14">
    <font>
      <sz val="11"/>
      <name val="Carlito"/>
    </font>
    <font>
      <sz val="11"/>
      <color rgb="FF374C60"/>
      <name val="Arial"/>
      <family val="2"/>
    </font>
    <font>
      <b/>
      <sz val="17"/>
      <color rgb="FF074373"/>
      <name val="Arial"/>
      <family val="2"/>
    </font>
    <font>
      <i/>
      <sz val="11"/>
      <color rgb="FF374C60"/>
      <name val="Arial"/>
      <family val="2"/>
    </font>
    <font>
      <b/>
      <sz val="11"/>
      <color rgb="FFFFFFFF"/>
      <name val="Arial"/>
      <family val="2"/>
    </font>
    <font>
      <sz val="11"/>
      <color rgb="FF1756A0"/>
      <name val="Arial"/>
      <family val="2"/>
    </font>
    <font>
      <b/>
      <sz val="11"/>
      <color rgb="FF374C60"/>
      <name val="Arial"/>
      <family val="2"/>
    </font>
    <font>
      <sz val="11"/>
      <color rgb="FF000000"/>
      <name val="Arial"/>
      <family val="2"/>
    </font>
    <font>
      <sz val="11"/>
      <color rgb="FF294872"/>
      <name val="Arial"/>
      <family val="2"/>
    </font>
    <font>
      <b/>
      <sz val="11"/>
      <color rgb="FF294872"/>
      <name val="Arial"/>
      <family val="2"/>
    </font>
    <font>
      <sz val="11"/>
      <color rgb="FF287548"/>
      <name val="Arial"/>
      <family val="2"/>
    </font>
    <font>
      <b/>
      <sz val="11"/>
      <color rgb="FF1756A0"/>
      <name val="Arial"/>
      <family val="2"/>
    </font>
    <font>
      <sz val="11"/>
      <color rgb="FF074373"/>
      <name val="Arial"/>
      <family val="2"/>
    </font>
    <font>
      <sz val="11"/>
      <name val="Carlito"/>
    </font>
  </fonts>
  <fills count="7">
    <fill>
      <patternFill patternType="none"/>
    </fill>
    <fill>
      <patternFill patternType="gray125"/>
    </fill>
    <fill>
      <patternFill patternType="solid">
        <fgColor rgb="FFFFFFFF"/>
      </patternFill>
    </fill>
    <fill>
      <patternFill patternType="solid">
        <fgColor rgb="FF074373"/>
      </patternFill>
    </fill>
    <fill>
      <patternFill patternType="solid">
        <fgColor rgb="FF294872"/>
      </patternFill>
    </fill>
    <fill>
      <patternFill patternType="solid">
        <fgColor rgb="FFFFF3D4"/>
      </patternFill>
    </fill>
    <fill>
      <patternFill patternType="solid">
        <fgColor rgb="FFE8EFFA"/>
      </patternFill>
    </fill>
  </fills>
  <borders count="3">
    <border>
      <left/>
      <right/>
      <top/>
      <bottom/>
      <diagonal/>
    </border>
    <border>
      <left/>
      <right/>
      <top/>
      <bottom style="thin">
        <color rgb="FFCDD9E4"/>
      </bottom>
      <diagonal/>
    </border>
    <border>
      <left/>
      <right/>
      <top style="thin">
        <color rgb="FFCDD9E4"/>
      </top>
      <bottom/>
      <diagonal/>
    </border>
  </borders>
  <cellStyleXfs count="2">
    <xf numFmtId="0" fontId="0" fillId="0" borderId="0"/>
    <xf numFmtId="0" fontId="13" fillId="0" borderId="0"/>
  </cellStyleXfs>
  <cellXfs count="40">
    <xf numFmtId="0" fontId="0" fillId="0" borderId="0" xfId="0"/>
    <xf numFmtId="0" fontId="1" fillId="2" borderId="0" xfId="1" applyFont="1" applyFill="1" applyAlignment="1">
      <alignment vertical="center"/>
    </xf>
    <xf numFmtId="0" fontId="2" fillId="2" borderId="0" xfId="1" applyFont="1" applyFill="1" applyAlignment="1">
      <alignment vertical="center"/>
    </xf>
    <xf numFmtId="0" fontId="1" fillId="2" borderId="1" xfId="1" applyFont="1" applyFill="1" applyBorder="1" applyAlignment="1">
      <alignment vertical="center"/>
    </xf>
    <xf numFmtId="0" fontId="3" fillId="2" borderId="0" xfId="1" applyFont="1" applyFill="1" applyAlignment="1">
      <alignment vertical="center"/>
    </xf>
    <xf numFmtId="0" fontId="1" fillId="3" borderId="0" xfId="1" applyFont="1" applyFill="1" applyAlignment="1">
      <alignment vertical="center"/>
    </xf>
    <xf numFmtId="0" fontId="1" fillId="3" borderId="1" xfId="1" applyFont="1" applyFill="1" applyBorder="1" applyAlignment="1">
      <alignment vertical="center"/>
    </xf>
    <xf numFmtId="0" fontId="4" fillId="4" borderId="0" xfId="1" applyFont="1" applyFill="1" applyAlignment="1">
      <alignment vertical="center"/>
    </xf>
    <xf numFmtId="0" fontId="5" fillId="5" borderId="0" xfId="1" applyFont="1" applyFill="1" applyAlignment="1">
      <alignment horizontal="right" vertical="center"/>
    </xf>
    <xf numFmtId="164" fontId="5" fillId="5" borderId="0" xfId="1" applyNumberFormat="1" applyFont="1" applyFill="1" applyAlignment="1">
      <alignment horizontal="right" vertical="center"/>
    </xf>
    <xf numFmtId="10" fontId="5" fillId="5" borderId="0" xfId="1" applyNumberFormat="1" applyFont="1" applyFill="1" applyAlignment="1">
      <alignment horizontal="right" vertical="center"/>
    </xf>
    <xf numFmtId="3" fontId="5" fillId="5" borderId="0" xfId="1" applyNumberFormat="1" applyFont="1" applyFill="1" applyAlignment="1">
      <alignment horizontal="right" vertical="center"/>
    </xf>
    <xf numFmtId="165" fontId="5" fillId="5" borderId="0" xfId="1" applyNumberFormat="1" applyFont="1" applyFill="1" applyAlignment="1">
      <alignment horizontal="right" vertical="center"/>
    </xf>
    <xf numFmtId="0" fontId="6" fillId="2" borderId="0" xfId="1" applyFont="1" applyFill="1" applyAlignment="1">
      <alignment vertical="center" wrapText="1"/>
    </xf>
    <xf numFmtId="164" fontId="1" fillId="2" borderId="0" xfId="1" applyNumberFormat="1" applyFont="1" applyFill="1" applyAlignment="1">
      <alignment vertical="center"/>
    </xf>
    <xf numFmtId="164" fontId="7" fillId="2" borderId="0" xfId="1" applyNumberFormat="1" applyFont="1" applyFill="1" applyAlignment="1">
      <alignment vertical="center"/>
    </xf>
    <xf numFmtId="166" fontId="7" fillId="2" borderId="0" xfId="1" applyNumberFormat="1" applyFont="1" applyFill="1" applyAlignment="1">
      <alignment vertical="center"/>
    </xf>
    <xf numFmtId="0" fontId="1" fillId="2" borderId="0" xfId="1" applyFont="1" applyFill="1" applyAlignment="1">
      <alignment vertical="center" wrapText="1"/>
    </xf>
    <xf numFmtId="164" fontId="8" fillId="2" borderId="0" xfId="1" applyNumberFormat="1" applyFont="1" applyFill="1" applyAlignment="1">
      <alignment horizontal="right" vertical="center"/>
    </xf>
    <xf numFmtId="165" fontId="8" fillId="2" borderId="0" xfId="1" applyNumberFormat="1" applyFont="1" applyFill="1" applyAlignment="1">
      <alignment horizontal="right" vertical="center"/>
    </xf>
    <xf numFmtId="1" fontId="8" fillId="2" borderId="0" xfId="1" applyNumberFormat="1" applyFont="1" applyFill="1" applyAlignment="1">
      <alignment horizontal="right" vertical="center"/>
    </xf>
    <xf numFmtId="167" fontId="8" fillId="2" borderId="0" xfId="1" applyNumberFormat="1" applyFont="1" applyFill="1" applyAlignment="1">
      <alignment horizontal="right" vertical="center"/>
    </xf>
    <xf numFmtId="0" fontId="9" fillId="6" borderId="2" xfId="1" applyFont="1" applyFill="1" applyBorder="1" applyAlignment="1">
      <alignment vertical="center"/>
    </xf>
    <xf numFmtId="164" fontId="9" fillId="6" borderId="2" xfId="1" applyNumberFormat="1" applyFont="1" applyFill="1" applyBorder="1" applyAlignment="1">
      <alignment horizontal="right" vertical="center"/>
    </xf>
    <xf numFmtId="0" fontId="10" fillId="2" borderId="0" xfId="1" applyFont="1" applyFill="1" applyAlignment="1">
      <alignment vertical="center"/>
    </xf>
    <xf numFmtId="164" fontId="10" fillId="2" borderId="0" xfId="1" applyNumberFormat="1" applyFont="1" applyFill="1" applyAlignment="1">
      <alignment vertical="center"/>
    </xf>
    <xf numFmtId="166" fontId="10" fillId="2" borderId="0" xfId="1" applyNumberFormat="1" applyFont="1" applyFill="1" applyAlignment="1">
      <alignment vertical="center"/>
    </xf>
    <xf numFmtId="1" fontId="10" fillId="2" borderId="0" xfId="1" applyNumberFormat="1" applyFont="1" applyFill="1" applyAlignment="1">
      <alignment vertical="center"/>
    </xf>
    <xf numFmtId="0" fontId="4" fillId="4" borderId="0" xfId="1" applyFont="1" applyFill="1" applyAlignment="1">
      <alignment horizontal="center" vertical="center" wrapText="1"/>
    </xf>
    <xf numFmtId="0" fontId="7" fillId="2" borderId="0" xfId="1" applyFont="1" applyFill="1" applyAlignment="1">
      <alignment vertical="center"/>
    </xf>
    <xf numFmtId="165" fontId="10" fillId="2" borderId="0" xfId="1" applyNumberFormat="1" applyFont="1" applyFill="1" applyAlignment="1">
      <alignment vertical="center"/>
    </xf>
    <xf numFmtId="168" fontId="7" fillId="2" borderId="0" xfId="1" applyNumberFormat="1" applyFont="1" applyFill="1" applyAlignment="1">
      <alignment vertical="center"/>
    </xf>
    <xf numFmtId="168" fontId="10" fillId="2" borderId="0" xfId="1" applyNumberFormat="1" applyFont="1" applyFill="1" applyAlignment="1">
      <alignment vertical="center"/>
    </xf>
    <xf numFmtId="168" fontId="1" fillId="2" borderId="0" xfId="1" applyNumberFormat="1" applyFont="1" applyFill="1" applyAlignment="1">
      <alignment vertical="center"/>
    </xf>
    <xf numFmtId="169" fontId="1" fillId="2" borderId="0" xfId="1" applyNumberFormat="1" applyFont="1" applyFill="1" applyAlignment="1">
      <alignment vertical="center"/>
    </xf>
    <xf numFmtId="167" fontId="11" fillId="6" borderId="0" xfId="1" applyNumberFormat="1" applyFont="1" applyFill="1" applyAlignment="1">
      <alignment horizontal="center" vertical="center"/>
    </xf>
    <xf numFmtId="1" fontId="11" fillId="6" borderId="0" xfId="1" applyNumberFormat="1" applyFont="1" applyFill="1" applyAlignment="1">
      <alignment vertical="center"/>
    </xf>
    <xf numFmtId="0" fontId="1" fillId="2" borderId="0" xfId="1" applyFont="1" applyFill="1" applyAlignment="1">
      <alignment vertical="top" wrapText="1"/>
    </xf>
    <xf numFmtId="0" fontId="6" fillId="2" borderId="0" xfId="1" applyFont="1" applyFill="1" applyAlignment="1">
      <alignment vertical="top" wrapText="1"/>
    </xf>
    <xf numFmtId="0" fontId="12" fillId="2" borderId="0" xfId="1" applyFont="1" applyFill="1" applyAlignment="1">
      <alignment vertical="center"/>
    </xf>
  </cellXfs>
  <cellStyles count="2">
    <cellStyle name="Normal" xfId="1" xr:uid="{00000000-0005-0000-0000-000000000000}"/>
    <cellStyle name="Standaard" xfId="0" builtinId="0"/>
  </cellStyles>
  <dxfs count="11">
    <dxf>
      <fill>
        <patternFill patternType="solid">
          <bgColor rgb="FFF7F9FD"/>
        </patternFill>
      </fill>
    </dxf>
    <dxf>
      <fill>
        <patternFill patternType="solid">
          <bgColor rgb="FFE8EFFA"/>
        </patternFill>
      </fill>
    </dxf>
    <dxf>
      <fill>
        <patternFill patternType="solid">
          <bgColor rgb="FFF7F9FD"/>
        </patternFill>
      </fill>
    </dxf>
    <dxf>
      <font>
        <b/>
        <color rgb="FFA12D36"/>
      </font>
      <fill>
        <patternFill patternType="solid">
          <bgColor rgb="FFFCE9E9"/>
        </patternFill>
      </fill>
    </dxf>
    <dxf>
      <numFmt numFmtId="169" formatCode=";;;"/>
      <fill>
        <patternFill patternType="solid">
          <bgColor rgb="FFF7F9FD"/>
        </patternFill>
      </fill>
    </dxf>
    <dxf>
      <font>
        <b/>
      </font>
      <fill>
        <patternFill patternType="solid">
          <bgColor rgb="FFE8EFFA"/>
        </patternFill>
      </fill>
    </dxf>
    <dxf>
      <font>
        <color rgb="FFA12D36"/>
      </font>
      <fill>
        <patternFill patternType="solid">
          <bgColor rgb="FFFCE9E9"/>
        </patternFill>
      </fill>
    </dxf>
    <dxf>
      <font>
        <color rgb="FFA12D36"/>
      </font>
      <fill>
        <patternFill patternType="solid">
          <bgColor rgb="FFFCE9E9"/>
        </patternFill>
      </fill>
    </dxf>
    <dxf>
      <font>
        <color rgb="FFA12D36"/>
      </font>
      <fill>
        <patternFill patternType="solid">
          <bgColor rgb="FFFCE9E9"/>
        </patternFill>
      </fill>
    </dxf>
    <dxf>
      <font>
        <b/>
        <color rgb="FFA12D36"/>
      </font>
    </dxf>
    <dxf>
      <font>
        <b/>
        <color rgb="FFA12D36"/>
      </font>
      <fill>
        <patternFill patternType="solid">
          <bgColor rgb="FFFCE9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c:style val="2"/>
  <c:chart>
    <c:title>
      <c:tx>
        <c:rich>
          <a:bodyPr/>
          <a:lstStyle/>
          <a:p>
            <a:r>
              <a:rPr lang="nl-BE" sz="1050">
                <a:latin typeface="Arial"/>
                <a:ea typeface="Arial"/>
                <a:cs typeface="Arial"/>
              </a:rPr>
              <a:t>Resterende schuld (euro)</a:t>
            </a:r>
          </a:p>
        </c:rich>
      </c:tx>
      <c:overlay val="0"/>
    </c:title>
    <c:autoTitleDeleted val="0"/>
    <c:plotArea>
      <c:layout/>
      <c:lineChart>
        <c:grouping val="standard"/>
        <c:varyColors val="0"/>
        <c:ser>
          <c:idx val="0"/>
          <c:order val="0"/>
          <c:tx>
            <c:v>Eindsaldo</c:v>
          </c:tx>
          <c:spPr>
            <a:ln w="19050">
              <a:solidFill>
                <a:srgbClr val="074373"/>
              </a:solidFill>
              <a:prstDash val="solid"/>
            </a:ln>
          </c:spPr>
          <c:marker>
            <c:symbol val="none"/>
          </c:marker>
          <c:cat>
            <c:strRef>
              <c:f>Aflossingen!$N$8:$N$20</c:f>
              <c:strCache>
                <c:ptCount val="13"/>
                <c:pt idx="0">
                  <c:v>Start</c:v>
                </c:pt>
                <c:pt idx="1">
                  <c:v>M5</c:v>
                </c:pt>
                <c:pt idx="2">
                  <c:v>M10</c:v>
                </c:pt>
                <c:pt idx="3">
                  <c:v>M15</c:v>
                </c:pt>
                <c:pt idx="4">
                  <c:v>M20</c:v>
                </c:pt>
                <c:pt idx="5">
                  <c:v>M25</c:v>
                </c:pt>
                <c:pt idx="6">
                  <c:v>M30</c:v>
                </c:pt>
                <c:pt idx="7">
                  <c:v>M35</c:v>
                </c:pt>
                <c:pt idx="8">
                  <c:v>M40</c:v>
                </c:pt>
                <c:pt idx="9">
                  <c:v>M45</c:v>
                </c:pt>
                <c:pt idx="10">
                  <c:v>M50</c:v>
                </c:pt>
                <c:pt idx="11">
                  <c:v>M55</c:v>
                </c:pt>
                <c:pt idx="12">
                  <c:v>M60</c:v>
                </c:pt>
              </c:strCache>
            </c:strRef>
          </c:cat>
          <c:val>
            <c:numRef>
              <c:f>Aflossingen!$O$8:$O$20</c:f>
              <c:numCache>
                <c:formatCode>#,##0.00;\(#,##0.00\);"-"</c:formatCode>
                <c:ptCount val="13"/>
                <c:pt idx="0">
                  <c:v>60000</c:v>
                </c:pt>
                <c:pt idx="1">
                  <c:v>55551.73</c:v>
                </c:pt>
                <c:pt idx="2">
                  <c:v>51010.02</c:v>
                </c:pt>
                <c:pt idx="3">
                  <c:v>46372.9</c:v>
                </c:pt>
                <c:pt idx="4">
                  <c:v>41638.36</c:v>
                </c:pt>
                <c:pt idx="5">
                  <c:v>36804.36</c:v>
                </c:pt>
                <c:pt idx="6">
                  <c:v>31868.799999999999</c:v>
                </c:pt>
                <c:pt idx="7">
                  <c:v>26829.56</c:v>
                </c:pt>
                <c:pt idx="8">
                  <c:v>21684.47</c:v>
                </c:pt>
                <c:pt idx="9">
                  <c:v>16431.28</c:v>
                </c:pt>
                <c:pt idx="10">
                  <c:v>11067.73</c:v>
                </c:pt>
                <c:pt idx="11">
                  <c:v>5591.52</c:v>
                </c:pt>
                <c:pt idx="12">
                  <c:v>0</c:v>
                </c:pt>
              </c:numCache>
            </c:numRef>
          </c:val>
          <c:smooth val="0"/>
          <c:extLst>
            <c:ext xmlns:c16="http://schemas.microsoft.com/office/drawing/2014/chart" uri="{C3380CC4-5D6E-409C-BE32-E72D297353CC}">
              <c16:uniqueId val="{00000000-A6D5-424E-9E65-5E7C0C6E321F}"/>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txPr>
          <a:bodyPr anchorCtr="1"/>
          <a:lstStyle/>
          <a:p>
            <a:pPr>
              <a:defRPr sz="825">
                <a:latin typeface="Arial"/>
                <a:ea typeface="Arial"/>
                <a:cs typeface="Arial"/>
              </a:defRPr>
            </a:pPr>
            <a:endParaRPr lang="nl-BE"/>
          </a:p>
        </c:txPr>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txPr>
          <a:bodyPr anchorCtr="1"/>
          <a:lstStyle/>
          <a:p>
            <a:pPr>
              <a:defRPr sz="825">
                <a:latin typeface="Arial"/>
                <a:ea typeface="Arial"/>
                <a:cs typeface="Arial"/>
              </a:defRPr>
            </a:pPr>
            <a:endParaRPr lang="nl-BE"/>
          </a:p>
        </c:txPr>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c:style val="2"/>
  <c:chart>
    <c:title>
      <c:tx>
        <c:rich>
          <a:bodyPr/>
          <a:lstStyle/>
          <a:p>
            <a:r>
              <a:rPr sz="1050">
                <a:latin typeface="Arial"/>
                <a:ea typeface="Arial"/>
                <a:cs typeface="Arial"/>
              </a:rPr>
              <a:t>Eerste twaalf maandbetalingen (euro)</a:t>
            </a:r>
          </a:p>
        </c:rich>
      </c:tx>
      <c:overlay val="0"/>
    </c:title>
    <c:autoTitleDeleted val="0"/>
    <c:plotArea>
      <c:layout/>
      <c:barChart>
        <c:barDir val="col"/>
        <c:grouping val="clustered"/>
        <c:varyColors val="0"/>
        <c:ser>
          <c:idx val="0"/>
          <c:order val="0"/>
          <c:tx>
            <c:v>Kapitaal</c:v>
          </c:tx>
          <c:spPr>
            <a:solidFill>
              <a:srgbClr val="074373"/>
            </a:solidFill>
          </c:spPr>
          <c:invertIfNegative val="0"/>
          <c:cat>
            <c:strRef>
              <c:f>Aflossingen!$M$25:$M$36</c:f>
              <c:strCache>
                <c:ptCount val="12"/>
                <c:pt idx="0">
                  <c:v>M1</c:v>
                </c:pt>
                <c:pt idx="1">
                  <c:v>M2</c:v>
                </c:pt>
                <c:pt idx="2">
                  <c:v>M3</c:v>
                </c:pt>
                <c:pt idx="3">
                  <c:v>M4</c:v>
                </c:pt>
                <c:pt idx="4">
                  <c:v>M5</c:v>
                </c:pt>
                <c:pt idx="5">
                  <c:v>M6</c:v>
                </c:pt>
                <c:pt idx="6">
                  <c:v>M7</c:v>
                </c:pt>
                <c:pt idx="7">
                  <c:v>M8</c:v>
                </c:pt>
                <c:pt idx="8">
                  <c:v>M9</c:v>
                </c:pt>
                <c:pt idx="9">
                  <c:v>M10</c:v>
                </c:pt>
                <c:pt idx="10">
                  <c:v>M11</c:v>
                </c:pt>
                <c:pt idx="11">
                  <c:v>M12</c:v>
                </c:pt>
              </c:strCache>
            </c:strRef>
          </c:cat>
          <c:val>
            <c:numRef>
              <c:f>Aflossingen!$N$25:$N$36</c:f>
              <c:numCache>
                <c:formatCode>#,##0.00;\(#,##0.00\);"-"</c:formatCode>
                <c:ptCount val="12"/>
                <c:pt idx="0">
                  <c:v>882.27</c:v>
                </c:pt>
                <c:pt idx="1">
                  <c:v>885.95</c:v>
                </c:pt>
                <c:pt idx="2">
                  <c:v>889.64</c:v>
                </c:pt>
                <c:pt idx="3">
                  <c:v>893.34</c:v>
                </c:pt>
                <c:pt idx="4">
                  <c:v>897.07</c:v>
                </c:pt>
                <c:pt idx="5">
                  <c:v>900.8</c:v>
                </c:pt>
                <c:pt idx="6">
                  <c:v>904.56</c:v>
                </c:pt>
                <c:pt idx="7">
                  <c:v>908.33</c:v>
                </c:pt>
                <c:pt idx="8">
                  <c:v>912.11</c:v>
                </c:pt>
                <c:pt idx="9">
                  <c:v>915.91</c:v>
                </c:pt>
                <c:pt idx="10">
                  <c:v>919.73</c:v>
                </c:pt>
                <c:pt idx="11">
                  <c:v>923.56</c:v>
                </c:pt>
              </c:numCache>
            </c:numRef>
          </c:val>
          <c:extLst>
            <c:ext xmlns:c16="http://schemas.microsoft.com/office/drawing/2014/chart" uri="{C3380CC4-5D6E-409C-BE32-E72D297353CC}">
              <c16:uniqueId val="{00000000-1364-9240-B3F6-C8F5C620A5C2}"/>
            </c:ext>
          </c:extLst>
        </c:ser>
        <c:ser>
          <c:idx val="1"/>
          <c:order val="1"/>
          <c:tx>
            <c:v>Interest</c:v>
          </c:tx>
          <c:spPr>
            <a:solidFill>
              <a:srgbClr val="8FA9C5"/>
            </a:solidFill>
          </c:spPr>
          <c:invertIfNegative val="0"/>
          <c:cat>
            <c:strRef>
              <c:f>Aflossingen!$M$25:$M$36</c:f>
              <c:strCache>
                <c:ptCount val="12"/>
                <c:pt idx="0">
                  <c:v>M1</c:v>
                </c:pt>
                <c:pt idx="1">
                  <c:v>M2</c:v>
                </c:pt>
                <c:pt idx="2">
                  <c:v>M3</c:v>
                </c:pt>
                <c:pt idx="3">
                  <c:v>M4</c:v>
                </c:pt>
                <c:pt idx="4">
                  <c:v>M5</c:v>
                </c:pt>
                <c:pt idx="5">
                  <c:v>M6</c:v>
                </c:pt>
                <c:pt idx="6">
                  <c:v>M7</c:v>
                </c:pt>
                <c:pt idx="7">
                  <c:v>M8</c:v>
                </c:pt>
                <c:pt idx="8">
                  <c:v>M9</c:v>
                </c:pt>
                <c:pt idx="9">
                  <c:v>M10</c:v>
                </c:pt>
                <c:pt idx="10">
                  <c:v>M11</c:v>
                </c:pt>
                <c:pt idx="11">
                  <c:v>M12</c:v>
                </c:pt>
              </c:strCache>
            </c:strRef>
          </c:cat>
          <c:val>
            <c:numRef>
              <c:f>Aflossingen!$O$25:$O$36</c:f>
              <c:numCache>
                <c:formatCode>#,##0.00;\(#,##0.00\);"-"</c:formatCode>
                <c:ptCount val="12"/>
                <c:pt idx="0">
                  <c:v>250</c:v>
                </c:pt>
                <c:pt idx="1">
                  <c:v>246.32</c:v>
                </c:pt>
                <c:pt idx="2">
                  <c:v>242.63</c:v>
                </c:pt>
                <c:pt idx="3">
                  <c:v>238.93</c:v>
                </c:pt>
                <c:pt idx="4">
                  <c:v>235.2</c:v>
                </c:pt>
                <c:pt idx="5">
                  <c:v>231.47</c:v>
                </c:pt>
                <c:pt idx="6">
                  <c:v>227.71</c:v>
                </c:pt>
                <c:pt idx="7">
                  <c:v>223.94</c:v>
                </c:pt>
                <c:pt idx="8">
                  <c:v>220.16</c:v>
                </c:pt>
                <c:pt idx="9">
                  <c:v>216.36</c:v>
                </c:pt>
                <c:pt idx="10">
                  <c:v>212.54</c:v>
                </c:pt>
                <c:pt idx="11">
                  <c:v>208.71</c:v>
                </c:pt>
              </c:numCache>
            </c:numRef>
          </c:val>
          <c:extLst>
            <c:ext xmlns:c16="http://schemas.microsoft.com/office/drawing/2014/chart" uri="{C3380CC4-5D6E-409C-BE32-E72D297353CC}">
              <c16:uniqueId val="{00000001-1364-9240-B3F6-C8F5C620A5C2}"/>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txPr>
          <a:bodyPr anchorCtr="1"/>
          <a:lstStyle/>
          <a:p>
            <a:pPr>
              <a:defRPr sz="825">
                <a:latin typeface="Arial"/>
                <a:ea typeface="Arial"/>
                <a:cs typeface="Arial"/>
              </a:defRPr>
            </a:pPr>
            <a:endParaRPr lang="nl-BE"/>
          </a:p>
        </c:txPr>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txPr>
          <a:bodyPr anchorCtr="1"/>
          <a:lstStyle/>
          <a:p>
            <a:pPr>
              <a:defRPr sz="825">
                <a:latin typeface="Arial"/>
                <a:ea typeface="Arial"/>
                <a:cs typeface="Arial"/>
              </a:defRPr>
            </a:pPr>
            <a:endParaRPr lang="nl-BE"/>
          </a:p>
        </c:txPr>
        <c:crossAx val="48650112"/>
        <c:crosses val="autoZero"/>
        <c:crossBetween val="between"/>
      </c:valAx>
    </c:plotArea>
    <c:legend>
      <c:legendPos val="t"/>
      <c:overlay val="0"/>
      <c:txPr>
        <a:bodyPr anchorCtr="1"/>
        <a:lstStyle/>
        <a:p>
          <a:pPr>
            <a:defRPr sz="825">
              <a:latin typeface="Arial"/>
              <a:ea typeface="Arial"/>
              <a:cs typeface="Arial"/>
            </a:defRPr>
          </a:pPr>
          <a:endParaRPr lang="nl-BE"/>
        </a:p>
      </c:txPr>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0</xdr:colOff>
      <xdr:row>27</xdr:row>
      <xdr:rowOff>0</xdr:rowOff>
    </xdr:from>
    <xdr:to>
      <xdr:col>7</xdr:col>
      <xdr:colOff>0</xdr:colOff>
      <xdr:row>41</xdr:row>
      <xdr:rowOff>0</xdr:rowOff>
    </xdr:to>
    <xdr:graphicFrame macro="">
      <xdr:nvGraphicFramePr>
        <xdr:cNvPr id="2" nam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4</xdr:col>
      <xdr:colOff>171450</xdr:colOff>
      <xdr:row>0</xdr:row>
      <xdr:rowOff>114300</xdr:rowOff>
    </xdr:from>
    <xdr:ext cx="1952625" cy="415762"/>
    <xdr:pic>
      <xdr:nvPicPr>
        <xdr:cNvPr id="3" name="6464dbbb-daa9-4e65-9619-bfa0b6a83d6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40</xdr:row>
      <xdr:rowOff>0</xdr:rowOff>
    </xdr:from>
    <xdr:to>
      <xdr:col>9</xdr:col>
      <xdr:colOff>0</xdr:colOff>
      <xdr:row>57</xdr:row>
      <xdr:rowOff>0</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74373"/>
  </sheetPr>
  <dimension ref="A1:H55"/>
  <sheetViews>
    <sheetView showGridLines="0" tabSelected="1" workbookViewId="0"/>
  </sheetViews>
  <sheetFormatPr baseColWidth="10" defaultColWidth="8.83203125" defaultRowHeight="14"/>
  <cols>
    <col min="1" max="1" width="3" customWidth="1"/>
    <col min="2" max="2" width="36" customWidth="1"/>
    <col min="3" max="3" width="22" customWidth="1"/>
    <col min="4" max="4" width="18" customWidth="1"/>
    <col min="5" max="5" width="36" customWidth="1"/>
    <col min="6" max="6" width="22" customWidth="1"/>
    <col min="7" max="7" width="18" customWidth="1"/>
    <col min="8" max="8" width="3" customWidth="1"/>
  </cols>
  <sheetData>
    <row r="1" spans="1:8" ht="23" customHeight="1">
      <c r="A1" s="1"/>
      <c r="B1" s="1"/>
      <c r="C1" s="1"/>
      <c r="D1" s="1"/>
      <c r="E1" s="5"/>
      <c r="F1" s="5"/>
      <c r="G1" s="1"/>
      <c r="H1" s="1"/>
    </row>
    <row r="2" spans="1:8" ht="23" customHeight="1">
      <c r="A2" s="1"/>
      <c r="B2" s="2" t="s">
        <v>0</v>
      </c>
      <c r="C2" s="1"/>
      <c r="D2" s="1"/>
      <c r="E2" s="5"/>
      <c r="F2" s="5"/>
      <c r="G2" s="1"/>
      <c r="H2" s="1"/>
    </row>
    <row r="3" spans="1:8" ht="23" customHeight="1">
      <c r="A3" s="1"/>
      <c r="B3" s="3"/>
      <c r="C3" s="3"/>
      <c r="D3" s="3"/>
      <c r="E3" s="6"/>
      <c r="F3" s="6"/>
      <c r="G3" s="3"/>
      <c r="H3" s="1"/>
    </row>
    <row r="4" spans="1:8" ht="23" customHeight="1">
      <c r="A4" s="1"/>
      <c r="B4" s="4" t="s">
        <v>1</v>
      </c>
      <c r="C4" s="4"/>
      <c r="D4" s="4"/>
      <c r="E4" s="4"/>
      <c r="F4" s="4"/>
      <c r="G4" s="1"/>
      <c r="H4" s="1"/>
    </row>
    <row r="5" spans="1:8" ht="23" customHeight="1">
      <c r="A5" s="1"/>
      <c r="B5" s="4" t="s">
        <v>2</v>
      </c>
      <c r="C5" s="4"/>
      <c r="D5" s="4"/>
      <c r="E5" s="4"/>
      <c r="F5" s="4"/>
      <c r="G5" s="1"/>
      <c r="H5" s="1"/>
    </row>
    <row r="6" spans="1:8" ht="23" customHeight="1">
      <c r="A6" s="1"/>
      <c r="B6" s="1"/>
      <c r="C6" s="1"/>
      <c r="D6" s="1"/>
      <c r="E6" s="1"/>
      <c r="F6" s="1"/>
      <c r="G6" s="1"/>
      <c r="H6" s="1"/>
    </row>
    <row r="7" spans="1:8" ht="27" customHeight="1">
      <c r="A7" s="1"/>
      <c r="B7" s="7" t="s">
        <v>3</v>
      </c>
      <c r="C7" s="7"/>
      <c r="D7" s="1"/>
      <c r="E7" s="7" t="s">
        <v>4</v>
      </c>
      <c r="F7" s="7"/>
      <c r="G7" s="1"/>
      <c r="H7" s="1"/>
    </row>
    <row r="8" spans="1:8" ht="27" customHeight="1">
      <c r="A8" s="1"/>
      <c r="B8" s="1" t="s">
        <v>5</v>
      </c>
      <c r="C8" s="9">
        <v>75000</v>
      </c>
      <c r="D8" s="1"/>
      <c r="E8" s="1" t="s">
        <v>6</v>
      </c>
      <c r="F8" s="18">
        <f>IF($C$20="Invoer geldig",$C$22,"")</f>
        <v>60000</v>
      </c>
      <c r="G8" s="1"/>
      <c r="H8" s="1"/>
    </row>
    <row r="9" spans="1:8" ht="27" customHeight="1">
      <c r="A9" s="1"/>
      <c r="B9" s="1" t="s">
        <v>7</v>
      </c>
      <c r="C9" s="9">
        <v>15000</v>
      </c>
      <c r="D9" s="1"/>
      <c r="E9" s="1" t="s">
        <v>8</v>
      </c>
      <c r="F9" s="18">
        <f>IF($C$20&lt;&gt;"Invoer geldig","",IF($C$22=0,0,Aflossingen!J8))</f>
        <v>1132.27</v>
      </c>
      <c r="G9" s="1"/>
      <c r="H9" s="1"/>
    </row>
    <row r="10" spans="1:8" ht="27" customHeight="1">
      <c r="A10" s="1"/>
      <c r="B10" s="1" t="s">
        <v>9</v>
      </c>
      <c r="C10" s="10">
        <v>0.05</v>
      </c>
      <c r="D10" s="1"/>
      <c r="E10" s="1" t="s">
        <v>10</v>
      </c>
      <c r="F10" s="18">
        <f>IF($C$20&lt;&gt;"Invoer geldig","",IF(F17=0,0,INDEX(Aflossingen!J8:J367,F17)))</f>
        <v>1132.54</v>
      </c>
      <c r="G10" s="1"/>
      <c r="H10" s="1"/>
    </row>
    <row r="11" spans="1:8" ht="27" customHeight="1">
      <c r="A11" s="1"/>
      <c r="B11" s="1" t="s">
        <v>11</v>
      </c>
      <c r="C11" s="8" t="s">
        <v>12</v>
      </c>
      <c r="D11" s="1"/>
      <c r="E11" s="1" t="s">
        <v>13</v>
      </c>
      <c r="F11" s="18">
        <f>IF($C$20="Invoer geldig",ROUND(SUM(Aflossingen!E8:E367),2),"")</f>
        <v>7936.47</v>
      </c>
      <c r="G11" s="1"/>
      <c r="H11" s="1"/>
    </row>
    <row r="12" spans="1:8" ht="27" customHeight="1">
      <c r="A12" s="1"/>
      <c r="B12" s="1" t="s">
        <v>14</v>
      </c>
      <c r="C12" s="11">
        <v>60</v>
      </c>
      <c r="D12" s="1"/>
      <c r="E12" s="1" t="s">
        <v>15</v>
      </c>
      <c r="F12" s="18">
        <f>IF($C$20="Invoer geldig",$C$17,"")</f>
        <v>0</v>
      </c>
      <c r="G12" s="1"/>
      <c r="H12" s="1"/>
    </row>
    <row r="13" spans="1:8" ht="27" customHeight="1">
      <c r="A13" s="1"/>
      <c r="B13" s="1" t="s">
        <v>16</v>
      </c>
      <c r="C13" s="8" t="s">
        <v>17</v>
      </c>
      <c r="D13" s="1"/>
      <c r="E13" s="1" t="s">
        <v>18</v>
      </c>
      <c r="F13" s="18">
        <f>IF($C$20="Invoer geldig",ROUND(SUM(Aflossingen!J8:J367),2),"")</f>
        <v>67936.47</v>
      </c>
      <c r="G13" s="1"/>
      <c r="H13" s="1"/>
    </row>
    <row r="14" spans="1:8" ht="27" customHeight="1">
      <c r="A14" s="1"/>
      <c r="B14" s="1" t="s">
        <v>19</v>
      </c>
      <c r="C14" s="12">
        <v>46418</v>
      </c>
      <c r="D14" s="1"/>
      <c r="E14" s="1" t="s">
        <v>7</v>
      </c>
      <c r="F14" s="18">
        <f>IF($C$20="Invoer geldig",$C$9,"")</f>
        <v>15000</v>
      </c>
      <c r="G14" s="1"/>
      <c r="H14" s="1"/>
    </row>
    <row r="15" spans="1:8" ht="30" customHeight="1">
      <c r="A15" s="1"/>
      <c r="B15" s="1" t="s">
        <v>20</v>
      </c>
      <c r="C15" s="9">
        <v>0</v>
      </c>
      <c r="D15" s="1"/>
      <c r="E15" s="22" t="s">
        <v>21</v>
      </c>
      <c r="F15" s="23">
        <f>IF($C$20="Invoer geldig",ROUND(SUM(F12:F14),2),"")</f>
        <v>82936.47</v>
      </c>
      <c r="G15" s="1"/>
      <c r="H15" s="1"/>
    </row>
    <row r="16" spans="1:8" ht="27" customHeight="1">
      <c r="A16" s="1"/>
      <c r="B16" s="1" t="s">
        <v>22</v>
      </c>
      <c r="C16" s="9">
        <v>0</v>
      </c>
      <c r="D16" s="1"/>
      <c r="E16" s="1" t="s">
        <v>23</v>
      </c>
      <c r="F16" s="19">
        <f>IF($C$20&lt;&gt;"Invoer geldig","",IF(F17=0,"",INDEX(Aflossingen!C8:C367,F17)))</f>
        <v>48213</v>
      </c>
      <c r="G16" s="1"/>
      <c r="H16" s="1"/>
    </row>
    <row r="17" spans="1:8" ht="27" customHeight="1">
      <c r="A17" s="1"/>
      <c r="B17" s="1" t="s">
        <v>15</v>
      </c>
      <c r="C17" s="9">
        <v>0</v>
      </c>
      <c r="D17" s="1"/>
      <c r="E17" s="1" t="s">
        <v>24</v>
      </c>
      <c r="F17" s="20">
        <f>IF($C$20="Invoer geldig",COUNT(Aflossingen!B8:B367),"")</f>
        <v>60</v>
      </c>
      <c r="G17" s="1"/>
      <c r="H17" s="1"/>
    </row>
    <row r="18" spans="1:8" ht="23" customHeight="1">
      <c r="A18" s="1"/>
      <c r="B18" s="4" t="s">
        <v>25</v>
      </c>
      <c r="C18" s="4"/>
      <c r="D18" s="1"/>
      <c r="E18" s="1" t="s">
        <v>26</v>
      </c>
      <c r="F18" s="18">
        <f>IF($C$20="Invoer geldig",SUM(Aflossingen!I8:I367),"")</f>
        <v>0</v>
      </c>
      <c r="G18" s="1"/>
      <c r="H18" s="1"/>
    </row>
    <row r="19" spans="1:8" ht="23" customHeight="1">
      <c r="A19" s="1"/>
      <c r="B19" s="1"/>
      <c r="C19" s="1"/>
      <c r="D19" s="1"/>
      <c r="E19" s="1" t="s">
        <v>27</v>
      </c>
      <c r="F19" s="21">
        <f>IF($C$20&lt;&gt;"Invoer geldig","",IF($C$8=0,0,$C$22/$C$8))</f>
        <v>0.8</v>
      </c>
      <c r="G19" s="1"/>
      <c r="H19" s="1"/>
    </row>
    <row r="20" spans="1:8" ht="38" customHeight="1">
      <c r="A20" s="1"/>
      <c r="B20" s="1" t="s">
        <v>28</v>
      </c>
      <c r="C20" s="13" t="str">
        <f>IF(COUNT(C8:C10,C12,C14:C17)&lt;&gt;8,"Vul alle getallen in",IF(OR(C8&lt;0,C9&lt;0,C15&lt;0,C16&lt;0,C17&lt;0,C8&gt;1000000000,C9&gt;1000000000,C15&gt;1000000000,C16&gt;1000000000,C17&gt;1000000000),"Controleer bedragen",IF(OR(C9&gt;C8,C15&gt;C8-C9),"Controleer inbreng / slot",IF(OR(ROUND(C8,2)&lt;&gt;C8,ROUND(C9,2)&lt;&gt;C9,ROUND(C15,2)&lt;&gt;C15,ROUND(C16,2)&lt;&gt;C16,ROUND(C17,2)&lt;&gt;C17),"Gebruik maximaal 2 decimalen",IF(OR(C10&lt;0,C10&gt;1),"Rente tussen 0% en 100%",IF(OR(C12&lt;1,C12&gt;360,INT(C12)&lt;&gt;C12),"Looptijd: 1–360 maanden",IF(OR(C14&lt;2,C14&gt;73050,INT(C14)&lt;&gt;C14),"Controleer vervaldatum",IF(AND(C11&lt;&gt;"Nominaal",C11&lt;&gt;"Effectief"),"Kies renteconventie",IF(AND(C13&lt;&gt;"Annuïteit",C13&lt;&gt;"Lineair"),"Kies aflossingsmethode","Invoer geldig")))))))))</f>
        <v>Invoer geldig</v>
      </c>
      <c r="D20" s="1"/>
      <c r="E20" s="1" t="s">
        <v>29</v>
      </c>
      <c r="F20" s="18">
        <f>IF($C$20="Invoer geldig",ROUND(SUM(Aflossingen!G8:I367)-$C$22,2),"")</f>
        <v>0</v>
      </c>
      <c r="G20" s="1"/>
      <c r="H20" s="1"/>
    </row>
    <row r="21" spans="1:8" ht="23" customHeight="1">
      <c r="A21" s="1"/>
      <c r="B21" s="1"/>
      <c r="C21" s="1"/>
      <c r="D21" s="1"/>
      <c r="E21" s="1" t="s">
        <v>30</v>
      </c>
      <c r="F21" s="18">
        <f>IF($C$20&lt;&gt;"Invoer geldig","",IF(F17=0,0,INDEX(Aflossingen!K8:K367,F17)))</f>
        <v>0</v>
      </c>
      <c r="G21" s="1"/>
      <c r="H21" s="1"/>
    </row>
    <row r="22" spans="1:8" ht="23" customHeight="1">
      <c r="A22" s="1"/>
      <c r="B22" s="1" t="s">
        <v>31</v>
      </c>
      <c r="C22" s="15">
        <f>IF(C20="Invoer geldig",ROUND(C8-C9,2),"")</f>
        <v>60000</v>
      </c>
      <c r="D22" s="1"/>
      <c r="E22" s="1" t="s">
        <v>32</v>
      </c>
      <c r="F22" s="14">
        <f>IF($C$20="Invoer geldig",SUM(F11:F12),"")</f>
        <v>7936.47</v>
      </c>
      <c r="G22" s="1"/>
      <c r="H22" s="1"/>
    </row>
    <row r="23" spans="1:8" ht="23" customHeight="1">
      <c r="A23" s="1"/>
      <c r="B23" s="1" t="s">
        <v>33</v>
      </c>
      <c r="C23" s="16">
        <f>IF(C20="Invoer geldig",IF(C11="Nominaal",C10/12,(1+C10)^(1/12)-1),"")</f>
        <v>4.1666666666666666E-3</v>
      </c>
      <c r="D23" s="1"/>
      <c r="E23" s="4" t="s">
        <v>34</v>
      </c>
      <c r="F23" s="4"/>
      <c r="G23" s="1"/>
      <c r="H23" s="1"/>
    </row>
    <row r="24" spans="1:8" ht="32" customHeight="1">
      <c r="A24" s="1"/>
      <c r="B24" s="17" t="s">
        <v>35</v>
      </c>
      <c r="C24" s="15">
        <f>IF(C20&lt;&gt;"Invoer geldig","",IF(C22=0,0,IF(C13="Lineair",C25+ROUND(C22*C23,2),IF(C23=0,ROUND((C22-C15)/C12,2),ROUND(-PMT(C23,C12,C22,-C15,0),2)))))</f>
        <v>1132.27</v>
      </c>
      <c r="D24" s="1"/>
      <c r="E24" s="4"/>
      <c r="F24" s="4"/>
      <c r="G24" s="1"/>
      <c r="H24" s="1"/>
    </row>
    <row r="25" spans="1:8" ht="32" customHeight="1">
      <c r="A25" s="1"/>
      <c r="B25" s="17" t="s">
        <v>36</v>
      </c>
      <c r="C25" s="15">
        <f>IF(C20="Invoer geldig",ROUND((C22-C15)/C12,2),"")</f>
        <v>1000</v>
      </c>
      <c r="D25" s="1"/>
      <c r="E25" s="1"/>
      <c r="F25" s="1"/>
      <c r="G25" s="1"/>
      <c r="H25" s="1"/>
    </row>
    <row r="26" spans="1:8" ht="23" customHeight="1">
      <c r="A26" s="1"/>
      <c r="B26" s="1"/>
      <c r="C26" s="1"/>
      <c r="D26" s="1"/>
      <c r="E26" s="1"/>
      <c r="F26" s="1"/>
      <c r="G26" s="1"/>
      <c r="H26" s="1"/>
    </row>
    <row r="27" spans="1:8" ht="23" customHeight="1">
      <c r="A27" s="1"/>
      <c r="B27" s="1"/>
      <c r="C27" s="1"/>
      <c r="D27" s="1"/>
      <c r="E27" s="1"/>
      <c r="F27" s="1"/>
      <c r="G27" s="1"/>
      <c r="H27" s="1"/>
    </row>
    <row r="28" spans="1:8" ht="23" customHeight="1">
      <c r="A28" s="1"/>
      <c r="B28" s="1"/>
      <c r="C28" s="1"/>
      <c r="D28" s="1"/>
      <c r="E28" s="1"/>
      <c r="F28" s="1"/>
      <c r="G28" s="1"/>
      <c r="H28" s="1"/>
    </row>
    <row r="29" spans="1:8" ht="23" customHeight="1">
      <c r="A29" s="1"/>
      <c r="B29" s="1"/>
      <c r="C29" s="1"/>
      <c r="D29" s="1"/>
      <c r="E29" s="1"/>
      <c r="F29" s="1"/>
      <c r="G29" s="1"/>
      <c r="H29" s="1"/>
    </row>
    <row r="30" spans="1:8" ht="23" customHeight="1">
      <c r="A30" s="1"/>
      <c r="B30" s="1"/>
      <c r="C30" s="1"/>
      <c r="D30" s="1"/>
      <c r="E30" s="1"/>
      <c r="F30" s="1"/>
      <c r="G30" s="1"/>
      <c r="H30" s="1"/>
    </row>
    <row r="31" spans="1:8" ht="23" customHeight="1">
      <c r="A31" s="1"/>
      <c r="B31" s="1"/>
      <c r="C31" s="1"/>
      <c r="D31" s="1"/>
      <c r="E31" s="1"/>
      <c r="F31" s="1"/>
      <c r="G31" s="1"/>
      <c r="H31" s="1"/>
    </row>
    <row r="32" spans="1:8" ht="23" customHeight="1">
      <c r="A32" s="1"/>
      <c r="B32" s="1"/>
      <c r="C32" s="1"/>
      <c r="D32" s="1"/>
      <c r="E32" s="1"/>
      <c r="F32" s="1"/>
      <c r="G32" s="1"/>
      <c r="H32" s="1"/>
    </row>
    <row r="33" spans="1:8" ht="23" customHeight="1">
      <c r="A33" s="1"/>
      <c r="B33" s="1"/>
      <c r="C33" s="1"/>
      <c r="D33" s="1"/>
      <c r="E33" s="1"/>
      <c r="F33" s="1"/>
      <c r="G33" s="1"/>
      <c r="H33" s="1"/>
    </row>
    <row r="34" spans="1:8" ht="23" customHeight="1">
      <c r="A34" s="1"/>
      <c r="B34" s="1"/>
      <c r="C34" s="1"/>
      <c r="D34" s="1"/>
      <c r="E34" s="1"/>
      <c r="F34" s="1"/>
      <c r="G34" s="1"/>
      <c r="H34" s="1"/>
    </row>
    <row r="35" spans="1:8" ht="23" customHeight="1">
      <c r="A35" s="1"/>
      <c r="B35" s="1"/>
      <c r="C35" s="1"/>
      <c r="D35" s="1"/>
      <c r="E35" s="1"/>
      <c r="F35" s="1"/>
      <c r="G35" s="1"/>
      <c r="H35" s="1"/>
    </row>
    <row r="36" spans="1:8" ht="23" customHeight="1">
      <c r="A36" s="1"/>
      <c r="B36" s="1"/>
      <c r="C36" s="1"/>
      <c r="D36" s="1"/>
      <c r="E36" s="1"/>
      <c r="F36" s="1"/>
      <c r="G36" s="1"/>
      <c r="H36" s="1"/>
    </row>
    <row r="37" spans="1:8" ht="23" customHeight="1">
      <c r="A37" s="1"/>
      <c r="B37" s="1"/>
      <c r="C37" s="1"/>
      <c r="D37" s="1"/>
      <c r="E37" s="1"/>
      <c r="F37" s="1"/>
      <c r="G37" s="1"/>
      <c r="H37" s="1"/>
    </row>
    <row r="38" spans="1:8" ht="23" customHeight="1">
      <c r="A38" s="1"/>
      <c r="B38" s="1"/>
      <c r="C38" s="1"/>
      <c r="D38" s="1"/>
      <c r="E38" s="1"/>
      <c r="F38" s="1"/>
      <c r="G38" s="1"/>
      <c r="H38" s="1"/>
    </row>
    <row r="39" spans="1:8" ht="23" customHeight="1">
      <c r="A39" s="1"/>
      <c r="B39" s="1"/>
      <c r="C39" s="1"/>
      <c r="D39" s="1"/>
      <c r="E39" s="1"/>
      <c r="F39" s="1"/>
      <c r="G39" s="1"/>
      <c r="H39" s="1"/>
    </row>
    <row r="40" spans="1:8" ht="23" customHeight="1">
      <c r="A40" s="1"/>
      <c r="B40" s="1"/>
      <c r="C40" s="1"/>
      <c r="D40" s="1"/>
      <c r="E40" s="1"/>
      <c r="F40" s="1"/>
      <c r="G40" s="1"/>
      <c r="H40" s="1"/>
    </row>
    <row r="41" spans="1:8" ht="23" customHeight="1">
      <c r="A41" s="1"/>
      <c r="B41" s="1"/>
      <c r="C41" s="1"/>
      <c r="D41" s="1"/>
      <c r="E41" s="1"/>
      <c r="F41" s="1"/>
      <c r="G41" s="1"/>
      <c r="H41" s="1"/>
    </row>
    <row r="42" spans="1:8" ht="23" customHeight="1">
      <c r="A42" s="1"/>
      <c r="B42" s="1"/>
      <c r="C42" s="1"/>
      <c r="D42" s="1"/>
      <c r="E42" s="1"/>
      <c r="F42" s="1"/>
      <c r="G42" s="1"/>
      <c r="H42" s="1"/>
    </row>
    <row r="43" spans="1:8" ht="27" customHeight="1">
      <c r="A43" s="1"/>
      <c r="B43" s="7" t="s">
        <v>37</v>
      </c>
      <c r="C43" s="7"/>
      <c r="D43" s="7"/>
      <c r="E43" s="7"/>
      <c r="F43" s="7"/>
      <c r="G43" s="7"/>
      <c r="H43" s="1"/>
    </row>
    <row r="44" spans="1:8" ht="23" customHeight="1">
      <c r="A44" s="1"/>
      <c r="B44" s="1" t="str">
        <f>IF($C$20="Invoer geldig","Gewone basisbetaling; rente bovenaan, maanden links.","Geen gevoeligheidsresultaten: corrigeer de invoer.")</f>
        <v>Gewone basisbetaling; rente bovenaan, maanden links.</v>
      </c>
      <c r="C44" s="1"/>
      <c r="D44" s="1"/>
      <c r="E44" s="1"/>
      <c r="F44" s="1"/>
      <c r="G44" s="1"/>
      <c r="H44" s="1"/>
    </row>
    <row r="45" spans="1:8" ht="23" customHeight="1">
      <c r="A45" s="1"/>
      <c r="B45" s="34">
        <f>C24</f>
        <v>1132.27</v>
      </c>
      <c r="C45" s="35">
        <f>IF($C$20="Invoer geldig",0.03,"")</f>
        <v>0.03</v>
      </c>
      <c r="D45" s="35">
        <f>IF($C$20="Invoer geldig",0.04,"")</f>
        <v>0.04</v>
      </c>
      <c r="E45" s="35">
        <f>IF($C$20="Invoer geldig",0.05,"")</f>
        <v>0.05</v>
      </c>
      <c r="F45" s="35">
        <f>IF($C$20="Invoer geldig",0.06,"")</f>
        <v>0.06</v>
      </c>
      <c r="G45" s="35">
        <f>IF($C$20="Invoer geldig",0.07,"")</f>
        <v>7.0000000000000007E-2</v>
      </c>
      <c r="H45" s="1"/>
    </row>
    <row r="46" spans="1:8" ht="27" customHeight="1">
      <c r="A46" s="1"/>
      <c r="B46" s="36">
        <f>IF($C$20="Invoer geldig",24,"")</f>
        <v>24</v>
      </c>
      <c r="C46" s="15">
        <f t="dataTable" ref="C46:G50" dt2D="1" dtr="0" r1="C10" r2="C12" ca="1"/>
        <v>2578.87</v>
      </c>
      <c r="D46" s="15">
        <v>2605.5</v>
      </c>
      <c r="E46" s="15">
        <v>2632.28</v>
      </c>
      <c r="F46" s="15">
        <v>2659.24</v>
      </c>
      <c r="G46" s="15">
        <v>2686.35</v>
      </c>
      <c r="H46" s="1"/>
    </row>
    <row r="47" spans="1:8" ht="27" customHeight="1">
      <c r="A47" s="1"/>
      <c r="B47" s="36">
        <f>IF($C$20="Invoer geldig",36,"")</f>
        <v>36</v>
      </c>
      <c r="C47" s="15">
        <v>1744.87</v>
      </c>
      <c r="D47" s="15">
        <v>1771.44</v>
      </c>
      <c r="E47" s="15">
        <v>1798.25</v>
      </c>
      <c r="F47" s="15">
        <v>1825.32</v>
      </c>
      <c r="G47" s="15">
        <v>1852.63</v>
      </c>
      <c r="H47" s="1"/>
    </row>
    <row r="48" spans="1:8" ht="27" customHeight="1">
      <c r="A48" s="1"/>
      <c r="B48" s="36">
        <f>IF($C$20="Invoer geldig",60,"")</f>
        <v>60</v>
      </c>
      <c r="C48" s="15">
        <v>1078.1199999999999</v>
      </c>
      <c r="D48" s="15">
        <v>1104.99</v>
      </c>
      <c r="E48" s="15">
        <v>1132.27</v>
      </c>
      <c r="F48" s="15">
        <v>1159.97</v>
      </c>
      <c r="G48" s="15">
        <v>1188.07</v>
      </c>
      <c r="H48" s="1"/>
    </row>
    <row r="49" spans="1:8" ht="27" customHeight="1">
      <c r="A49" s="1"/>
      <c r="B49" s="36">
        <f>IF($C$20="Invoer geldig",84,"")</f>
        <v>84</v>
      </c>
      <c r="C49" s="15">
        <v>792.8</v>
      </c>
      <c r="D49" s="15">
        <v>820.13</v>
      </c>
      <c r="E49" s="15">
        <v>848.03</v>
      </c>
      <c r="F49" s="15">
        <v>876.51</v>
      </c>
      <c r="G49" s="15">
        <v>905.56</v>
      </c>
      <c r="H49" s="1"/>
    </row>
    <row r="50" spans="1:8" ht="27" customHeight="1">
      <c r="A50" s="1"/>
      <c r="B50" s="36">
        <f>IF($C$20="Invoer geldig",120,"")</f>
        <v>120</v>
      </c>
      <c r="C50" s="15">
        <v>579.36</v>
      </c>
      <c r="D50" s="15">
        <v>607.47</v>
      </c>
      <c r="E50" s="15">
        <v>636.39</v>
      </c>
      <c r="F50" s="15">
        <v>666.12</v>
      </c>
      <c r="G50" s="15">
        <v>696.65</v>
      </c>
      <c r="H50" s="1"/>
    </row>
    <row r="51" spans="1:8" ht="23" customHeight="1">
      <c r="A51" s="1"/>
      <c r="B51" s="1"/>
      <c r="C51" s="1"/>
      <c r="D51" s="1"/>
      <c r="E51" s="1"/>
      <c r="F51" s="1"/>
      <c r="G51" s="1"/>
      <c r="H51" s="1"/>
    </row>
    <row r="52" spans="1:8" ht="23" customHeight="1">
      <c r="A52" s="1"/>
      <c r="B52" s="4" t="s">
        <v>38</v>
      </c>
      <c r="C52" s="4"/>
      <c r="D52" s="4"/>
      <c r="E52" s="4"/>
      <c r="F52" s="4"/>
      <c r="G52" s="4"/>
      <c r="H52" s="1"/>
    </row>
    <row r="53" spans="1:8" ht="23" customHeight="1">
      <c r="A53" s="1"/>
      <c r="B53" s="4" t="s">
        <v>39</v>
      </c>
      <c r="C53" s="4"/>
      <c r="D53" s="4"/>
      <c r="E53" s="4"/>
      <c r="F53" s="4"/>
      <c r="G53" s="4"/>
      <c r="H53" s="1"/>
    </row>
    <row r="54" spans="1:8" ht="23" customHeight="1">
      <c r="A54" s="1"/>
      <c r="B54" s="1"/>
      <c r="C54" s="1"/>
      <c r="D54" s="1"/>
      <c r="E54" s="1"/>
      <c r="F54" s="1"/>
      <c r="G54" s="1"/>
      <c r="H54" s="1"/>
    </row>
    <row r="55" spans="1:8" ht="23" customHeight="1">
      <c r="A55" s="1"/>
      <c r="B55" s="1"/>
      <c r="C55" s="1"/>
      <c r="D55" s="1"/>
      <c r="E55" s="1"/>
      <c r="F55" s="1"/>
      <c r="G55" s="1"/>
      <c r="H55" s="1"/>
    </row>
  </sheetData>
  <conditionalFormatting sqref="B20:C20">
    <cfRule type="expression" dxfId="10" priority="1">
      <formula>$C$20&lt;&gt;"Invoer geldig"</formula>
    </cfRule>
  </conditionalFormatting>
  <conditionalFormatting sqref="B44:G44">
    <cfRule type="expression" dxfId="9" priority="13">
      <formula>$C$20&lt;&gt;"Invoer geldig"</formula>
    </cfRule>
  </conditionalFormatting>
  <conditionalFormatting sqref="C8:C10">
    <cfRule type="expression" dxfId="8" priority="2">
      <formula>NOT(ISNUMBER(C8))</formula>
    </cfRule>
  </conditionalFormatting>
  <conditionalFormatting sqref="C12">
    <cfRule type="expression" dxfId="7" priority="5">
      <formula>NOT(ISNUMBER(C12))</formula>
    </cfRule>
  </conditionalFormatting>
  <conditionalFormatting sqref="C14:C17">
    <cfRule type="expression" dxfId="6" priority="6">
      <formula>NOT(ISNUMBER(C14))</formula>
    </cfRule>
  </conditionalFormatting>
  <conditionalFormatting sqref="C46:G50">
    <cfRule type="expression" dxfId="5" priority="11">
      <formula>AND(C$45=$C$10,$B46=$C$12)</formula>
    </cfRule>
    <cfRule type="expression" dxfId="4" priority="12">
      <formula>$C$20&lt;&gt;"Invoer geldig"</formula>
    </cfRule>
  </conditionalFormatting>
  <conditionalFormatting sqref="F20:F21">
    <cfRule type="cellIs" dxfId="3" priority="10" operator="notEqual">
      <formula>0</formula>
    </cfRule>
  </conditionalFormatting>
  <dataValidations count="6">
    <dataValidation type="decimal" sqref="C15:C17 C8:C9" xr:uid="{00000000-0002-0000-0000-000000000000}">
      <formula1>0</formula1>
      <formula2>1000000000</formula2>
    </dataValidation>
    <dataValidation type="decimal" sqref="C10" xr:uid="{00000000-0002-0000-0000-000005000000}">
      <formula1>0</formula1>
      <formula2>1</formula2>
    </dataValidation>
    <dataValidation type="whole" sqref="C12" xr:uid="{00000000-0002-0000-0000-000006000000}">
      <formula1>1</formula1>
      <formula2>360</formula2>
    </dataValidation>
    <dataValidation type="whole" sqref="C14" xr:uid="{00000000-0002-0000-0000-000007000000}">
      <formula1>2</formula1>
      <formula2>73050</formula2>
    </dataValidation>
    <dataValidation type="list" sqref="C11" xr:uid="{00000000-0002-0000-0000-000008000000}">
      <formula1>"Nominaal,Effectief"</formula1>
    </dataValidation>
    <dataValidation type="list" sqref="C13" xr:uid="{00000000-0002-0000-0000-000009000000}">
      <formula1>"Annuïteit,Lineair"</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74373"/>
  </sheetPr>
  <dimension ref="A1:O369"/>
  <sheetViews>
    <sheetView showGridLines="0" workbookViewId="0">
      <pane xSplit="3" ySplit="7" topLeftCell="D8" activePane="bottomRight" state="frozen"/>
      <selection pane="topRight"/>
      <selection pane="bottomLeft"/>
      <selection pane="bottomRight" activeCell="D8" sqref="D8"/>
    </sheetView>
  </sheetViews>
  <sheetFormatPr baseColWidth="10" defaultColWidth="8.83203125" defaultRowHeight="14"/>
  <cols>
    <col min="1" max="1" width="3" customWidth="1"/>
    <col min="2" max="2" width="8" customWidth="1"/>
    <col min="3" max="3" width="16" customWidth="1"/>
    <col min="4" max="4" width="18" customWidth="1"/>
    <col min="5" max="5" width="16" customWidth="1"/>
    <col min="6" max="7" width="19" customWidth="1"/>
    <col min="8" max="8" width="17" customWidth="1"/>
    <col min="9" max="9" width="16" customWidth="1"/>
    <col min="10" max="10" width="20" customWidth="1"/>
    <col min="11" max="11" width="18" customWidth="1"/>
    <col min="13" max="15" width="18" customWidth="1"/>
  </cols>
  <sheetData>
    <row r="1" spans="1:15" ht="23" customHeight="1">
      <c r="A1" s="1"/>
      <c r="B1" s="1"/>
      <c r="C1" s="1"/>
      <c r="D1" s="1"/>
      <c r="E1" s="1"/>
      <c r="F1" s="1"/>
      <c r="G1" s="1"/>
      <c r="H1" s="1"/>
      <c r="I1" s="1"/>
      <c r="J1" s="1"/>
      <c r="K1" s="1"/>
      <c r="L1" s="1"/>
      <c r="M1" s="1"/>
      <c r="N1" s="1"/>
      <c r="O1" s="1"/>
    </row>
    <row r="2" spans="1:15" ht="23" customHeight="1">
      <c r="A2" s="1"/>
      <c r="B2" s="2" t="s">
        <v>40</v>
      </c>
      <c r="C2" s="1"/>
      <c r="D2" s="1"/>
      <c r="E2" s="1"/>
      <c r="F2" s="1"/>
      <c r="G2" s="1"/>
      <c r="H2" s="1"/>
      <c r="I2" s="1"/>
      <c r="J2" s="1"/>
      <c r="K2" s="1"/>
      <c r="L2" s="1"/>
      <c r="M2" s="1"/>
      <c r="N2" s="1"/>
      <c r="O2" s="1"/>
    </row>
    <row r="3" spans="1:15" ht="23" customHeight="1">
      <c r="A3" s="1"/>
      <c r="B3" s="3"/>
      <c r="C3" s="3"/>
      <c r="D3" s="3"/>
      <c r="E3" s="3"/>
      <c r="F3" s="3"/>
      <c r="G3" s="3"/>
      <c r="H3" s="3"/>
      <c r="I3" s="3"/>
      <c r="J3" s="3"/>
      <c r="K3" s="3"/>
      <c r="L3" s="1"/>
      <c r="M3" s="1"/>
      <c r="N3" s="1"/>
      <c r="O3" s="1"/>
    </row>
    <row r="4" spans="1:15" ht="23" customHeight="1">
      <c r="A4" s="1"/>
      <c r="B4" s="1" t="s">
        <v>41</v>
      </c>
      <c r="C4" s="26">
        <f>Simulatie!C23</f>
        <v>4.1666666666666666E-3</v>
      </c>
      <c r="D4" s="1"/>
      <c r="E4" s="1" t="s">
        <v>42</v>
      </c>
      <c r="F4" s="27">
        <f>IF(Simulatie!C20="Invoer geldig",Simulatie!C12,"")</f>
        <v>60</v>
      </c>
      <c r="G4" s="1"/>
      <c r="H4" s="1" t="s">
        <v>43</v>
      </c>
      <c r="I4" s="25">
        <f>Simulatie!C24</f>
        <v>1132.27</v>
      </c>
      <c r="J4" s="1"/>
      <c r="K4" s="1"/>
      <c r="L4" s="1"/>
      <c r="M4" s="1"/>
      <c r="N4" s="1"/>
      <c r="O4" s="1"/>
    </row>
    <row r="5" spans="1:15" ht="23" customHeight="1">
      <c r="A5" s="1"/>
      <c r="B5" s="1" t="s">
        <v>44</v>
      </c>
      <c r="C5" s="25">
        <f>Simulatie!C22</f>
        <v>60000</v>
      </c>
      <c r="D5" s="1"/>
      <c r="E5" s="1" t="s">
        <v>20</v>
      </c>
      <c r="F5" s="25">
        <f>IF(Simulatie!C20="Invoer geldig",Simulatie!C15,"")</f>
        <v>0</v>
      </c>
      <c r="G5" s="1"/>
      <c r="H5" s="1" t="s">
        <v>45</v>
      </c>
      <c r="I5" s="25">
        <f>IF(Simulatie!C20="Invoer geldig",Simulatie!C16,"")</f>
        <v>0</v>
      </c>
      <c r="J5" s="1"/>
      <c r="K5" s="1"/>
      <c r="L5" s="1"/>
      <c r="M5" s="1"/>
      <c r="N5" s="1"/>
      <c r="O5" s="1"/>
    </row>
    <row r="6" spans="1:15" ht="23" customHeight="1">
      <c r="A6" s="1"/>
      <c r="B6" s="1"/>
      <c r="C6" s="1"/>
      <c r="D6" s="1"/>
      <c r="E6" s="1"/>
      <c r="F6" s="1"/>
      <c r="G6" s="1"/>
      <c r="H6" s="1"/>
      <c r="I6" s="1"/>
      <c r="J6" s="1"/>
      <c r="K6" s="1"/>
      <c r="L6" s="1"/>
      <c r="M6" s="1"/>
      <c r="N6" s="1"/>
      <c r="O6" s="1"/>
    </row>
    <row r="7" spans="1:15" ht="38" customHeight="1">
      <c r="A7" s="1"/>
      <c r="B7" s="28" t="s">
        <v>46</v>
      </c>
      <c r="C7" s="28" t="s">
        <v>47</v>
      </c>
      <c r="D7" s="28" t="s">
        <v>48</v>
      </c>
      <c r="E7" s="28" t="s">
        <v>49</v>
      </c>
      <c r="F7" s="28" t="s">
        <v>50</v>
      </c>
      <c r="G7" s="28" t="s">
        <v>51</v>
      </c>
      <c r="H7" s="28" t="s">
        <v>52</v>
      </c>
      <c r="I7" s="28" t="s">
        <v>53</v>
      </c>
      <c r="J7" s="28" t="s">
        <v>54</v>
      </c>
      <c r="K7" s="28" t="s">
        <v>30</v>
      </c>
      <c r="L7" s="1"/>
      <c r="M7" s="24" t="s">
        <v>55</v>
      </c>
      <c r="N7" s="24" t="s">
        <v>56</v>
      </c>
      <c r="O7" s="24" t="s">
        <v>30</v>
      </c>
    </row>
    <row r="8" spans="1:15" ht="23" customHeight="1">
      <c r="A8" s="1"/>
      <c r="B8" s="29">
        <f>IF(Simulatie!$C$20&lt;&gt;"Invoer geldig","",IF($C$5=0,"",1))</f>
        <v>1</v>
      </c>
      <c r="C8" s="30">
        <f>IF(B8="","",EDATE(Simulatie!$C$14,B8-1))</f>
        <v>46418</v>
      </c>
      <c r="D8" s="31">
        <f>IF(B8="","",$C$5)</f>
        <v>60000</v>
      </c>
      <c r="E8" s="31">
        <f t="shared" ref="E8:E71" si="0">IF(B8="","",ROUND(D8*$C$4,2))</f>
        <v>250</v>
      </c>
      <c r="F8" s="31">
        <f t="shared" ref="F8:F71" si="1">IF(B8="","",ROUND(E8+G8,2))</f>
        <v>1132.27</v>
      </c>
      <c r="G8" s="32">
        <f>IF(B8="","",ROUND(IF(AND(B8=$F$4,$I$5=0),D8-MIN($F$5,D8),IF(Simulatie!$C$13="Lineair",MIN(D8,Simulatie!$C$25),MIN(D8,MAX(0,$I$4-E8)))),2))</f>
        <v>882.27</v>
      </c>
      <c r="H8" s="31">
        <f t="shared" ref="H8:H71" si="2">IF(B8="","",ROUND(MIN($I$5,MAX(0,D8-G8)),2))</f>
        <v>0</v>
      </c>
      <c r="I8" s="31">
        <f t="shared" ref="I8:I71" si="3">IF(B8="","",IF(B8=$F$4,ROUND(MAX(0,D8-G8-H8),2),0))</f>
        <v>0</v>
      </c>
      <c r="J8" s="31">
        <f t="shared" ref="J8:J71" si="4">IF(B8="","",SUM(F8,H8:I8))</f>
        <v>1132.27</v>
      </c>
      <c r="K8" s="31">
        <f t="shared" ref="K8:K71" si="5">IF(B8="","",ROUND(MAX(0,D8-SUM(G8:I8)),2))</f>
        <v>59117.73</v>
      </c>
      <c r="L8" s="1"/>
      <c r="M8" s="24">
        <f>IF(Simulatie!$C$20&lt;&gt;"Invoer geldig","",IF(OR(Simulatie!$F$17=0,0&gt;Simulatie!$F$17),"",ROUND(0*Simulatie!$F$17/MIN(12,Simulatie!$F$17),0)))</f>
        <v>0</v>
      </c>
      <c r="N8" s="24" t="str">
        <f t="shared" ref="N8:N20" si="6">IF(ISNUMBER(M8),IF(M8=0,"Start","M"&amp;M8),"")</f>
        <v>Start</v>
      </c>
      <c r="O8" s="32">
        <f t="shared" ref="O8:O20" si="7">IF(ISNUMBER(M8),IF(M8=0,$C$5,INDEX($K$8:$K$367,M8)),"")</f>
        <v>60000</v>
      </c>
    </row>
    <row r="9" spans="1:15" ht="23" customHeight="1">
      <c r="A9" s="1"/>
      <c r="B9" s="29">
        <f t="shared" ref="B9:B72" si="8">IF(B8="","",IF(AND(K8&gt;0,B8&lt;$F$4),B8+1,""))</f>
        <v>2</v>
      </c>
      <c r="C9" s="30">
        <f>IF(B9="","",EDATE(Simulatie!$C$14,B9-1))</f>
        <v>46446</v>
      </c>
      <c r="D9" s="31">
        <f t="shared" ref="D9:D72" si="9">IF(B9="","",K8)</f>
        <v>59117.73</v>
      </c>
      <c r="E9" s="31">
        <f t="shared" si="0"/>
        <v>246.32</v>
      </c>
      <c r="F9" s="31">
        <f t="shared" si="1"/>
        <v>1132.27</v>
      </c>
      <c r="G9" s="32">
        <f>IF(B9="","",ROUND(IF(AND(B9=$F$4,$I$5=0),D9-MIN($F$5,D9),IF(Simulatie!$C$13="Lineair",MIN(D9,Simulatie!$C$25),MIN(D9,MAX(0,$I$4-E9)))),2))</f>
        <v>885.95</v>
      </c>
      <c r="H9" s="31">
        <f t="shared" si="2"/>
        <v>0</v>
      </c>
      <c r="I9" s="31">
        <f t="shared" si="3"/>
        <v>0</v>
      </c>
      <c r="J9" s="31">
        <f t="shared" si="4"/>
        <v>1132.27</v>
      </c>
      <c r="K9" s="31">
        <f t="shared" si="5"/>
        <v>58231.78</v>
      </c>
      <c r="L9" s="1"/>
      <c r="M9" s="24">
        <f>IF(Simulatie!$C$20&lt;&gt;"Invoer geldig","",IF(OR(Simulatie!$F$17=0,1&gt;Simulatie!$F$17),"",ROUND(1*Simulatie!$F$17/MIN(12,Simulatie!$F$17),0)))</f>
        <v>5</v>
      </c>
      <c r="N9" s="24" t="str">
        <f t="shared" si="6"/>
        <v>M5</v>
      </c>
      <c r="O9" s="32">
        <f t="shared" si="7"/>
        <v>55551.73</v>
      </c>
    </row>
    <row r="10" spans="1:15" ht="23" customHeight="1">
      <c r="A10" s="1"/>
      <c r="B10" s="29">
        <f t="shared" si="8"/>
        <v>3</v>
      </c>
      <c r="C10" s="30">
        <f>IF(B10="","",EDATE(Simulatie!$C$14,B10-1))</f>
        <v>46477</v>
      </c>
      <c r="D10" s="31">
        <f t="shared" si="9"/>
        <v>58231.78</v>
      </c>
      <c r="E10" s="31">
        <f t="shared" si="0"/>
        <v>242.63</v>
      </c>
      <c r="F10" s="31">
        <f t="shared" si="1"/>
        <v>1132.27</v>
      </c>
      <c r="G10" s="32">
        <f>IF(B10="","",ROUND(IF(AND(B10=$F$4,$I$5=0),D10-MIN($F$5,D10),IF(Simulatie!$C$13="Lineair",MIN(D10,Simulatie!$C$25),MIN(D10,MAX(0,$I$4-E10)))),2))</f>
        <v>889.64</v>
      </c>
      <c r="H10" s="31">
        <f t="shared" si="2"/>
        <v>0</v>
      </c>
      <c r="I10" s="31">
        <f t="shared" si="3"/>
        <v>0</v>
      </c>
      <c r="J10" s="31">
        <f t="shared" si="4"/>
        <v>1132.27</v>
      </c>
      <c r="K10" s="31">
        <f t="shared" si="5"/>
        <v>57342.14</v>
      </c>
      <c r="L10" s="1"/>
      <c r="M10" s="24">
        <f>IF(Simulatie!$C$20&lt;&gt;"Invoer geldig","",IF(OR(Simulatie!$F$17=0,2&gt;Simulatie!$F$17),"",ROUND(2*Simulatie!$F$17/MIN(12,Simulatie!$F$17),0)))</f>
        <v>10</v>
      </c>
      <c r="N10" s="24" t="str">
        <f t="shared" si="6"/>
        <v>M10</v>
      </c>
      <c r="O10" s="32">
        <f t="shared" si="7"/>
        <v>51010.02</v>
      </c>
    </row>
    <row r="11" spans="1:15" ht="23" customHeight="1">
      <c r="A11" s="1"/>
      <c r="B11" s="29">
        <f t="shared" si="8"/>
        <v>4</v>
      </c>
      <c r="C11" s="30">
        <f>IF(B11="","",EDATE(Simulatie!$C$14,B11-1))</f>
        <v>46507</v>
      </c>
      <c r="D11" s="31">
        <f t="shared" si="9"/>
        <v>57342.14</v>
      </c>
      <c r="E11" s="31">
        <f t="shared" si="0"/>
        <v>238.93</v>
      </c>
      <c r="F11" s="31">
        <f t="shared" si="1"/>
        <v>1132.27</v>
      </c>
      <c r="G11" s="32">
        <f>IF(B11="","",ROUND(IF(AND(B11=$F$4,$I$5=0),D11-MIN($F$5,D11),IF(Simulatie!$C$13="Lineair",MIN(D11,Simulatie!$C$25),MIN(D11,MAX(0,$I$4-E11)))),2))</f>
        <v>893.34</v>
      </c>
      <c r="H11" s="31">
        <f t="shared" si="2"/>
        <v>0</v>
      </c>
      <c r="I11" s="31">
        <f t="shared" si="3"/>
        <v>0</v>
      </c>
      <c r="J11" s="31">
        <f t="shared" si="4"/>
        <v>1132.27</v>
      </c>
      <c r="K11" s="31">
        <f t="shared" si="5"/>
        <v>56448.800000000003</v>
      </c>
      <c r="L11" s="1"/>
      <c r="M11" s="24">
        <f>IF(Simulatie!$C$20&lt;&gt;"Invoer geldig","",IF(OR(Simulatie!$F$17=0,3&gt;Simulatie!$F$17),"",ROUND(3*Simulatie!$F$17/MIN(12,Simulatie!$F$17),0)))</f>
        <v>15</v>
      </c>
      <c r="N11" s="24" t="str">
        <f t="shared" si="6"/>
        <v>M15</v>
      </c>
      <c r="O11" s="32">
        <f t="shared" si="7"/>
        <v>46372.9</v>
      </c>
    </row>
    <row r="12" spans="1:15" ht="23" customHeight="1">
      <c r="A12" s="1"/>
      <c r="B12" s="29">
        <f t="shared" si="8"/>
        <v>5</v>
      </c>
      <c r="C12" s="30">
        <f>IF(B12="","",EDATE(Simulatie!$C$14,B12-1))</f>
        <v>46538</v>
      </c>
      <c r="D12" s="31">
        <f t="shared" si="9"/>
        <v>56448.800000000003</v>
      </c>
      <c r="E12" s="31">
        <f t="shared" si="0"/>
        <v>235.2</v>
      </c>
      <c r="F12" s="31">
        <f t="shared" si="1"/>
        <v>1132.27</v>
      </c>
      <c r="G12" s="32">
        <f>IF(B12="","",ROUND(IF(AND(B12=$F$4,$I$5=0),D12-MIN($F$5,D12),IF(Simulatie!$C$13="Lineair",MIN(D12,Simulatie!$C$25),MIN(D12,MAX(0,$I$4-E12)))),2))</f>
        <v>897.07</v>
      </c>
      <c r="H12" s="31">
        <f t="shared" si="2"/>
        <v>0</v>
      </c>
      <c r="I12" s="31">
        <f t="shared" si="3"/>
        <v>0</v>
      </c>
      <c r="J12" s="31">
        <f t="shared" si="4"/>
        <v>1132.27</v>
      </c>
      <c r="K12" s="31">
        <f t="shared" si="5"/>
        <v>55551.73</v>
      </c>
      <c r="L12" s="1"/>
      <c r="M12" s="24">
        <f>IF(Simulatie!$C$20&lt;&gt;"Invoer geldig","",IF(OR(Simulatie!$F$17=0,4&gt;Simulatie!$F$17),"",ROUND(4*Simulatie!$F$17/MIN(12,Simulatie!$F$17),0)))</f>
        <v>20</v>
      </c>
      <c r="N12" s="24" t="str">
        <f t="shared" si="6"/>
        <v>M20</v>
      </c>
      <c r="O12" s="32">
        <f t="shared" si="7"/>
        <v>41638.36</v>
      </c>
    </row>
    <row r="13" spans="1:15" ht="23" customHeight="1">
      <c r="A13" s="1"/>
      <c r="B13" s="29">
        <f t="shared" si="8"/>
        <v>6</v>
      </c>
      <c r="C13" s="30">
        <f>IF(B13="","",EDATE(Simulatie!$C$14,B13-1))</f>
        <v>46568</v>
      </c>
      <c r="D13" s="31">
        <f t="shared" si="9"/>
        <v>55551.73</v>
      </c>
      <c r="E13" s="31">
        <f t="shared" si="0"/>
        <v>231.47</v>
      </c>
      <c r="F13" s="31">
        <f t="shared" si="1"/>
        <v>1132.27</v>
      </c>
      <c r="G13" s="32">
        <f>IF(B13="","",ROUND(IF(AND(B13=$F$4,$I$5=0),D13-MIN($F$5,D13),IF(Simulatie!$C$13="Lineair",MIN(D13,Simulatie!$C$25),MIN(D13,MAX(0,$I$4-E13)))),2))</f>
        <v>900.8</v>
      </c>
      <c r="H13" s="31">
        <f t="shared" si="2"/>
        <v>0</v>
      </c>
      <c r="I13" s="31">
        <f t="shared" si="3"/>
        <v>0</v>
      </c>
      <c r="J13" s="31">
        <f t="shared" si="4"/>
        <v>1132.27</v>
      </c>
      <c r="K13" s="31">
        <f t="shared" si="5"/>
        <v>54650.93</v>
      </c>
      <c r="L13" s="1"/>
      <c r="M13" s="24">
        <f>IF(Simulatie!$C$20&lt;&gt;"Invoer geldig","",IF(OR(Simulatie!$F$17=0,5&gt;Simulatie!$F$17),"",ROUND(5*Simulatie!$F$17/MIN(12,Simulatie!$F$17),0)))</f>
        <v>25</v>
      </c>
      <c r="N13" s="24" t="str">
        <f t="shared" si="6"/>
        <v>M25</v>
      </c>
      <c r="O13" s="32">
        <f t="shared" si="7"/>
        <v>36804.36</v>
      </c>
    </row>
    <row r="14" spans="1:15" ht="23" customHeight="1">
      <c r="A14" s="1"/>
      <c r="B14" s="29">
        <f t="shared" si="8"/>
        <v>7</v>
      </c>
      <c r="C14" s="30">
        <f>IF(B14="","",EDATE(Simulatie!$C$14,B14-1))</f>
        <v>46599</v>
      </c>
      <c r="D14" s="31">
        <f t="shared" si="9"/>
        <v>54650.93</v>
      </c>
      <c r="E14" s="31">
        <f t="shared" si="0"/>
        <v>227.71</v>
      </c>
      <c r="F14" s="31">
        <f t="shared" si="1"/>
        <v>1132.27</v>
      </c>
      <c r="G14" s="32">
        <f>IF(B14="","",ROUND(IF(AND(B14=$F$4,$I$5=0),D14-MIN($F$5,D14),IF(Simulatie!$C$13="Lineair",MIN(D14,Simulatie!$C$25),MIN(D14,MAX(0,$I$4-E14)))),2))</f>
        <v>904.56</v>
      </c>
      <c r="H14" s="31">
        <f t="shared" si="2"/>
        <v>0</v>
      </c>
      <c r="I14" s="31">
        <f t="shared" si="3"/>
        <v>0</v>
      </c>
      <c r="J14" s="31">
        <f t="shared" si="4"/>
        <v>1132.27</v>
      </c>
      <c r="K14" s="31">
        <f t="shared" si="5"/>
        <v>53746.37</v>
      </c>
      <c r="L14" s="1"/>
      <c r="M14" s="24">
        <f>IF(Simulatie!$C$20&lt;&gt;"Invoer geldig","",IF(OR(Simulatie!$F$17=0,6&gt;Simulatie!$F$17),"",ROUND(6*Simulatie!$F$17/MIN(12,Simulatie!$F$17),0)))</f>
        <v>30</v>
      </c>
      <c r="N14" s="24" t="str">
        <f t="shared" si="6"/>
        <v>M30</v>
      </c>
      <c r="O14" s="32">
        <f t="shared" si="7"/>
        <v>31868.799999999999</v>
      </c>
    </row>
    <row r="15" spans="1:15" ht="23" customHeight="1">
      <c r="A15" s="1"/>
      <c r="B15" s="29">
        <f t="shared" si="8"/>
        <v>8</v>
      </c>
      <c r="C15" s="30">
        <f>IF(B15="","",EDATE(Simulatie!$C$14,B15-1))</f>
        <v>46630</v>
      </c>
      <c r="D15" s="31">
        <f t="shared" si="9"/>
        <v>53746.37</v>
      </c>
      <c r="E15" s="31">
        <f t="shared" si="0"/>
        <v>223.94</v>
      </c>
      <c r="F15" s="31">
        <f t="shared" si="1"/>
        <v>1132.27</v>
      </c>
      <c r="G15" s="32">
        <f>IF(B15="","",ROUND(IF(AND(B15=$F$4,$I$5=0),D15-MIN($F$5,D15),IF(Simulatie!$C$13="Lineair",MIN(D15,Simulatie!$C$25),MIN(D15,MAX(0,$I$4-E15)))),2))</f>
        <v>908.33</v>
      </c>
      <c r="H15" s="31">
        <f t="shared" si="2"/>
        <v>0</v>
      </c>
      <c r="I15" s="31">
        <f t="shared" si="3"/>
        <v>0</v>
      </c>
      <c r="J15" s="31">
        <f t="shared" si="4"/>
        <v>1132.27</v>
      </c>
      <c r="K15" s="31">
        <f t="shared" si="5"/>
        <v>52838.04</v>
      </c>
      <c r="L15" s="1"/>
      <c r="M15" s="24">
        <f>IF(Simulatie!$C$20&lt;&gt;"Invoer geldig","",IF(OR(Simulatie!$F$17=0,7&gt;Simulatie!$F$17),"",ROUND(7*Simulatie!$F$17/MIN(12,Simulatie!$F$17),0)))</f>
        <v>35</v>
      </c>
      <c r="N15" s="24" t="str">
        <f t="shared" si="6"/>
        <v>M35</v>
      </c>
      <c r="O15" s="32">
        <f t="shared" si="7"/>
        <v>26829.56</v>
      </c>
    </row>
    <row r="16" spans="1:15" ht="23" customHeight="1">
      <c r="A16" s="1"/>
      <c r="B16" s="29">
        <f t="shared" si="8"/>
        <v>9</v>
      </c>
      <c r="C16" s="30">
        <f>IF(B16="","",EDATE(Simulatie!$C$14,B16-1))</f>
        <v>46660</v>
      </c>
      <c r="D16" s="31">
        <f t="shared" si="9"/>
        <v>52838.04</v>
      </c>
      <c r="E16" s="31">
        <f t="shared" si="0"/>
        <v>220.16</v>
      </c>
      <c r="F16" s="31">
        <f t="shared" si="1"/>
        <v>1132.27</v>
      </c>
      <c r="G16" s="32">
        <f>IF(B16="","",ROUND(IF(AND(B16=$F$4,$I$5=0),D16-MIN($F$5,D16),IF(Simulatie!$C$13="Lineair",MIN(D16,Simulatie!$C$25),MIN(D16,MAX(0,$I$4-E16)))),2))</f>
        <v>912.11</v>
      </c>
      <c r="H16" s="31">
        <f t="shared" si="2"/>
        <v>0</v>
      </c>
      <c r="I16" s="31">
        <f t="shared" si="3"/>
        <v>0</v>
      </c>
      <c r="J16" s="31">
        <f t="shared" si="4"/>
        <v>1132.27</v>
      </c>
      <c r="K16" s="31">
        <f t="shared" si="5"/>
        <v>51925.93</v>
      </c>
      <c r="L16" s="1"/>
      <c r="M16" s="24">
        <f>IF(Simulatie!$C$20&lt;&gt;"Invoer geldig","",IF(OR(Simulatie!$F$17=0,8&gt;Simulatie!$F$17),"",ROUND(8*Simulatie!$F$17/MIN(12,Simulatie!$F$17),0)))</f>
        <v>40</v>
      </c>
      <c r="N16" s="24" t="str">
        <f t="shared" si="6"/>
        <v>M40</v>
      </c>
      <c r="O16" s="32">
        <f t="shared" si="7"/>
        <v>21684.47</v>
      </c>
    </row>
    <row r="17" spans="1:15" ht="23" customHeight="1">
      <c r="A17" s="1"/>
      <c r="B17" s="29">
        <f t="shared" si="8"/>
        <v>10</v>
      </c>
      <c r="C17" s="30">
        <f>IF(B17="","",EDATE(Simulatie!$C$14,B17-1))</f>
        <v>46691</v>
      </c>
      <c r="D17" s="31">
        <f t="shared" si="9"/>
        <v>51925.93</v>
      </c>
      <c r="E17" s="31">
        <f t="shared" si="0"/>
        <v>216.36</v>
      </c>
      <c r="F17" s="31">
        <f t="shared" si="1"/>
        <v>1132.27</v>
      </c>
      <c r="G17" s="32">
        <f>IF(B17="","",ROUND(IF(AND(B17=$F$4,$I$5=0),D17-MIN($F$5,D17),IF(Simulatie!$C$13="Lineair",MIN(D17,Simulatie!$C$25),MIN(D17,MAX(0,$I$4-E17)))),2))</f>
        <v>915.91</v>
      </c>
      <c r="H17" s="31">
        <f t="shared" si="2"/>
        <v>0</v>
      </c>
      <c r="I17" s="31">
        <f t="shared" si="3"/>
        <v>0</v>
      </c>
      <c r="J17" s="31">
        <f t="shared" si="4"/>
        <v>1132.27</v>
      </c>
      <c r="K17" s="31">
        <f t="shared" si="5"/>
        <v>51010.02</v>
      </c>
      <c r="L17" s="1"/>
      <c r="M17" s="24">
        <f>IF(Simulatie!$C$20&lt;&gt;"Invoer geldig","",IF(OR(Simulatie!$F$17=0,9&gt;Simulatie!$F$17),"",ROUND(9*Simulatie!$F$17/MIN(12,Simulatie!$F$17),0)))</f>
        <v>45</v>
      </c>
      <c r="N17" s="24" t="str">
        <f t="shared" si="6"/>
        <v>M45</v>
      </c>
      <c r="O17" s="32">
        <f t="shared" si="7"/>
        <v>16431.28</v>
      </c>
    </row>
    <row r="18" spans="1:15" ht="23" customHeight="1">
      <c r="A18" s="1"/>
      <c r="B18" s="29">
        <f t="shared" si="8"/>
        <v>11</v>
      </c>
      <c r="C18" s="30">
        <f>IF(B18="","",EDATE(Simulatie!$C$14,B18-1))</f>
        <v>46721</v>
      </c>
      <c r="D18" s="31">
        <f t="shared" si="9"/>
        <v>51010.02</v>
      </c>
      <c r="E18" s="31">
        <f t="shared" si="0"/>
        <v>212.54</v>
      </c>
      <c r="F18" s="31">
        <f t="shared" si="1"/>
        <v>1132.27</v>
      </c>
      <c r="G18" s="32">
        <f>IF(B18="","",ROUND(IF(AND(B18=$F$4,$I$5=0),D18-MIN($F$5,D18),IF(Simulatie!$C$13="Lineair",MIN(D18,Simulatie!$C$25),MIN(D18,MAX(0,$I$4-E18)))),2))</f>
        <v>919.73</v>
      </c>
      <c r="H18" s="31">
        <f t="shared" si="2"/>
        <v>0</v>
      </c>
      <c r="I18" s="31">
        <f t="shared" si="3"/>
        <v>0</v>
      </c>
      <c r="J18" s="31">
        <f t="shared" si="4"/>
        <v>1132.27</v>
      </c>
      <c r="K18" s="31">
        <f t="shared" si="5"/>
        <v>50090.29</v>
      </c>
      <c r="L18" s="1"/>
      <c r="M18" s="24">
        <f>IF(Simulatie!$C$20&lt;&gt;"Invoer geldig","",IF(OR(Simulatie!$F$17=0,10&gt;Simulatie!$F$17),"",ROUND(10*Simulatie!$F$17/MIN(12,Simulatie!$F$17),0)))</f>
        <v>50</v>
      </c>
      <c r="N18" s="24" t="str">
        <f t="shared" si="6"/>
        <v>M50</v>
      </c>
      <c r="O18" s="32">
        <f t="shared" si="7"/>
        <v>11067.73</v>
      </c>
    </row>
    <row r="19" spans="1:15" ht="23" customHeight="1">
      <c r="A19" s="1"/>
      <c r="B19" s="29">
        <f t="shared" si="8"/>
        <v>12</v>
      </c>
      <c r="C19" s="30">
        <f>IF(B19="","",EDATE(Simulatie!$C$14,B19-1))</f>
        <v>46752</v>
      </c>
      <c r="D19" s="31">
        <f t="shared" si="9"/>
        <v>50090.29</v>
      </c>
      <c r="E19" s="31">
        <f t="shared" si="0"/>
        <v>208.71</v>
      </c>
      <c r="F19" s="31">
        <f t="shared" si="1"/>
        <v>1132.27</v>
      </c>
      <c r="G19" s="32">
        <f>IF(B19="","",ROUND(IF(AND(B19=$F$4,$I$5=0),D19-MIN($F$5,D19),IF(Simulatie!$C$13="Lineair",MIN(D19,Simulatie!$C$25),MIN(D19,MAX(0,$I$4-E19)))),2))</f>
        <v>923.56</v>
      </c>
      <c r="H19" s="31">
        <f t="shared" si="2"/>
        <v>0</v>
      </c>
      <c r="I19" s="31">
        <f t="shared" si="3"/>
        <v>0</v>
      </c>
      <c r="J19" s="31">
        <f t="shared" si="4"/>
        <v>1132.27</v>
      </c>
      <c r="K19" s="31">
        <f t="shared" si="5"/>
        <v>49166.73</v>
      </c>
      <c r="L19" s="1"/>
      <c r="M19" s="24">
        <f>IF(Simulatie!$C$20&lt;&gt;"Invoer geldig","",IF(OR(Simulatie!$F$17=0,11&gt;Simulatie!$F$17),"",ROUND(11*Simulatie!$F$17/MIN(12,Simulatie!$F$17),0)))</f>
        <v>55</v>
      </c>
      <c r="N19" s="24" t="str">
        <f t="shared" si="6"/>
        <v>M55</v>
      </c>
      <c r="O19" s="32">
        <f t="shared" si="7"/>
        <v>5591.52</v>
      </c>
    </row>
    <row r="20" spans="1:15" ht="23" customHeight="1">
      <c r="A20" s="1"/>
      <c r="B20" s="29">
        <f t="shared" si="8"/>
        <v>13</v>
      </c>
      <c r="C20" s="30">
        <f>IF(B20="","",EDATE(Simulatie!$C$14,B20-1))</f>
        <v>46783</v>
      </c>
      <c r="D20" s="31">
        <f t="shared" si="9"/>
        <v>49166.73</v>
      </c>
      <c r="E20" s="31">
        <f t="shared" si="0"/>
        <v>204.86</v>
      </c>
      <c r="F20" s="31">
        <f t="shared" si="1"/>
        <v>1132.27</v>
      </c>
      <c r="G20" s="32">
        <f>IF(B20="","",ROUND(IF(AND(B20=$F$4,$I$5=0),D20-MIN($F$5,D20),IF(Simulatie!$C$13="Lineair",MIN(D20,Simulatie!$C$25),MIN(D20,MAX(0,$I$4-E20)))),2))</f>
        <v>927.41</v>
      </c>
      <c r="H20" s="31">
        <f t="shared" si="2"/>
        <v>0</v>
      </c>
      <c r="I20" s="31">
        <f t="shared" si="3"/>
        <v>0</v>
      </c>
      <c r="J20" s="31">
        <f t="shared" si="4"/>
        <v>1132.27</v>
      </c>
      <c r="K20" s="31">
        <f t="shared" si="5"/>
        <v>48239.32</v>
      </c>
      <c r="L20" s="1"/>
      <c r="M20" s="24">
        <f>IF(Simulatie!$C$20&lt;&gt;"Invoer geldig","",IF(OR(Simulatie!$F$17=0,12&gt;Simulatie!$F$17),"",ROUND(12*Simulatie!$F$17/MIN(12,Simulatie!$F$17),0)))</f>
        <v>60</v>
      </c>
      <c r="N20" s="24" t="str">
        <f t="shared" si="6"/>
        <v>M60</v>
      </c>
      <c r="O20" s="32">
        <f t="shared" si="7"/>
        <v>0</v>
      </c>
    </row>
    <row r="21" spans="1:15" ht="23" customHeight="1">
      <c r="A21" s="1"/>
      <c r="B21" s="29">
        <f t="shared" si="8"/>
        <v>14</v>
      </c>
      <c r="C21" s="30">
        <f>IF(B21="","",EDATE(Simulatie!$C$14,B21-1))</f>
        <v>46812</v>
      </c>
      <c r="D21" s="31">
        <f t="shared" si="9"/>
        <v>48239.32</v>
      </c>
      <c r="E21" s="31">
        <f t="shared" si="0"/>
        <v>201</v>
      </c>
      <c r="F21" s="31">
        <f t="shared" si="1"/>
        <v>1132.27</v>
      </c>
      <c r="G21" s="32">
        <f>IF(B21="","",ROUND(IF(AND(B21=$F$4,$I$5=0),D21-MIN($F$5,D21),IF(Simulatie!$C$13="Lineair",MIN(D21,Simulatie!$C$25),MIN(D21,MAX(0,$I$4-E21)))),2))</f>
        <v>931.27</v>
      </c>
      <c r="H21" s="31">
        <f t="shared" si="2"/>
        <v>0</v>
      </c>
      <c r="I21" s="31">
        <f t="shared" si="3"/>
        <v>0</v>
      </c>
      <c r="J21" s="31">
        <f t="shared" si="4"/>
        <v>1132.27</v>
      </c>
      <c r="K21" s="31">
        <f t="shared" si="5"/>
        <v>47308.05</v>
      </c>
      <c r="L21" s="1"/>
      <c r="M21" s="1"/>
      <c r="N21" s="1"/>
      <c r="O21" s="1"/>
    </row>
    <row r="22" spans="1:15" ht="23" customHeight="1">
      <c r="A22" s="1"/>
      <c r="B22" s="29">
        <f t="shared" si="8"/>
        <v>15</v>
      </c>
      <c r="C22" s="30">
        <f>IF(B22="","",EDATE(Simulatie!$C$14,B22-1))</f>
        <v>46843</v>
      </c>
      <c r="D22" s="31">
        <f t="shared" si="9"/>
        <v>47308.05</v>
      </c>
      <c r="E22" s="31">
        <f t="shared" si="0"/>
        <v>197.12</v>
      </c>
      <c r="F22" s="31">
        <f t="shared" si="1"/>
        <v>1132.27</v>
      </c>
      <c r="G22" s="32">
        <f>IF(B22="","",ROUND(IF(AND(B22=$F$4,$I$5=0),D22-MIN($F$5,D22),IF(Simulatie!$C$13="Lineair",MIN(D22,Simulatie!$C$25),MIN(D22,MAX(0,$I$4-E22)))),2))</f>
        <v>935.15</v>
      </c>
      <c r="H22" s="31">
        <f t="shared" si="2"/>
        <v>0</v>
      </c>
      <c r="I22" s="31">
        <f t="shared" si="3"/>
        <v>0</v>
      </c>
      <c r="J22" s="31">
        <f t="shared" si="4"/>
        <v>1132.27</v>
      </c>
      <c r="K22" s="31">
        <f t="shared" si="5"/>
        <v>46372.9</v>
      </c>
      <c r="L22" s="1"/>
      <c r="M22" s="1"/>
      <c r="N22" s="1"/>
      <c r="O22" s="1"/>
    </row>
    <row r="23" spans="1:15" ht="23" customHeight="1">
      <c r="A23" s="1"/>
      <c r="B23" s="29">
        <f t="shared" si="8"/>
        <v>16</v>
      </c>
      <c r="C23" s="30">
        <f>IF(B23="","",EDATE(Simulatie!$C$14,B23-1))</f>
        <v>46873</v>
      </c>
      <c r="D23" s="31">
        <f t="shared" si="9"/>
        <v>46372.9</v>
      </c>
      <c r="E23" s="31">
        <f t="shared" si="0"/>
        <v>193.22</v>
      </c>
      <c r="F23" s="31">
        <f t="shared" si="1"/>
        <v>1132.27</v>
      </c>
      <c r="G23" s="32">
        <f>IF(B23="","",ROUND(IF(AND(B23=$F$4,$I$5=0),D23-MIN($F$5,D23),IF(Simulatie!$C$13="Lineair",MIN(D23,Simulatie!$C$25),MIN(D23,MAX(0,$I$4-E23)))),2))</f>
        <v>939.05</v>
      </c>
      <c r="H23" s="31">
        <f t="shared" si="2"/>
        <v>0</v>
      </c>
      <c r="I23" s="31">
        <f t="shared" si="3"/>
        <v>0</v>
      </c>
      <c r="J23" s="31">
        <f t="shared" si="4"/>
        <v>1132.27</v>
      </c>
      <c r="K23" s="31">
        <f t="shared" si="5"/>
        <v>45433.85</v>
      </c>
      <c r="L23" s="1"/>
      <c r="M23" s="1"/>
      <c r="N23" s="1"/>
      <c r="O23" s="1"/>
    </row>
    <row r="24" spans="1:15" ht="23" customHeight="1">
      <c r="A24" s="1"/>
      <c r="B24" s="29">
        <f t="shared" si="8"/>
        <v>17</v>
      </c>
      <c r="C24" s="30">
        <f>IF(B24="","",EDATE(Simulatie!$C$14,B24-1))</f>
        <v>46904</v>
      </c>
      <c r="D24" s="31">
        <f t="shared" si="9"/>
        <v>45433.85</v>
      </c>
      <c r="E24" s="31">
        <f t="shared" si="0"/>
        <v>189.31</v>
      </c>
      <c r="F24" s="31">
        <f t="shared" si="1"/>
        <v>1132.27</v>
      </c>
      <c r="G24" s="32">
        <f>IF(B24="","",ROUND(IF(AND(B24=$F$4,$I$5=0),D24-MIN($F$5,D24),IF(Simulatie!$C$13="Lineair",MIN(D24,Simulatie!$C$25),MIN(D24,MAX(0,$I$4-E24)))),2))</f>
        <v>942.96</v>
      </c>
      <c r="H24" s="31">
        <f t="shared" si="2"/>
        <v>0</v>
      </c>
      <c r="I24" s="31">
        <f t="shared" si="3"/>
        <v>0</v>
      </c>
      <c r="J24" s="31">
        <f t="shared" si="4"/>
        <v>1132.27</v>
      </c>
      <c r="K24" s="31">
        <f t="shared" si="5"/>
        <v>44490.89</v>
      </c>
      <c r="L24" s="1"/>
      <c r="M24" s="1" t="s">
        <v>57</v>
      </c>
      <c r="N24" s="1" t="s">
        <v>58</v>
      </c>
      <c r="O24" s="1" t="s">
        <v>49</v>
      </c>
    </row>
    <row r="25" spans="1:15" ht="23" customHeight="1">
      <c r="A25" s="1"/>
      <c r="B25" s="29">
        <f t="shared" si="8"/>
        <v>18</v>
      </c>
      <c r="C25" s="30">
        <f>IF(B25="","",EDATE(Simulatie!$C$14,B25-1))</f>
        <v>46934</v>
      </c>
      <c r="D25" s="31">
        <f t="shared" si="9"/>
        <v>44490.89</v>
      </c>
      <c r="E25" s="31">
        <f t="shared" si="0"/>
        <v>185.38</v>
      </c>
      <c r="F25" s="31">
        <f t="shared" si="1"/>
        <v>1132.27</v>
      </c>
      <c r="G25" s="32">
        <f>IF(B25="","",ROUND(IF(AND(B25=$F$4,$I$5=0),D25-MIN($F$5,D25),IF(Simulatie!$C$13="Lineair",MIN(D25,Simulatie!$C$25),MIN(D25,MAX(0,$I$4-E25)))),2))</f>
        <v>946.89</v>
      </c>
      <c r="H25" s="31">
        <f t="shared" si="2"/>
        <v>0</v>
      </c>
      <c r="I25" s="31">
        <f t="shared" si="3"/>
        <v>0</v>
      </c>
      <c r="J25" s="31">
        <f t="shared" si="4"/>
        <v>1132.27</v>
      </c>
      <c r="K25" s="31">
        <f t="shared" si="5"/>
        <v>43544</v>
      </c>
      <c r="L25" s="1"/>
      <c r="M25" s="1" t="str">
        <f t="shared" ref="M25:M36" si="10">IF(B8="","","M"&amp;B8)</f>
        <v>M1</v>
      </c>
      <c r="N25" s="33">
        <f t="shared" ref="N25:N36" si="11">IF(B8="","",SUM(G8:I8))</f>
        <v>882.27</v>
      </c>
      <c r="O25" s="33">
        <f t="shared" ref="O25:O36" si="12">IF(B8="","",E8)</f>
        <v>250</v>
      </c>
    </row>
    <row r="26" spans="1:15" ht="23" customHeight="1">
      <c r="A26" s="1"/>
      <c r="B26" s="29">
        <f t="shared" si="8"/>
        <v>19</v>
      </c>
      <c r="C26" s="30">
        <f>IF(B26="","",EDATE(Simulatie!$C$14,B26-1))</f>
        <v>46965</v>
      </c>
      <c r="D26" s="31">
        <f t="shared" si="9"/>
        <v>43544</v>
      </c>
      <c r="E26" s="31">
        <f t="shared" si="0"/>
        <v>181.43</v>
      </c>
      <c r="F26" s="31">
        <f t="shared" si="1"/>
        <v>1132.27</v>
      </c>
      <c r="G26" s="32">
        <f>IF(B26="","",ROUND(IF(AND(B26=$F$4,$I$5=0),D26-MIN($F$5,D26),IF(Simulatie!$C$13="Lineair",MIN(D26,Simulatie!$C$25),MIN(D26,MAX(0,$I$4-E26)))),2))</f>
        <v>950.84</v>
      </c>
      <c r="H26" s="31">
        <f t="shared" si="2"/>
        <v>0</v>
      </c>
      <c r="I26" s="31">
        <f t="shared" si="3"/>
        <v>0</v>
      </c>
      <c r="J26" s="31">
        <f t="shared" si="4"/>
        <v>1132.27</v>
      </c>
      <c r="K26" s="31">
        <f t="shared" si="5"/>
        <v>42593.16</v>
      </c>
      <c r="L26" s="1"/>
      <c r="M26" s="1" t="str">
        <f t="shared" si="10"/>
        <v>M2</v>
      </c>
      <c r="N26" s="33">
        <f t="shared" si="11"/>
        <v>885.95</v>
      </c>
      <c r="O26" s="33">
        <f t="shared" si="12"/>
        <v>246.32</v>
      </c>
    </row>
    <row r="27" spans="1:15" ht="23" customHeight="1">
      <c r="A27" s="1"/>
      <c r="B27" s="29">
        <f t="shared" si="8"/>
        <v>20</v>
      </c>
      <c r="C27" s="30">
        <f>IF(B27="","",EDATE(Simulatie!$C$14,B27-1))</f>
        <v>46996</v>
      </c>
      <c r="D27" s="31">
        <f t="shared" si="9"/>
        <v>42593.16</v>
      </c>
      <c r="E27" s="31">
        <f t="shared" si="0"/>
        <v>177.47</v>
      </c>
      <c r="F27" s="31">
        <f t="shared" si="1"/>
        <v>1132.27</v>
      </c>
      <c r="G27" s="32">
        <f>IF(B27="","",ROUND(IF(AND(B27=$F$4,$I$5=0),D27-MIN($F$5,D27),IF(Simulatie!$C$13="Lineair",MIN(D27,Simulatie!$C$25),MIN(D27,MAX(0,$I$4-E27)))),2))</f>
        <v>954.8</v>
      </c>
      <c r="H27" s="31">
        <f t="shared" si="2"/>
        <v>0</v>
      </c>
      <c r="I27" s="31">
        <f t="shared" si="3"/>
        <v>0</v>
      </c>
      <c r="J27" s="31">
        <f t="shared" si="4"/>
        <v>1132.27</v>
      </c>
      <c r="K27" s="31">
        <f t="shared" si="5"/>
        <v>41638.36</v>
      </c>
      <c r="L27" s="1"/>
      <c r="M27" s="1" t="str">
        <f t="shared" si="10"/>
        <v>M3</v>
      </c>
      <c r="N27" s="33">
        <f t="shared" si="11"/>
        <v>889.64</v>
      </c>
      <c r="O27" s="33">
        <f t="shared" si="12"/>
        <v>242.63</v>
      </c>
    </row>
    <row r="28" spans="1:15" ht="23" customHeight="1">
      <c r="A28" s="1"/>
      <c r="B28" s="29">
        <f t="shared" si="8"/>
        <v>21</v>
      </c>
      <c r="C28" s="30">
        <f>IF(B28="","",EDATE(Simulatie!$C$14,B28-1))</f>
        <v>47026</v>
      </c>
      <c r="D28" s="31">
        <f t="shared" si="9"/>
        <v>41638.36</v>
      </c>
      <c r="E28" s="31">
        <f t="shared" si="0"/>
        <v>173.49</v>
      </c>
      <c r="F28" s="31">
        <f t="shared" si="1"/>
        <v>1132.27</v>
      </c>
      <c r="G28" s="32">
        <f>IF(B28="","",ROUND(IF(AND(B28=$F$4,$I$5=0),D28-MIN($F$5,D28),IF(Simulatie!$C$13="Lineair",MIN(D28,Simulatie!$C$25),MIN(D28,MAX(0,$I$4-E28)))),2))</f>
        <v>958.78</v>
      </c>
      <c r="H28" s="31">
        <f t="shared" si="2"/>
        <v>0</v>
      </c>
      <c r="I28" s="31">
        <f t="shared" si="3"/>
        <v>0</v>
      </c>
      <c r="J28" s="31">
        <f t="shared" si="4"/>
        <v>1132.27</v>
      </c>
      <c r="K28" s="31">
        <f t="shared" si="5"/>
        <v>40679.58</v>
      </c>
      <c r="L28" s="1"/>
      <c r="M28" s="1" t="str">
        <f t="shared" si="10"/>
        <v>M4</v>
      </c>
      <c r="N28" s="33">
        <f t="shared" si="11"/>
        <v>893.34</v>
      </c>
      <c r="O28" s="33">
        <f t="shared" si="12"/>
        <v>238.93</v>
      </c>
    </row>
    <row r="29" spans="1:15" ht="23" customHeight="1">
      <c r="A29" s="1"/>
      <c r="B29" s="29">
        <f t="shared" si="8"/>
        <v>22</v>
      </c>
      <c r="C29" s="30">
        <f>IF(B29="","",EDATE(Simulatie!$C$14,B29-1))</f>
        <v>47057</v>
      </c>
      <c r="D29" s="31">
        <f t="shared" si="9"/>
        <v>40679.58</v>
      </c>
      <c r="E29" s="31">
        <f t="shared" si="0"/>
        <v>169.5</v>
      </c>
      <c r="F29" s="31">
        <f t="shared" si="1"/>
        <v>1132.27</v>
      </c>
      <c r="G29" s="32">
        <f>IF(B29="","",ROUND(IF(AND(B29=$F$4,$I$5=0),D29-MIN($F$5,D29),IF(Simulatie!$C$13="Lineair",MIN(D29,Simulatie!$C$25),MIN(D29,MAX(0,$I$4-E29)))),2))</f>
        <v>962.77</v>
      </c>
      <c r="H29" s="31">
        <f t="shared" si="2"/>
        <v>0</v>
      </c>
      <c r="I29" s="31">
        <f t="shared" si="3"/>
        <v>0</v>
      </c>
      <c r="J29" s="31">
        <f t="shared" si="4"/>
        <v>1132.27</v>
      </c>
      <c r="K29" s="31">
        <f t="shared" si="5"/>
        <v>39716.81</v>
      </c>
      <c r="L29" s="1"/>
      <c r="M29" s="1" t="str">
        <f t="shared" si="10"/>
        <v>M5</v>
      </c>
      <c r="N29" s="33">
        <f t="shared" si="11"/>
        <v>897.07</v>
      </c>
      <c r="O29" s="33">
        <f t="shared" si="12"/>
        <v>235.2</v>
      </c>
    </row>
    <row r="30" spans="1:15" ht="23" customHeight="1">
      <c r="A30" s="1"/>
      <c r="B30" s="29">
        <f t="shared" si="8"/>
        <v>23</v>
      </c>
      <c r="C30" s="30">
        <f>IF(B30="","",EDATE(Simulatie!$C$14,B30-1))</f>
        <v>47087</v>
      </c>
      <c r="D30" s="31">
        <f t="shared" si="9"/>
        <v>39716.81</v>
      </c>
      <c r="E30" s="31">
        <f t="shared" si="0"/>
        <v>165.49</v>
      </c>
      <c r="F30" s="31">
        <f t="shared" si="1"/>
        <v>1132.27</v>
      </c>
      <c r="G30" s="32">
        <f>IF(B30="","",ROUND(IF(AND(B30=$F$4,$I$5=0),D30-MIN($F$5,D30),IF(Simulatie!$C$13="Lineair",MIN(D30,Simulatie!$C$25),MIN(D30,MAX(0,$I$4-E30)))),2))</f>
        <v>966.78</v>
      </c>
      <c r="H30" s="31">
        <f t="shared" si="2"/>
        <v>0</v>
      </c>
      <c r="I30" s="31">
        <f t="shared" si="3"/>
        <v>0</v>
      </c>
      <c r="J30" s="31">
        <f t="shared" si="4"/>
        <v>1132.27</v>
      </c>
      <c r="K30" s="31">
        <f t="shared" si="5"/>
        <v>38750.03</v>
      </c>
      <c r="L30" s="1"/>
      <c r="M30" s="1" t="str">
        <f t="shared" si="10"/>
        <v>M6</v>
      </c>
      <c r="N30" s="33">
        <f t="shared" si="11"/>
        <v>900.8</v>
      </c>
      <c r="O30" s="33">
        <f t="shared" si="12"/>
        <v>231.47</v>
      </c>
    </row>
    <row r="31" spans="1:15" ht="23" customHeight="1">
      <c r="A31" s="1"/>
      <c r="B31" s="29">
        <f t="shared" si="8"/>
        <v>24</v>
      </c>
      <c r="C31" s="30">
        <f>IF(B31="","",EDATE(Simulatie!$C$14,B31-1))</f>
        <v>47118</v>
      </c>
      <c r="D31" s="31">
        <f t="shared" si="9"/>
        <v>38750.03</v>
      </c>
      <c r="E31" s="31">
        <f t="shared" si="0"/>
        <v>161.46</v>
      </c>
      <c r="F31" s="31">
        <f t="shared" si="1"/>
        <v>1132.27</v>
      </c>
      <c r="G31" s="32">
        <f>IF(B31="","",ROUND(IF(AND(B31=$F$4,$I$5=0),D31-MIN($F$5,D31),IF(Simulatie!$C$13="Lineair",MIN(D31,Simulatie!$C$25),MIN(D31,MAX(0,$I$4-E31)))),2))</f>
        <v>970.81</v>
      </c>
      <c r="H31" s="31">
        <f t="shared" si="2"/>
        <v>0</v>
      </c>
      <c r="I31" s="31">
        <f t="shared" si="3"/>
        <v>0</v>
      </c>
      <c r="J31" s="31">
        <f t="shared" si="4"/>
        <v>1132.27</v>
      </c>
      <c r="K31" s="31">
        <f t="shared" si="5"/>
        <v>37779.22</v>
      </c>
      <c r="L31" s="1"/>
      <c r="M31" s="1" t="str">
        <f t="shared" si="10"/>
        <v>M7</v>
      </c>
      <c r="N31" s="33">
        <f t="shared" si="11"/>
        <v>904.56</v>
      </c>
      <c r="O31" s="33">
        <f t="shared" si="12"/>
        <v>227.71</v>
      </c>
    </row>
    <row r="32" spans="1:15" ht="23" customHeight="1">
      <c r="A32" s="1"/>
      <c r="B32" s="29">
        <f t="shared" si="8"/>
        <v>25</v>
      </c>
      <c r="C32" s="30">
        <f>IF(B32="","",EDATE(Simulatie!$C$14,B32-1))</f>
        <v>47149</v>
      </c>
      <c r="D32" s="31">
        <f t="shared" si="9"/>
        <v>37779.22</v>
      </c>
      <c r="E32" s="31">
        <f t="shared" si="0"/>
        <v>157.41</v>
      </c>
      <c r="F32" s="31">
        <f t="shared" si="1"/>
        <v>1132.27</v>
      </c>
      <c r="G32" s="32">
        <f>IF(B32="","",ROUND(IF(AND(B32=$F$4,$I$5=0),D32-MIN($F$5,D32),IF(Simulatie!$C$13="Lineair",MIN(D32,Simulatie!$C$25),MIN(D32,MAX(0,$I$4-E32)))),2))</f>
        <v>974.86</v>
      </c>
      <c r="H32" s="31">
        <f t="shared" si="2"/>
        <v>0</v>
      </c>
      <c r="I32" s="31">
        <f t="shared" si="3"/>
        <v>0</v>
      </c>
      <c r="J32" s="31">
        <f t="shared" si="4"/>
        <v>1132.27</v>
      </c>
      <c r="K32" s="31">
        <f t="shared" si="5"/>
        <v>36804.36</v>
      </c>
      <c r="L32" s="1"/>
      <c r="M32" s="1" t="str">
        <f t="shared" si="10"/>
        <v>M8</v>
      </c>
      <c r="N32" s="33">
        <f t="shared" si="11"/>
        <v>908.33</v>
      </c>
      <c r="O32" s="33">
        <f t="shared" si="12"/>
        <v>223.94</v>
      </c>
    </row>
    <row r="33" spans="1:15" ht="23" customHeight="1">
      <c r="A33" s="1"/>
      <c r="B33" s="29">
        <f t="shared" si="8"/>
        <v>26</v>
      </c>
      <c r="C33" s="30">
        <f>IF(B33="","",EDATE(Simulatie!$C$14,B33-1))</f>
        <v>47177</v>
      </c>
      <c r="D33" s="31">
        <f t="shared" si="9"/>
        <v>36804.36</v>
      </c>
      <c r="E33" s="31">
        <f t="shared" si="0"/>
        <v>153.35</v>
      </c>
      <c r="F33" s="31">
        <f t="shared" si="1"/>
        <v>1132.27</v>
      </c>
      <c r="G33" s="32">
        <f>IF(B33="","",ROUND(IF(AND(B33=$F$4,$I$5=0),D33-MIN($F$5,D33),IF(Simulatie!$C$13="Lineair",MIN(D33,Simulatie!$C$25),MIN(D33,MAX(0,$I$4-E33)))),2))</f>
        <v>978.92</v>
      </c>
      <c r="H33" s="31">
        <f t="shared" si="2"/>
        <v>0</v>
      </c>
      <c r="I33" s="31">
        <f t="shared" si="3"/>
        <v>0</v>
      </c>
      <c r="J33" s="31">
        <f t="shared" si="4"/>
        <v>1132.27</v>
      </c>
      <c r="K33" s="31">
        <f t="shared" si="5"/>
        <v>35825.440000000002</v>
      </c>
      <c r="L33" s="1"/>
      <c r="M33" s="1" t="str">
        <f t="shared" si="10"/>
        <v>M9</v>
      </c>
      <c r="N33" s="33">
        <f t="shared" si="11"/>
        <v>912.11</v>
      </c>
      <c r="O33" s="33">
        <f t="shared" si="12"/>
        <v>220.16</v>
      </c>
    </row>
    <row r="34" spans="1:15" ht="23" customHeight="1">
      <c r="A34" s="1"/>
      <c r="B34" s="29">
        <f t="shared" si="8"/>
        <v>27</v>
      </c>
      <c r="C34" s="30">
        <f>IF(B34="","",EDATE(Simulatie!$C$14,B34-1))</f>
        <v>47208</v>
      </c>
      <c r="D34" s="31">
        <f t="shared" si="9"/>
        <v>35825.440000000002</v>
      </c>
      <c r="E34" s="31">
        <f t="shared" si="0"/>
        <v>149.27000000000001</v>
      </c>
      <c r="F34" s="31">
        <f t="shared" si="1"/>
        <v>1132.27</v>
      </c>
      <c r="G34" s="32">
        <f>IF(B34="","",ROUND(IF(AND(B34=$F$4,$I$5=0),D34-MIN($F$5,D34),IF(Simulatie!$C$13="Lineair",MIN(D34,Simulatie!$C$25),MIN(D34,MAX(0,$I$4-E34)))),2))</f>
        <v>983</v>
      </c>
      <c r="H34" s="31">
        <f t="shared" si="2"/>
        <v>0</v>
      </c>
      <c r="I34" s="31">
        <f t="shared" si="3"/>
        <v>0</v>
      </c>
      <c r="J34" s="31">
        <f t="shared" si="4"/>
        <v>1132.27</v>
      </c>
      <c r="K34" s="31">
        <f t="shared" si="5"/>
        <v>34842.44</v>
      </c>
      <c r="L34" s="1"/>
      <c r="M34" s="1" t="str">
        <f t="shared" si="10"/>
        <v>M10</v>
      </c>
      <c r="N34" s="33">
        <f t="shared" si="11"/>
        <v>915.91</v>
      </c>
      <c r="O34" s="33">
        <f t="shared" si="12"/>
        <v>216.36</v>
      </c>
    </row>
    <row r="35" spans="1:15" ht="23" customHeight="1">
      <c r="A35" s="1"/>
      <c r="B35" s="29">
        <f t="shared" si="8"/>
        <v>28</v>
      </c>
      <c r="C35" s="30">
        <f>IF(B35="","",EDATE(Simulatie!$C$14,B35-1))</f>
        <v>47238</v>
      </c>
      <c r="D35" s="31">
        <f t="shared" si="9"/>
        <v>34842.44</v>
      </c>
      <c r="E35" s="31">
        <f t="shared" si="0"/>
        <v>145.18</v>
      </c>
      <c r="F35" s="31">
        <f t="shared" si="1"/>
        <v>1132.27</v>
      </c>
      <c r="G35" s="32">
        <f>IF(B35="","",ROUND(IF(AND(B35=$F$4,$I$5=0),D35-MIN($F$5,D35),IF(Simulatie!$C$13="Lineair",MIN(D35,Simulatie!$C$25),MIN(D35,MAX(0,$I$4-E35)))),2))</f>
        <v>987.09</v>
      </c>
      <c r="H35" s="31">
        <f t="shared" si="2"/>
        <v>0</v>
      </c>
      <c r="I35" s="31">
        <f t="shared" si="3"/>
        <v>0</v>
      </c>
      <c r="J35" s="31">
        <f t="shared" si="4"/>
        <v>1132.27</v>
      </c>
      <c r="K35" s="31">
        <f t="shared" si="5"/>
        <v>33855.35</v>
      </c>
      <c r="L35" s="1"/>
      <c r="M35" s="1" t="str">
        <f t="shared" si="10"/>
        <v>M11</v>
      </c>
      <c r="N35" s="33">
        <f t="shared" si="11"/>
        <v>919.73</v>
      </c>
      <c r="O35" s="33">
        <f t="shared" si="12"/>
        <v>212.54</v>
      </c>
    </row>
    <row r="36" spans="1:15" ht="23" customHeight="1">
      <c r="A36" s="1"/>
      <c r="B36" s="29">
        <f t="shared" si="8"/>
        <v>29</v>
      </c>
      <c r="C36" s="30">
        <f>IF(B36="","",EDATE(Simulatie!$C$14,B36-1))</f>
        <v>47269</v>
      </c>
      <c r="D36" s="31">
        <f t="shared" si="9"/>
        <v>33855.35</v>
      </c>
      <c r="E36" s="31">
        <f t="shared" si="0"/>
        <v>141.06</v>
      </c>
      <c r="F36" s="31">
        <f t="shared" si="1"/>
        <v>1132.27</v>
      </c>
      <c r="G36" s="32">
        <f>IF(B36="","",ROUND(IF(AND(B36=$F$4,$I$5=0),D36-MIN($F$5,D36),IF(Simulatie!$C$13="Lineair",MIN(D36,Simulatie!$C$25),MIN(D36,MAX(0,$I$4-E36)))),2))</f>
        <v>991.21</v>
      </c>
      <c r="H36" s="31">
        <f t="shared" si="2"/>
        <v>0</v>
      </c>
      <c r="I36" s="31">
        <f t="shared" si="3"/>
        <v>0</v>
      </c>
      <c r="J36" s="31">
        <f t="shared" si="4"/>
        <v>1132.27</v>
      </c>
      <c r="K36" s="31">
        <f t="shared" si="5"/>
        <v>32864.14</v>
      </c>
      <c r="L36" s="1"/>
      <c r="M36" s="1" t="str">
        <f t="shared" si="10"/>
        <v>M12</v>
      </c>
      <c r="N36" s="33">
        <f t="shared" si="11"/>
        <v>923.56</v>
      </c>
      <c r="O36" s="33">
        <f t="shared" si="12"/>
        <v>208.71</v>
      </c>
    </row>
    <row r="37" spans="1:15" ht="23" customHeight="1">
      <c r="A37" s="1"/>
      <c r="B37" s="29">
        <f t="shared" si="8"/>
        <v>30</v>
      </c>
      <c r="C37" s="30">
        <f>IF(B37="","",EDATE(Simulatie!$C$14,B37-1))</f>
        <v>47299</v>
      </c>
      <c r="D37" s="31">
        <f t="shared" si="9"/>
        <v>32864.14</v>
      </c>
      <c r="E37" s="31">
        <f t="shared" si="0"/>
        <v>136.93</v>
      </c>
      <c r="F37" s="31">
        <f t="shared" si="1"/>
        <v>1132.27</v>
      </c>
      <c r="G37" s="32">
        <f>IF(B37="","",ROUND(IF(AND(B37=$F$4,$I$5=0),D37-MIN($F$5,D37),IF(Simulatie!$C$13="Lineair",MIN(D37,Simulatie!$C$25),MIN(D37,MAX(0,$I$4-E37)))),2))</f>
        <v>995.34</v>
      </c>
      <c r="H37" s="31">
        <f t="shared" si="2"/>
        <v>0</v>
      </c>
      <c r="I37" s="31">
        <f t="shared" si="3"/>
        <v>0</v>
      </c>
      <c r="J37" s="31">
        <f t="shared" si="4"/>
        <v>1132.27</v>
      </c>
      <c r="K37" s="31">
        <f t="shared" si="5"/>
        <v>31868.799999999999</v>
      </c>
      <c r="L37" s="1"/>
      <c r="M37" s="1"/>
      <c r="N37" s="1"/>
      <c r="O37" s="1"/>
    </row>
    <row r="38" spans="1:15" ht="23" customHeight="1">
      <c r="A38" s="1"/>
      <c r="B38" s="29">
        <f t="shared" si="8"/>
        <v>31</v>
      </c>
      <c r="C38" s="30">
        <f>IF(B38="","",EDATE(Simulatie!$C$14,B38-1))</f>
        <v>47330</v>
      </c>
      <c r="D38" s="31">
        <f t="shared" si="9"/>
        <v>31868.799999999999</v>
      </c>
      <c r="E38" s="31">
        <f t="shared" si="0"/>
        <v>132.79</v>
      </c>
      <c r="F38" s="31">
        <f t="shared" si="1"/>
        <v>1132.27</v>
      </c>
      <c r="G38" s="32">
        <f>IF(B38="","",ROUND(IF(AND(B38=$F$4,$I$5=0),D38-MIN($F$5,D38),IF(Simulatie!$C$13="Lineair",MIN(D38,Simulatie!$C$25),MIN(D38,MAX(0,$I$4-E38)))),2))</f>
        <v>999.48</v>
      </c>
      <c r="H38" s="31">
        <f t="shared" si="2"/>
        <v>0</v>
      </c>
      <c r="I38" s="31">
        <f t="shared" si="3"/>
        <v>0</v>
      </c>
      <c r="J38" s="31">
        <f t="shared" si="4"/>
        <v>1132.27</v>
      </c>
      <c r="K38" s="31">
        <f t="shared" si="5"/>
        <v>30869.32</v>
      </c>
      <c r="L38" s="1"/>
      <c r="M38" s="1"/>
      <c r="N38" s="1"/>
      <c r="O38" s="1"/>
    </row>
    <row r="39" spans="1:15" ht="23" customHeight="1">
      <c r="A39" s="1"/>
      <c r="B39" s="29">
        <f t="shared" si="8"/>
        <v>32</v>
      </c>
      <c r="C39" s="30">
        <f>IF(B39="","",EDATE(Simulatie!$C$14,B39-1))</f>
        <v>47361</v>
      </c>
      <c r="D39" s="31">
        <f t="shared" si="9"/>
        <v>30869.32</v>
      </c>
      <c r="E39" s="31">
        <f t="shared" si="0"/>
        <v>128.62</v>
      </c>
      <c r="F39" s="31">
        <f t="shared" si="1"/>
        <v>1132.27</v>
      </c>
      <c r="G39" s="32">
        <f>IF(B39="","",ROUND(IF(AND(B39=$F$4,$I$5=0),D39-MIN($F$5,D39),IF(Simulatie!$C$13="Lineair",MIN(D39,Simulatie!$C$25),MIN(D39,MAX(0,$I$4-E39)))),2))</f>
        <v>1003.65</v>
      </c>
      <c r="H39" s="31">
        <f t="shared" si="2"/>
        <v>0</v>
      </c>
      <c r="I39" s="31">
        <f t="shared" si="3"/>
        <v>0</v>
      </c>
      <c r="J39" s="31">
        <f t="shared" si="4"/>
        <v>1132.27</v>
      </c>
      <c r="K39" s="31">
        <f t="shared" si="5"/>
        <v>29865.67</v>
      </c>
      <c r="L39" s="1"/>
      <c r="M39" s="1"/>
      <c r="N39" s="1"/>
      <c r="O39" s="1"/>
    </row>
    <row r="40" spans="1:15" ht="23" customHeight="1">
      <c r="A40" s="1"/>
      <c r="B40" s="29">
        <f t="shared" si="8"/>
        <v>33</v>
      </c>
      <c r="C40" s="30">
        <f>IF(B40="","",EDATE(Simulatie!$C$14,B40-1))</f>
        <v>47391</v>
      </c>
      <c r="D40" s="31">
        <f t="shared" si="9"/>
        <v>29865.67</v>
      </c>
      <c r="E40" s="31">
        <f t="shared" si="0"/>
        <v>124.44</v>
      </c>
      <c r="F40" s="31">
        <f t="shared" si="1"/>
        <v>1132.27</v>
      </c>
      <c r="G40" s="32">
        <f>IF(B40="","",ROUND(IF(AND(B40=$F$4,$I$5=0),D40-MIN($F$5,D40),IF(Simulatie!$C$13="Lineair",MIN(D40,Simulatie!$C$25),MIN(D40,MAX(0,$I$4-E40)))),2))</f>
        <v>1007.83</v>
      </c>
      <c r="H40" s="31">
        <f t="shared" si="2"/>
        <v>0</v>
      </c>
      <c r="I40" s="31">
        <f t="shared" si="3"/>
        <v>0</v>
      </c>
      <c r="J40" s="31">
        <f t="shared" si="4"/>
        <v>1132.27</v>
      </c>
      <c r="K40" s="31">
        <f t="shared" si="5"/>
        <v>28857.84</v>
      </c>
      <c r="L40" s="1"/>
      <c r="M40" s="1"/>
      <c r="N40" s="1"/>
      <c r="O40" s="1"/>
    </row>
    <row r="41" spans="1:15" ht="23" customHeight="1">
      <c r="A41" s="1"/>
      <c r="B41" s="29">
        <f t="shared" si="8"/>
        <v>34</v>
      </c>
      <c r="C41" s="30">
        <f>IF(B41="","",EDATE(Simulatie!$C$14,B41-1))</f>
        <v>47422</v>
      </c>
      <c r="D41" s="31">
        <f t="shared" si="9"/>
        <v>28857.84</v>
      </c>
      <c r="E41" s="31">
        <f t="shared" si="0"/>
        <v>120.24</v>
      </c>
      <c r="F41" s="31">
        <f t="shared" si="1"/>
        <v>1132.27</v>
      </c>
      <c r="G41" s="32">
        <f>IF(B41="","",ROUND(IF(AND(B41=$F$4,$I$5=0),D41-MIN($F$5,D41),IF(Simulatie!$C$13="Lineair",MIN(D41,Simulatie!$C$25),MIN(D41,MAX(0,$I$4-E41)))),2))</f>
        <v>1012.03</v>
      </c>
      <c r="H41" s="31">
        <f t="shared" si="2"/>
        <v>0</v>
      </c>
      <c r="I41" s="31">
        <f t="shared" si="3"/>
        <v>0</v>
      </c>
      <c r="J41" s="31">
        <f t="shared" si="4"/>
        <v>1132.27</v>
      </c>
      <c r="K41" s="31">
        <f t="shared" si="5"/>
        <v>27845.81</v>
      </c>
      <c r="L41" s="1"/>
      <c r="M41" s="1"/>
      <c r="N41" s="1"/>
      <c r="O41" s="1"/>
    </row>
    <row r="42" spans="1:15" ht="23" customHeight="1">
      <c r="A42" s="1"/>
      <c r="B42" s="29">
        <f t="shared" si="8"/>
        <v>35</v>
      </c>
      <c r="C42" s="30">
        <f>IF(B42="","",EDATE(Simulatie!$C$14,B42-1))</f>
        <v>47452</v>
      </c>
      <c r="D42" s="31">
        <f t="shared" si="9"/>
        <v>27845.81</v>
      </c>
      <c r="E42" s="31">
        <f t="shared" si="0"/>
        <v>116.02</v>
      </c>
      <c r="F42" s="31">
        <f t="shared" si="1"/>
        <v>1132.27</v>
      </c>
      <c r="G42" s="32">
        <f>IF(B42="","",ROUND(IF(AND(B42=$F$4,$I$5=0),D42-MIN($F$5,D42),IF(Simulatie!$C$13="Lineair",MIN(D42,Simulatie!$C$25),MIN(D42,MAX(0,$I$4-E42)))),2))</f>
        <v>1016.25</v>
      </c>
      <c r="H42" s="31">
        <f t="shared" si="2"/>
        <v>0</v>
      </c>
      <c r="I42" s="31">
        <f t="shared" si="3"/>
        <v>0</v>
      </c>
      <c r="J42" s="31">
        <f t="shared" si="4"/>
        <v>1132.27</v>
      </c>
      <c r="K42" s="31">
        <f t="shared" si="5"/>
        <v>26829.56</v>
      </c>
      <c r="L42" s="1"/>
      <c r="M42" s="1"/>
      <c r="N42" s="1"/>
      <c r="O42" s="1"/>
    </row>
    <row r="43" spans="1:15" ht="23" customHeight="1">
      <c r="A43" s="1"/>
      <c r="B43" s="29">
        <f t="shared" si="8"/>
        <v>36</v>
      </c>
      <c r="C43" s="30">
        <f>IF(B43="","",EDATE(Simulatie!$C$14,B43-1))</f>
        <v>47483</v>
      </c>
      <c r="D43" s="31">
        <f t="shared" si="9"/>
        <v>26829.56</v>
      </c>
      <c r="E43" s="31">
        <f t="shared" si="0"/>
        <v>111.79</v>
      </c>
      <c r="F43" s="31">
        <f t="shared" si="1"/>
        <v>1132.27</v>
      </c>
      <c r="G43" s="32">
        <f>IF(B43="","",ROUND(IF(AND(B43=$F$4,$I$5=0),D43-MIN($F$5,D43),IF(Simulatie!$C$13="Lineair",MIN(D43,Simulatie!$C$25),MIN(D43,MAX(0,$I$4-E43)))),2))</f>
        <v>1020.48</v>
      </c>
      <c r="H43" s="31">
        <f t="shared" si="2"/>
        <v>0</v>
      </c>
      <c r="I43" s="31">
        <f t="shared" si="3"/>
        <v>0</v>
      </c>
      <c r="J43" s="31">
        <f t="shared" si="4"/>
        <v>1132.27</v>
      </c>
      <c r="K43" s="31">
        <f t="shared" si="5"/>
        <v>25809.08</v>
      </c>
      <c r="L43" s="1"/>
      <c r="M43" s="1"/>
      <c r="N43" s="1"/>
      <c r="O43" s="1"/>
    </row>
    <row r="44" spans="1:15" ht="23" customHeight="1">
      <c r="A44" s="1"/>
      <c r="B44" s="29">
        <f t="shared" si="8"/>
        <v>37</v>
      </c>
      <c r="C44" s="30">
        <f>IF(B44="","",EDATE(Simulatie!$C$14,B44-1))</f>
        <v>47514</v>
      </c>
      <c r="D44" s="31">
        <f t="shared" si="9"/>
        <v>25809.08</v>
      </c>
      <c r="E44" s="31">
        <f t="shared" si="0"/>
        <v>107.54</v>
      </c>
      <c r="F44" s="31">
        <f t="shared" si="1"/>
        <v>1132.27</v>
      </c>
      <c r="G44" s="32">
        <f>IF(B44="","",ROUND(IF(AND(B44=$F$4,$I$5=0),D44-MIN($F$5,D44),IF(Simulatie!$C$13="Lineair",MIN(D44,Simulatie!$C$25),MIN(D44,MAX(0,$I$4-E44)))),2))</f>
        <v>1024.73</v>
      </c>
      <c r="H44" s="31">
        <f t="shared" si="2"/>
        <v>0</v>
      </c>
      <c r="I44" s="31">
        <f t="shared" si="3"/>
        <v>0</v>
      </c>
      <c r="J44" s="31">
        <f t="shared" si="4"/>
        <v>1132.27</v>
      </c>
      <c r="K44" s="31">
        <f t="shared" si="5"/>
        <v>24784.35</v>
      </c>
      <c r="L44" s="1"/>
      <c r="M44" s="1"/>
      <c r="N44" s="1"/>
      <c r="O44" s="1"/>
    </row>
    <row r="45" spans="1:15" ht="23" customHeight="1">
      <c r="A45" s="1"/>
      <c r="B45" s="29">
        <f t="shared" si="8"/>
        <v>38</v>
      </c>
      <c r="C45" s="30">
        <f>IF(B45="","",EDATE(Simulatie!$C$14,B45-1))</f>
        <v>47542</v>
      </c>
      <c r="D45" s="31">
        <f t="shared" si="9"/>
        <v>24784.35</v>
      </c>
      <c r="E45" s="31">
        <f t="shared" si="0"/>
        <v>103.27</v>
      </c>
      <c r="F45" s="31">
        <f t="shared" si="1"/>
        <v>1132.27</v>
      </c>
      <c r="G45" s="32">
        <f>IF(B45="","",ROUND(IF(AND(B45=$F$4,$I$5=0),D45-MIN($F$5,D45),IF(Simulatie!$C$13="Lineair",MIN(D45,Simulatie!$C$25),MIN(D45,MAX(0,$I$4-E45)))),2))</f>
        <v>1029</v>
      </c>
      <c r="H45" s="31">
        <f t="shared" si="2"/>
        <v>0</v>
      </c>
      <c r="I45" s="31">
        <f t="shared" si="3"/>
        <v>0</v>
      </c>
      <c r="J45" s="31">
        <f t="shared" si="4"/>
        <v>1132.27</v>
      </c>
      <c r="K45" s="31">
        <f t="shared" si="5"/>
        <v>23755.35</v>
      </c>
      <c r="L45" s="1"/>
      <c r="M45" s="1"/>
      <c r="N45" s="1"/>
      <c r="O45" s="1"/>
    </row>
    <row r="46" spans="1:15" ht="23" customHeight="1">
      <c r="A46" s="1"/>
      <c r="B46" s="29">
        <f t="shared" si="8"/>
        <v>39</v>
      </c>
      <c r="C46" s="30">
        <f>IF(B46="","",EDATE(Simulatie!$C$14,B46-1))</f>
        <v>47573</v>
      </c>
      <c r="D46" s="31">
        <f t="shared" si="9"/>
        <v>23755.35</v>
      </c>
      <c r="E46" s="31">
        <f t="shared" si="0"/>
        <v>98.98</v>
      </c>
      <c r="F46" s="31">
        <f t="shared" si="1"/>
        <v>1132.27</v>
      </c>
      <c r="G46" s="32">
        <f>IF(B46="","",ROUND(IF(AND(B46=$F$4,$I$5=0),D46-MIN($F$5,D46),IF(Simulatie!$C$13="Lineair",MIN(D46,Simulatie!$C$25),MIN(D46,MAX(0,$I$4-E46)))),2))</f>
        <v>1033.29</v>
      </c>
      <c r="H46" s="31">
        <f t="shared" si="2"/>
        <v>0</v>
      </c>
      <c r="I46" s="31">
        <f t="shared" si="3"/>
        <v>0</v>
      </c>
      <c r="J46" s="31">
        <f t="shared" si="4"/>
        <v>1132.27</v>
      </c>
      <c r="K46" s="31">
        <f t="shared" si="5"/>
        <v>22722.06</v>
      </c>
      <c r="L46" s="1"/>
      <c r="M46" s="1"/>
      <c r="N46" s="1"/>
      <c r="O46" s="1"/>
    </row>
    <row r="47" spans="1:15" ht="23" customHeight="1">
      <c r="A47" s="1"/>
      <c r="B47" s="29">
        <f t="shared" si="8"/>
        <v>40</v>
      </c>
      <c r="C47" s="30">
        <f>IF(B47="","",EDATE(Simulatie!$C$14,B47-1))</f>
        <v>47603</v>
      </c>
      <c r="D47" s="31">
        <f t="shared" si="9"/>
        <v>22722.06</v>
      </c>
      <c r="E47" s="31">
        <f t="shared" si="0"/>
        <v>94.68</v>
      </c>
      <c r="F47" s="31">
        <f t="shared" si="1"/>
        <v>1132.27</v>
      </c>
      <c r="G47" s="32">
        <f>IF(B47="","",ROUND(IF(AND(B47=$F$4,$I$5=0),D47-MIN($F$5,D47),IF(Simulatie!$C$13="Lineair",MIN(D47,Simulatie!$C$25),MIN(D47,MAX(0,$I$4-E47)))),2))</f>
        <v>1037.5899999999999</v>
      </c>
      <c r="H47" s="31">
        <f t="shared" si="2"/>
        <v>0</v>
      </c>
      <c r="I47" s="31">
        <f t="shared" si="3"/>
        <v>0</v>
      </c>
      <c r="J47" s="31">
        <f t="shared" si="4"/>
        <v>1132.27</v>
      </c>
      <c r="K47" s="31">
        <f t="shared" si="5"/>
        <v>21684.47</v>
      </c>
      <c r="L47" s="1"/>
      <c r="M47" s="1"/>
      <c r="N47" s="1"/>
      <c r="O47" s="1"/>
    </row>
    <row r="48" spans="1:15" ht="23" customHeight="1">
      <c r="A48" s="1"/>
      <c r="B48" s="29">
        <f t="shared" si="8"/>
        <v>41</v>
      </c>
      <c r="C48" s="30">
        <f>IF(B48="","",EDATE(Simulatie!$C$14,B48-1))</f>
        <v>47634</v>
      </c>
      <c r="D48" s="31">
        <f t="shared" si="9"/>
        <v>21684.47</v>
      </c>
      <c r="E48" s="31">
        <f t="shared" si="0"/>
        <v>90.35</v>
      </c>
      <c r="F48" s="31">
        <f t="shared" si="1"/>
        <v>1132.27</v>
      </c>
      <c r="G48" s="32">
        <f>IF(B48="","",ROUND(IF(AND(B48=$F$4,$I$5=0),D48-MIN($F$5,D48),IF(Simulatie!$C$13="Lineair",MIN(D48,Simulatie!$C$25),MIN(D48,MAX(0,$I$4-E48)))),2))</f>
        <v>1041.92</v>
      </c>
      <c r="H48" s="31">
        <f t="shared" si="2"/>
        <v>0</v>
      </c>
      <c r="I48" s="31">
        <f t="shared" si="3"/>
        <v>0</v>
      </c>
      <c r="J48" s="31">
        <f t="shared" si="4"/>
        <v>1132.27</v>
      </c>
      <c r="K48" s="31">
        <f t="shared" si="5"/>
        <v>20642.55</v>
      </c>
      <c r="L48" s="1"/>
      <c r="M48" s="1"/>
      <c r="N48" s="1"/>
      <c r="O48" s="1"/>
    </row>
    <row r="49" spans="1:15" ht="23" customHeight="1">
      <c r="A49" s="1"/>
      <c r="B49" s="29">
        <f t="shared" si="8"/>
        <v>42</v>
      </c>
      <c r="C49" s="30">
        <f>IF(B49="","",EDATE(Simulatie!$C$14,B49-1))</f>
        <v>47664</v>
      </c>
      <c r="D49" s="31">
        <f t="shared" si="9"/>
        <v>20642.55</v>
      </c>
      <c r="E49" s="31">
        <f t="shared" si="0"/>
        <v>86.01</v>
      </c>
      <c r="F49" s="31">
        <f t="shared" si="1"/>
        <v>1132.27</v>
      </c>
      <c r="G49" s="32">
        <f>IF(B49="","",ROUND(IF(AND(B49=$F$4,$I$5=0),D49-MIN($F$5,D49),IF(Simulatie!$C$13="Lineair",MIN(D49,Simulatie!$C$25),MIN(D49,MAX(0,$I$4-E49)))),2))</f>
        <v>1046.26</v>
      </c>
      <c r="H49" s="31">
        <f t="shared" si="2"/>
        <v>0</v>
      </c>
      <c r="I49" s="31">
        <f t="shared" si="3"/>
        <v>0</v>
      </c>
      <c r="J49" s="31">
        <f t="shared" si="4"/>
        <v>1132.27</v>
      </c>
      <c r="K49" s="31">
        <f t="shared" si="5"/>
        <v>19596.29</v>
      </c>
      <c r="L49" s="1"/>
      <c r="M49" s="1"/>
      <c r="N49" s="1"/>
      <c r="O49" s="1"/>
    </row>
    <row r="50" spans="1:15" ht="23" customHeight="1">
      <c r="A50" s="1"/>
      <c r="B50" s="29">
        <f t="shared" si="8"/>
        <v>43</v>
      </c>
      <c r="C50" s="30">
        <f>IF(B50="","",EDATE(Simulatie!$C$14,B50-1))</f>
        <v>47695</v>
      </c>
      <c r="D50" s="31">
        <f t="shared" si="9"/>
        <v>19596.29</v>
      </c>
      <c r="E50" s="31">
        <f t="shared" si="0"/>
        <v>81.650000000000006</v>
      </c>
      <c r="F50" s="31">
        <f t="shared" si="1"/>
        <v>1132.27</v>
      </c>
      <c r="G50" s="32">
        <f>IF(B50="","",ROUND(IF(AND(B50=$F$4,$I$5=0),D50-MIN($F$5,D50),IF(Simulatie!$C$13="Lineair",MIN(D50,Simulatie!$C$25),MIN(D50,MAX(0,$I$4-E50)))),2))</f>
        <v>1050.6199999999999</v>
      </c>
      <c r="H50" s="31">
        <f t="shared" si="2"/>
        <v>0</v>
      </c>
      <c r="I50" s="31">
        <f t="shared" si="3"/>
        <v>0</v>
      </c>
      <c r="J50" s="31">
        <f t="shared" si="4"/>
        <v>1132.27</v>
      </c>
      <c r="K50" s="31">
        <f t="shared" si="5"/>
        <v>18545.669999999998</v>
      </c>
      <c r="L50" s="1"/>
      <c r="M50" s="1"/>
      <c r="N50" s="1"/>
      <c r="O50" s="1"/>
    </row>
    <row r="51" spans="1:15" ht="23" customHeight="1">
      <c r="A51" s="1"/>
      <c r="B51" s="29">
        <f t="shared" si="8"/>
        <v>44</v>
      </c>
      <c r="C51" s="30">
        <f>IF(B51="","",EDATE(Simulatie!$C$14,B51-1))</f>
        <v>47726</v>
      </c>
      <c r="D51" s="31">
        <f t="shared" si="9"/>
        <v>18545.669999999998</v>
      </c>
      <c r="E51" s="31">
        <f t="shared" si="0"/>
        <v>77.27</v>
      </c>
      <c r="F51" s="31">
        <f t="shared" si="1"/>
        <v>1132.27</v>
      </c>
      <c r="G51" s="32">
        <f>IF(B51="","",ROUND(IF(AND(B51=$F$4,$I$5=0),D51-MIN($F$5,D51),IF(Simulatie!$C$13="Lineair",MIN(D51,Simulatie!$C$25),MIN(D51,MAX(0,$I$4-E51)))),2))</f>
        <v>1055</v>
      </c>
      <c r="H51" s="31">
        <f t="shared" si="2"/>
        <v>0</v>
      </c>
      <c r="I51" s="31">
        <f t="shared" si="3"/>
        <v>0</v>
      </c>
      <c r="J51" s="31">
        <f t="shared" si="4"/>
        <v>1132.27</v>
      </c>
      <c r="K51" s="31">
        <f t="shared" si="5"/>
        <v>17490.669999999998</v>
      </c>
      <c r="L51" s="1"/>
      <c r="M51" s="1"/>
      <c r="N51" s="1"/>
      <c r="O51" s="1"/>
    </row>
    <row r="52" spans="1:15" ht="23" customHeight="1">
      <c r="A52" s="1"/>
      <c r="B52" s="29">
        <f t="shared" si="8"/>
        <v>45</v>
      </c>
      <c r="C52" s="30">
        <f>IF(B52="","",EDATE(Simulatie!$C$14,B52-1))</f>
        <v>47756</v>
      </c>
      <c r="D52" s="31">
        <f t="shared" si="9"/>
        <v>17490.669999999998</v>
      </c>
      <c r="E52" s="31">
        <f t="shared" si="0"/>
        <v>72.88</v>
      </c>
      <c r="F52" s="31">
        <f t="shared" si="1"/>
        <v>1132.27</v>
      </c>
      <c r="G52" s="32">
        <f>IF(B52="","",ROUND(IF(AND(B52=$F$4,$I$5=0),D52-MIN($F$5,D52),IF(Simulatie!$C$13="Lineair",MIN(D52,Simulatie!$C$25),MIN(D52,MAX(0,$I$4-E52)))),2))</f>
        <v>1059.3900000000001</v>
      </c>
      <c r="H52" s="31">
        <f t="shared" si="2"/>
        <v>0</v>
      </c>
      <c r="I52" s="31">
        <f t="shared" si="3"/>
        <v>0</v>
      </c>
      <c r="J52" s="31">
        <f t="shared" si="4"/>
        <v>1132.27</v>
      </c>
      <c r="K52" s="31">
        <f t="shared" si="5"/>
        <v>16431.28</v>
      </c>
      <c r="L52" s="1"/>
      <c r="M52" s="1"/>
      <c r="N52" s="1"/>
      <c r="O52" s="1"/>
    </row>
    <row r="53" spans="1:15" ht="23" customHeight="1">
      <c r="A53" s="1"/>
      <c r="B53" s="29">
        <f t="shared" si="8"/>
        <v>46</v>
      </c>
      <c r="C53" s="30">
        <f>IF(B53="","",EDATE(Simulatie!$C$14,B53-1))</f>
        <v>47787</v>
      </c>
      <c r="D53" s="31">
        <f t="shared" si="9"/>
        <v>16431.28</v>
      </c>
      <c r="E53" s="31">
        <f t="shared" si="0"/>
        <v>68.459999999999994</v>
      </c>
      <c r="F53" s="31">
        <f t="shared" si="1"/>
        <v>1132.27</v>
      </c>
      <c r="G53" s="32">
        <f>IF(B53="","",ROUND(IF(AND(B53=$F$4,$I$5=0),D53-MIN($F$5,D53),IF(Simulatie!$C$13="Lineair",MIN(D53,Simulatie!$C$25),MIN(D53,MAX(0,$I$4-E53)))),2))</f>
        <v>1063.81</v>
      </c>
      <c r="H53" s="31">
        <f t="shared" si="2"/>
        <v>0</v>
      </c>
      <c r="I53" s="31">
        <f t="shared" si="3"/>
        <v>0</v>
      </c>
      <c r="J53" s="31">
        <f t="shared" si="4"/>
        <v>1132.27</v>
      </c>
      <c r="K53" s="31">
        <f t="shared" si="5"/>
        <v>15367.47</v>
      </c>
      <c r="L53" s="1"/>
      <c r="M53" s="1"/>
      <c r="N53" s="1"/>
      <c r="O53" s="1"/>
    </row>
    <row r="54" spans="1:15" ht="23" customHeight="1">
      <c r="A54" s="1"/>
      <c r="B54" s="29">
        <f t="shared" si="8"/>
        <v>47</v>
      </c>
      <c r="C54" s="30">
        <f>IF(B54="","",EDATE(Simulatie!$C$14,B54-1))</f>
        <v>47817</v>
      </c>
      <c r="D54" s="31">
        <f t="shared" si="9"/>
        <v>15367.47</v>
      </c>
      <c r="E54" s="31">
        <f t="shared" si="0"/>
        <v>64.03</v>
      </c>
      <c r="F54" s="31">
        <f t="shared" si="1"/>
        <v>1132.27</v>
      </c>
      <c r="G54" s="32">
        <f>IF(B54="","",ROUND(IF(AND(B54=$F$4,$I$5=0),D54-MIN($F$5,D54),IF(Simulatie!$C$13="Lineair",MIN(D54,Simulatie!$C$25),MIN(D54,MAX(0,$I$4-E54)))),2))</f>
        <v>1068.24</v>
      </c>
      <c r="H54" s="31">
        <f t="shared" si="2"/>
        <v>0</v>
      </c>
      <c r="I54" s="31">
        <f t="shared" si="3"/>
        <v>0</v>
      </c>
      <c r="J54" s="31">
        <f t="shared" si="4"/>
        <v>1132.27</v>
      </c>
      <c r="K54" s="31">
        <f t="shared" si="5"/>
        <v>14299.23</v>
      </c>
      <c r="L54" s="1"/>
      <c r="M54" s="1"/>
      <c r="N54" s="1"/>
      <c r="O54" s="1"/>
    </row>
    <row r="55" spans="1:15" ht="23" customHeight="1">
      <c r="A55" s="1"/>
      <c r="B55" s="29">
        <f t="shared" si="8"/>
        <v>48</v>
      </c>
      <c r="C55" s="30">
        <f>IF(B55="","",EDATE(Simulatie!$C$14,B55-1))</f>
        <v>47848</v>
      </c>
      <c r="D55" s="31">
        <f t="shared" si="9"/>
        <v>14299.23</v>
      </c>
      <c r="E55" s="31">
        <f t="shared" si="0"/>
        <v>59.58</v>
      </c>
      <c r="F55" s="31">
        <f t="shared" si="1"/>
        <v>1132.27</v>
      </c>
      <c r="G55" s="32">
        <f>IF(B55="","",ROUND(IF(AND(B55=$F$4,$I$5=0),D55-MIN($F$5,D55),IF(Simulatie!$C$13="Lineair",MIN(D55,Simulatie!$C$25),MIN(D55,MAX(0,$I$4-E55)))),2))</f>
        <v>1072.69</v>
      </c>
      <c r="H55" s="31">
        <f t="shared" si="2"/>
        <v>0</v>
      </c>
      <c r="I55" s="31">
        <f t="shared" si="3"/>
        <v>0</v>
      </c>
      <c r="J55" s="31">
        <f t="shared" si="4"/>
        <v>1132.27</v>
      </c>
      <c r="K55" s="31">
        <f t="shared" si="5"/>
        <v>13226.54</v>
      </c>
      <c r="L55" s="1"/>
      <c r="M55" s="1"/>
      <c r="N55" s="1"/>
      <c r="O55" s="1"/>
    </row>
    <row r="56" spans="1:15" ht="23" customHeight="1">
      <c r="A56" s="1"/>
      <c r="B56" s="29">
        <f t="shared" si="8"/>
        <v>49</v>
      </c>
      <c r="C56" s="30">
        <f>IF(B56="","",EDATE(Simulatie!$C$14,B56-1))</f>
        <v>47879</v>
      </c>
      <c r="D56" s="31">
        <f t="shared" si="9"/>
        <v>13226.54</v>
      </c>
      <c r="E56" s="31">
        <f t="shared" si="0"/>
        <v>55.11</v>
      </c>
      <c r="F56" s="31">
        <f t="shared" si="1"/>
        <v>1132.27</v>
      </c>
      <c r="G56" s="32">
        <f>IF(B56="","",ROUND(IF(AND(B56=$F$4,$I$5=0),D56-MIN($F$5,D56),IF(Simulatie!$C$13="Lineair",MIN(D56,Simulatie!$C$25),MIN(D56,MAX(0,$I$4-E56)))),2))</f>
        <v>1077.1600000000001</v>
      </c>
      <c r="H56" s="31">
        <f t="shared" si="2"/>
        <v>0</v>
      </c>
      <c r="I56" s="31">
        <f t="shared" si="3"/>
        <v>0</v>
      </c>
      <c r="J56" s="31">
        <f t="shared" si="4"/>
        <v>1132.27</v>
      </c>
      <c r="K56" s="31">
        <f t="shared" si="5"/>
        <v>12149.38</v>
      </c>
      <c r="L56" s="1"/>
      <c r="M56" s="1"/>
      <c r="N56" s="1"/>
      <c r="O56" s="1"/>
    </row>
    <row r="57" spans="1:15" ht="23" customHeight="1">
      <c r="A57" s="1"/>
      <c r="B57" s="29">
        <f t="shared" si="8"/>
        <v>50</v>
      </c>
      <c r="C57" s="30">
        <f>IF(B57="","",EDATE(Simulatie!$C$14,B57-1))</f>
        <v>47907</v>
      </c>
      <c r="D57" s="31">
        <f t="shared" si="9"/>
        <v>12149.38</v>
      </c>
      <c r="E57" s="31">
        <f t="shared" si="0"/>
        <v>50.62</v>
      </c>
      <c r="F57" s="31">
        <f t="shared" si="1"/>
        <v>1132.27</v>
      </c>
      <c r="G57" s="32">
        <f>IF(B57="","",ROUND(IF(AND(B57=$F$4,$I$5=0),D57-MIN($F$5,D57),IF(Simulatie!$C$13="Lineair",MIN(D57,Simulatie!$C$25),MIN(D57,MAX(0,$I$4-E57)))),2))</f>
        <v>1081.6500000000001</v>
      </c>
      <c r="H57" s="31">
        <f t="shared" si="2"/>
        <v>0</v>
      </c>
      <c r="I57" s="31">
        <f t="shared" si="3"/>
        <v>0</v>
      </c>
      <c r="J57" s="31">
        <f t="shared" si="4"/>
        <v>1132.27</v>
      </c>
      <c r="K57" s="31">
        <f t="shared" si="5"/>
        <v>11067.73</v>
      </c>
      <c r="L57" s="1"/>
      <c r="M57" s="1"/>
      <c r="N57" s="1"/>
      <c r="O57" s="1"/>
    </row>
    <row r="58" spans="1:15" ht="23" customHeight="1">
      <c r="A58" s="1"/>
      <c r="B58" s="29">
        <f t="shared" si="8"/>
        <v>51</v>
      </c>
      <c r="C58" s="30">
        <f>IF(B58="","",EDATE(Simulatie!$C$14,B58-1))</f>
        <v>47938</v>
      </c>
      <c r="D58" s="31">
        <f t="shared" si="9"/>
        <v>11067.73</v>
      </c>
      <c r="E58" s="31">
        <f t="shared" si="0"/>
        <v>46.12</v>
      </c>
      <c r="F58" s="31">
        <f t="shared" si="1"/>
        <v>1132.27</v>
      </c>
      <c r="G58" s="32">
        <f>IF(B58="","",ROUND(IF(AND(B58=$F$4,$I$5=0),D58-MIN($F$5,D58),IF(Simulatie!$C$13="Lineair",MIN(D58,Simulatie!$C$25),MIN(D58,MAX(0,$I$4-E58)))),2))</f>
        <v>1086.1500000000001</v>
      </c>
      <c r="H58" s="31">
        <f t="shared" si="2"/>
        <v>0</v>
      </c>
      <c r="I58" s="31">
        <f t="shared" si="3"/>
        <v>0</v>
      </c>
      <c r="J58" s="31">
        <f t="shared" si="4"/>
        <v>1132.27</v>
      </c>
      <c r="K58" s="31">
        <f t="shared" si="5"/>
        <v>9981.58</v>
      </c>
      <c r="L58" s="1"/>
      <c r="M58" s="1"/>
      <c r="N58" s="1"/>
      <c r="O58" s="1"/>
    </row>
    <row r="59" spans="1:15" ht="23" customHeight="1">
      <c r="A59" s="1"/>
      <c r="B59" s="29">
        <f t="shared" si="8"/>
        <v>52</v>
      </c>
      <c r="C59" s="30">
        <f>IF(B59="","",EDATE(Simulatie!$C$14,B59-1))</f>
        <v>47968</v>
      </c>
      <c r="D59" s="31">
        <f t="shared" si="9"/>
        <v>9981.58</v>
      </c>
      <c r="E59" s="31">
        <f t="shared" si="0"/>
        <v>41.59</v>
      </c>
      <c r="F59" s="31">
        <f t="shared" si="1"/>
        <v>1132.27</v>
      </c>
      <c r="G59" s="32">
        <f>IF(B59="","",ROUND(IF(AND(B59=$F$4,$I$5=0),D59-MIN($F$5,D59),IF(Simulatie!$C$13="Lineair",MIN(D59,Simulatie!$C$25),MIN(D59,MAX(0,$I$4-E59)))),2))</f>
        <v>1090.68</v>
      </c>
      <c r="H59" s="31">
        <f t="shared" si="2"/>
        <v>0</v>
      </c>
      <c r="I59" s="31">
        <f t="shared" si="3"/>
        <v>0</v>
      </c>
      <c r="J59" s="31">
        <f t="shared" si="4"/>
        <v>1132.27</v>
      </c>
      <c r="K59" s="31">
        <f t="shared" si="5"/>
        <v>8890.9</v>
      </c>
      <c r="L59" s="1"/>
      <c r="M59" s="1"/>
      <c r="N59" s="1"/>
      <c r="O59" s="1"/>
    </row>
    <row r="60" spans="1:15" ht="23" customHeight="1">
      <c r="A60" s="1"/>
      <c r="B60" s="29">
        <f t="shared" si="8"/>
        <v>53</v>
      </c>
      <c r="C60" s="30">
        <f>IF(B60="","",EDATE(Simulatie!$C$14,B60-1))</f>
        <v>47999</v>
      </c>
      <c r="D60" s="31">
        <f t="shared" si="9"/>
        <v>8890.9</v>
      </c>
      <c r="E60" s="31">
        <f t="shared" si="0"/>
        <v>37.049999999999997</v>
      </c>
      <c r="F60" s="31">
        <f t="shared" si="1"/>
        <v>1132.27</v>
      </c>
      <c r="G60" s="32">
        <f>IF(B60="","",ROUND(IF(AND(B60=$F$4,$I$5=0),D60-MIN($F$5,D60),IF(Simulatie!$C$13="Lineair",MIN(D60,Simulatie!$C$25),MIN(D60,MAX(0,$I$4-E60)))),2))</f>
        <v>1095.22</v>
      </c>
      <c r="H60" s="31">
        <f t="shared" si="2"/>
        <v>0</v>
      </c>
      <c r="I60" s="31">
        <f t="shared" si="3"/>
        <v>0</v>
      </c>
      <c r="J60" s="31">
        <f t="shared" si="4"/>
        <v>1132.27</v>
      </c>
      <c r="K60" s="31">
        <f t="shared" si="5"/>
        <v>7795.68</v>
      </c>
      <c r="L60" s="1"/>
      <c r="M60" s="1"/>
      <c r="N60" s="1"/>
      <c r="O60" s="1"/>
    </row>
    <row r="61" spans="1:15" ht="23" customHeight="1">
      <c r="A61" s="1"/>
      <c r="B61" s="29">
        <f t="shared" si="8"/>
        <v>54</v>
      </c>
      <c r="C61" s="30">
        <f>IF(B61="","",EDATE(Simulatie!$C$14,B61-1))</f>
        <v>48029</v>
      </c>
      <c r="D61" s="31">
        <f t="shared" si="9"/>
        <v>7795.68</v>
      </c>
      <c r="E61" s="31">
        <f t="shared" si="0"/>
        <v>32.479999999999997</v>
      </c>
      <c r="F61" s="31">
        <f t="shared" si="1"/>
        <v>1132.27</v>
      </c>
      <c r="G61" s="32">
        <f>IF(B61="","",ROUND(IF(AND(B61=$F$4,$I$5=0),D61-MIN($F$5,D61),IF(Simulatie!$C$13="Lineair",MIN(D61,Simulatie!$C$25),MIN(D61,MAX(0,$I$4-E61)))),2))</f>
        <v>1099.79</v>
      </c>
      <c r="H61" s="31">
        <f t="shared" si="2"/>
        <v>0</v>
      </c>
      <c r="I61" s="31">
        <f t="shared" si="3"/>
        <v>0</v>
      </c>
      <c r="J61" s="31">
        <f t="shared" si="4"/>
        <v>1132.27</v>
      </c>
      <c r="K61" s="31">
        <f t="shared" si="5"/>
        <v>6695.89</v>
      </c>
      <c r="L61" s="1"/>
      <c r="M61" s="1"/>
      <c r="N61" s="1"/>
      <c r="O61" s="1"/>
    </row>
    <row r="62" spans="1:15" ht="23" customHeight="1">
      <c r="A62" s="1"/>
      <c r="B62" s="29">
        <f t="shared" si="8"/>
        <v>55</v>
      </c>
      <c r="C62" s="30">
        <f>IF(B62="","",EDATE(Simulatie!$C$14,B62-1))</f>
        <v>48060</v>
      </c>
      <c r="D62" s="31">
        <f t="shared" si="9"/>
        <v>6695.89</v>
      </c>
      <c r="E62" s="31">
        <f t="shared" si="0"/>
        <v>27.9</v>
      </c>
      <c r="F62" s="31">
        <f t="shared" si="1"/>
        <v>1132.27</v>
      </c>
      <c r="G62" s="32">
        <f>IF(B62="","",ROUND(IF(AND(B62=$F$4,$I$5=0),D62-MIN($F$5,D62),IF(Simulatie!$C$13="Lineair",MIN(D62,Simulatie!$C$25),MIN(D62,MAX(0,$I$4-E62)))),2))</f>
        <v>1104.3699999999999</v>
      </c>
      <c r="H62" s="31">
        <f t="shared" si="2"/>
        <v>0</v>
      </c>
      <c r="I62" s="31">
        <f t="shared" si="3"/>
        <v>0</v>
      </c>
      <c r="J62" s="31">
        <f t="shared" si="4"/>
        <v>1132.27</v>
      </c>
      <c r="K62" s="31">
        <f t="shared" si="5"/>
        <v>5591.52</v>
      </c>
      <c r="L62" s="1"/>
      <c r="M62" s="1"/>
      <c r="N62" s="1"/>
      <c r="O62" s="1"/>
    </row>
    <row r="63" spans="1:15" ht="23" customHeight="1">
      <c r="A63" s="1"/>
      <c r="B63" s="29">
        <f t="shared" si="8"/>
        <v>56</v>
      </c>
      <c r="C63" s="30">
        <f>IF(B63="","",EDATE(Simulatie!$C$14,B63-1))</f>
        <v>48091</v>
      </c>
      <c r="D63" s="31">
        <f t="shared" si="9"/>
        <v>5591.52</v>
      </c>
      <c r="E63" s="31">
        <f t="shared" si="0"/>
        <v>23.3</v>
      </c>
      <c r="F63" s="31">
        <f t="shared" si="1"/>
        <v>1132.27</v>
      </c>
      <c r="G63" s="32">
        <f>IF(B63="","",ROUND(IF(AND(B63=$F$4,$I$5=0),D63-MIN($F$5,D63),IF(Simulatie!$C$13="Lineair",MIN(D63,Simulatie!$C$25),MIN(D63,MAX(0,$I$4-E63)))),2))</f>
        <v>1108.97</v>
      </c>
      <c r="H63" s="31">
        <f t="shared" si="2"/>
        <v>0</v>
      </c>
      <c r="I63" s="31">
        <f t="shared" si="3"/>
        <v>0</v>
      </c>
      <c r="J63" s="31">
        <f t="shared" si="4"/>
        <v>1132.27</v>
      </c>
      <c r="K63" s="31">
        <f t="shared" si="5"/>
        <v>4482.55</v>
      </c>
      <c r="L63" s="1"/>
      <c r="M63" s="1"/>
      <c r="N63" s="1"/>
      <c r="O63" s="1"/>
    </row>
    <row r="64" spans="1:15" ht="23" customHeight="1">
      <c r="A64" s="1"/>
      <c r="B64" s="29">
        <f t="shared" si="8"/>
        <v>57</v>
      </c>
      <c r="C64" s="30">
        <f>IF(B64="","",EDATE(Simulatie!$C$14,B64-1))</f>
        <v>48121</v>
      </c>
      <c r="D64" s="31">
        <f t="shared" si="9"/>
        <v>4482.55</v>
      </c>
      <c r="E64" s="31">
        <f t="shared" si="0"/>
        <v>18.68</v>
      </c>
      <c r="F64" s="31">
        <f t="shared" si="1"/>
        <v>1132.27</v>
      </c>
      <c r="G64" s="32">
        <f>IF(B64="","",ROUND(IF(AND(B64=$F$4,$I$5=0),D64-MIN($F$5,D64),IF(Simulatie!$C$13="Lineair",MIN(D64,Simulatie!$C$25),MIN(D64,MAX(0,$I$4-E64)))),2))</f>
        <v>1113.5899999999999</v>
      </c>
      <c r="H64" s="31">
        <f t="shared" si="2"/>
        <v>0</v>
      </c>
      <c r="I64" s="31">
        <f t="shared" si="3"/>
        <v>0</v>
      </c>
      <c r="J64" s="31">
        <f t="shared" si="4"/>
        <v>1132.27</v>
      </c>
      <c r="K64" s="31">
        <f t="shared" si="5"/>
        <v>3368.96</v>
      </c>
      <c r="L64" s="1"/>
      <c r="M64" s="1"/>
      <c r="N64" s="1"/>
      <c r="O64" s="1"/>
    </row>
    <row r="65" spans="1:15" ht="23" customHeight="1">
      <c r="A65" s="1"/>
      <c r="B65" s="29">
        <f t="shared" si="8"/>
        <v>58</v>
      </c>
      <c r="C65" s="30">
        <f>IF(B65="","",EDATE(Simulatie!$C$14,B65-1))</f>
        <v>48152</v>
      </c>
      <c r="D65" s="31">
        <f t="shared" si="9"/>
        <v>3368.96</v>
      </c>
      <c r="E65" s="31">
        <f t="shared" si="0"/>
        <v>14.04</v>
      </c>
      <c r="F65" s="31">
        <f t="shared" si="1"/>
        <v>1132.27</v>
      </c>
      <c r="G65" s="32">
        <f>IF(B65="","",ROUND(IF(AND(B65=$F$4,$I$5=0),D65-MIN($F$5,D65),IF(Simulatie!$C$13="Lineair",MIN(D65,Simulatie!$C$25),MIN(D65,MAX(0,$I$4-E65)))),2))</f>
        <v>1118.23</v>
      </c>
      <c r="H65" s="31">
        <f t="shared" si="2"/>
        <v>0</v>
      </c>
      <c r="I65" s="31">
        <f t="shared" si="3"/>
        <v>0</v>
      </c>
      <c r="J65" s="31">
        <f t="shared" si="4"/>
        <v>1132.27</v>
      </c>
      <c r="K65" s="31">
        <f t="shared" si="5"/>
        <v>2250.73</v>
      </c>
      <c r="L65" s="1"/>
      <c r="M65" s="1"/>
      <c r="N65" s="1"/>
      <c r="O65" s="1"/>
    </row>
    <row r="66" spans="1:15" ht="23" customHeight="1">
      <c r="A66" s="1"/>
      <c r="B66" s="29">
        <f t="shared" si="8"/>
        <v>59</v>
      </c>
      <c r="C66" s="30">
        <f>IF(B66="","",EDATE(Simulatie!$C$14,B66-1))</f>
        <v>48182</v>
      </c>
      <c r="D66" s="31">
        <f t="shared" si="9"/>
        <v>2250.73</v>
      </c>
      <c r="E66" s="31">
        <f t="shared" si="0"/>
        <v>9.3800000000000008</v>
      </c>
      <c r="F66" s="31">
        <f t="shared" si="1"/>
        <v>1132.27</v>
      </c>
      <c r="G66" s="32">
        <f>IF(B66="","",ROUND(IF(AND(B66=$F$4,$I$5=0),D66-MIN($F$5,D66),IF(Simulatie!$C$13="Lineair",MIN(D66,Simulatie!$C$25),MIN(D66,MAX(0,$I$4-E66)))),2))</f>
        <v>1122.8900000000001</v>
      </c>
      <c r="H66" s="31">
        <f t="shared" si="2"/>
        <v>0</v>
      </c>
      <c r="I66" s="31">
        <f t="shared" si="3"/>
        <v>0</v>
      </c>
      <c r="J66" s="31">
        <f t="shared" si="4"/>
        <v>1132.27</v>
      </c>
      <c r="K66" s="31">
        <f t="shared" si="5"/>
        <v>1127.8399999999999</v>
      </c>
      <c r="L66" s="1"/>
      <c r="M66" s="1"/>
      <c r="N66" s="1"/>
      <c r="O66" s="1"/>
    </row>
    <row r="67" spans="1:15" ht="23" customHeight="1">
      <c r="A67" s="1"/>
      <c r="B67" s="29">
        <f t="shared" si="8"/>
        <v>60</v>
      </c>
      <c r="C67" s="30">
        <f>IF(B67="","",EDATE(Simulatie!$C$14,B67-1))</f>
        <v>48213</v>
      </c>
      <c r="D67" s="31">
        <f t="shared" si="9"/>
        <v>1127.8399999999999</v>
      </c>
      <c r="E67" s="31">
        <f t="shared" si="0"/>
        <v>4.7</v>
      </c>
      <c r="F67" s="31">
        <f t="shared" si="1"/>
        <v>1132.54</v>
      </c>
      <c r="G67" s="32">
        <f>IF(B67="","",ROUND(IF(AND(B67=$F$4,$I$5=0),D67-MIN($F$5,D67),IF(Simulatie!$C$13="Lineair",MIN(D67,Simulatie!$C$25),MIN(D67,MAX(0,$I$4-E67)))),2))</f>
        <v>1127.8399999999999</v>
      </c>
      <c r="H67" s="31">
        <f t="shared" si="2"/>
        <v>0</v>
      </c>
      <c r="I67" s="31">
        <f t="shared" si="3"/>
        <v>0</v>
      </c>
      <c r="J67" s="31">
        <f t="shared" si="4"/>
        <v>1132.54</v>
      </c>
      <c r="K67" s="31">
        <f t="shared" si="5"/>
        <v>0</v>
      </c>
      <c r="L67" s="1"/>
      <c r="M67" s="1"/>
      <c r="N67" s="1"/>
      <c r="O67" s="1"/>
    </row>
    <row r="68" spans="1:15" ht="23" customHeight="1">
      <c r="A68" s="1"/>
      <c r="B68" s="29" t="str">
        <f t="shared" si="8"/>
        <v/>
      </c>
      <c r="C68" s="30" t="str">
        <f>IF(B68="","",EDATE(Simulatie!$C$14,B68-1))</f>
        <v/>
      </c>
      <c r="D68" s="31" t="str">
        <f t="shared" si="9"/>
        <v/>
      </c>
      <c r="E68" s="31" t="str">
        <f t="shared" si="0"/>
        <v/>
      </c>
      <c r="F68" s="31" t="str">
        <f t="shared" si="1"/>
        <v/>
      </c>
      <c r="G68" s="32" t="str">
        <f>IF(B68="","",ROUND(IF(AND(B68=$F$4,$I$5=0),D68-MIN($F$5,D68),IF(Simulatie!$C$13="Lineair",MIN(D68,Simulatie!$C$25),MIN(D68,MAX(0,$I$4-E68)))),2))</f>
        <v/>
      </c>
      <c r="H68" s="31" t="str">
        <f t="shared" si="2"/>
        <v/>
      </c>
      <c r="I68" s="31" t="str">
        <f t="shared" si="3"/>
        <v/>
      </c>
      <c r="J68" s="31" t="str">
        <f t="shared" si="4"/>
        <v/>
      </c>
      <c r="K68" s="31" t="str">
        <f t="shared" si="5"/>
        <v/>
      </c>
      <c r="L68" s="1"/>
      <c r="M68" s="1"/>
      <c r="N68" s="1"/>
      <c r="O68" s="1"/>
    </row>
    <row r="69" spans="1:15" ht="23" customHeight="1">
      <c r="A69" s="1"/>
      <c r="B69" s="29" t="str">
        <f t="shared" si="8"/>
        <v/>
      </c>
      <c r="C69" s="30" t="str">
        <f>IF(B69="","",EDATE(Simulatie!$C$14,B69-1))</f>
        <v/>
      </c>
      <c r="D69" s="31" t="str">
        <f t="shared" si="9"/>
        <v/>
      </c>
      <c r="E69" s="31" t="str">
        <f t="shared" si="0"/>
        <v/>
      </c>
      <c r="F69" s="31" t="str">
        <f t="shared" si="1"/>
        <v/>
      </c>
      <c r="G69" s="32" t="str">
        <f>IF(B69="","",ROUND(IF(AND(B69=$F$4,$I$5=0),D69-MIN($F$5,D69),IF(Simulatie!$C$13="Lineair",MIN(D69,Simulatie!$C$25),MIN(D69,MAX(0,$I$4-E69)))),2))</f>
        <v/>
      </c>
      <c r="H69" s="31" t="str">
        <f t="shared" si="2"/>
        <v/>
      </c>
      <c r="I69" s="31" t="str">
        <f t="shared" si="3"/>
        <v/>
      </c>
      <c r="J69" s="31" t="str">
        <f t="shared" si="4"/>
        <v/>
      </c>
      <c r="K69" s="31" t="str">
        <f t="shared" si="5"/>
        <v/>
      </c>
      <c r="L69" s="1"/>
      <c r="M69" s="1"/>
      <c r="N69" s="1"/>
      <c r="O69" s="1"/>
    </row>
    <row r="70" spans="1:15" ht="23" customHeight="1">
      <c r="A70" s="1"/>
      <c r="B70" s="29" t="str">
        <f t="shared" si="8"/>
        <v/>
      </c>
      <c r="C70" s="30" t="str">
        <f>IF(B70="","",EDATE(Simulatie!$C$14,B70-1))</f>
        <v/>
      </c>
      <c r="D70" s="31" t="str">
        <f t="shared" si="9"/>
        <v/>
      </c>
      <c r="E70" s="31" t="str">
        <f t="shared" si="0"/>
        <v/>
      </c>
      <c r="F70" s="31" t="str">
        <f t="shared" si="1"/>
        <v/>
      </c>
      <c r="G70" s="32" t="str">
        <f>IF(B70="","",ROUND(IF(AND(B70=$F$4,$I$5=0),D70-MIN($F$5,D70),IF(Simulatie!$C$13="Lineair",MIN(D70,Simulatie!$C$25),MIN(D70,MAX(0,$I$4-E70)))),2))</f>
        <v/>
      </c>
      <c r="H70" s="31" t="str">
        <f t="shared" si="2"/>
        <v/>
      </c>
      <c r="I70" s="31" t="str">
        <f t="shared" si="3"/>
        <v/>
      </c>
      <c r="J70" s="31" t="str">
        <f t="shared" si="4"/>
        <v/>
      </c>
      <c r="K70" s="31" t="str">
        <f t="shared" si="5"/>
        <v/>
      </c>
      <c r="L70" s="1"/>
      <c r="M70" s="1"/>
      <c r="N70" s="1"/>
      <c r="O70" s="1"/>
    </row>
    <row r="71" spans="1:15" ht="23" customHeight="1">
      <c r="A71" s="1"/>
      <c r="B71" s="29" t="str">
        <f t="shared" si="8"/>
        <v/>
      </c>
      <c r="C71" s="30" t="str">
        <f>IF(B71="","",EDATE(Simulatie!$C$14,B71-1))</f>
        <v/>
      </c>
      <c r="D71" s="31" t="str">
        <f t="shared" si="9"/>
        <v/>
      </c>
      <c r="E71" s="31" t="str">
        <f t="shared" si="0"/>
        <v/>
      </c>
      <c r="F71" s="31" t="str">
        <f t="shared" si="1"/>
        <v/>
      </c>
      <c r="G71" s="32" t="str">
        <f>IF(B71="","",ROUND(IF(AND(B71=$F$4,$I$5=0),D71-MIN($F$5,D71),IF(Simulatie!$C$13="Lineair",MIN(D71,Simulatie!$C$25),MIN(D71,MAX(0,$I$4-E71)))),2))</f>
        <v/>
      </c>
      <c r="H71" s="31" t="str">
        <f t="shared" si="2"/>
        <v/>
      </c>
      <c r="I71" s="31" t="str">
        <f t="shared" si="3"/>
        <v/>
      </c>
      <c r="J71" s="31" t="str">
        <f t="shared" si="4"/>
        <v/>
      </c>
      <c r="K71" s="31" t="str">
        <f t="shared" si="5"/>
        <v/>
      </c>
      <c r="L71" s="1"/>
      <c r="M71" s="1"/>
      <c r="N71" s="1"/>
      <c r="O71" s="1"/>
    </row>
    <row r="72" spans="1:15" ht="23" customHeight="1">
      <c r="A72" s="1"/>
      <c r="B72" s="29" t="str">
        <f t="shared" si="8"/>
        <v/>
      </c>
      <c r="C72" s="30" t="str">
        <f>IF(B72="","",EDATE(Simulatie!$C$14,B72-1))</f>
        <v/>
      </c>
      <c r="D72" s="31" t="str">
        <f t="shared" si="9"/>
        <v/>
      </c>
      <c r="E72" s="31" t="str">
        <f t="shared" ref="E72:E135" si="13">IF(B72="","",ROUND(D72*$C$4,2))</f>
        <v/>
      </c>
      <c r="F72" s="31" t="str">
        <f t="shared" ref="F72:F135" si="14">IF(B72="","",ROUND(E72+G72,2))</f>
        <v/>
      </c>
      <c r="G72" s="32" t="str">
        <f>IF(B72="","",ROUND(IF(AND(B72=$F$4,$I$5=0),D72-MIN($F$5,D72),IF(Simulatie!$C$13="Lineair",MIN(D72,Simulatie!$C$25),MIN(D72,MAX(0,$I$4-E72)))),2))</f>
        <v/>
      </c>
      <c r="H72" s="31" t="str">
        <f t="shared" ref="H72:H135" si="15">IF(B72="","",ROUND(MIN($I$5,MAX(0,D72-G72)),2))</f>
        <v/>
      </c>
      <c r="I72" s="31" t="str">
        <f t="shared" ref="I72:I135" si="16">IF(B72="","",IF(B72=$F$4,ROUND(MAX(0,D72-G72-H72),2),0))</f>
        <v/>
      </c>
      <c r="J72" s="31" t="str">
        <f t="shared" ref="J72:J135" si="17">IF(B72="","",SUM(F72,H72:I72))</f>
        <v/>
      </c>
      <c r="K72" s="31" t="str">
        <f t="shared" ref="K72:K135" si="18">IF(B72="","",ROUND(MAX(0,D72-SUM(G72:I72)),2))</f>
        <v/>
      </c>
      <c r="L72" s="1"/>
      <c r="M72" s="1"/>
      <c r="N72" s="1"/>
      <c r="O72" s="1"/>
    </row>
    <row r="73" spans="1:15" ht="23" customHeight="1">
      <c r="A73" s="1"/>
      <c r="B73" s="29" t="str">
        <f t="shared" ref="B73:B136" si="19">IF(B72="","",IF(AND(K72&gt;0,B72&lt;$F$4),B72+1,""))</f>
        <v/>
      </c>
      <c r="C73" s="30" t="str">
        <f>IF(B73="","",EDATE(Simulatie!$C$14,B73-1))</f>
        <v/>
      </c>
      <c r="D73" s="31" t="str">
        <f t="shared" ref="D73:D136" si="20">IF(B73="","",K72)</f>
        <v/>
      </c>
      <c r="E73" s="31" t="str">
        <f t="shared" si="13"/>
        <v/>
      </c>
      <c r="F73" s="31" t="str">
        <f t="shared" si="14"/>
        <v/>
      </c>
      <c r="G73" s="32" t="str">
        <f>IF(B73="","",ROUND(IF(AND(B73=$F$4,$I$5=0),D73-MIN($F$5,D73),IF(Simulatie!$C$13="Lineair",MIN(D73,Simulatie!$C$25),MIN(D73,MAX(0,$I$4-E73)))),2))</f>
        <v/>
      </c>
      <c r="H73" s="31" t="str">
        <f t="shared" si="15"/>
        <v/>
      </c>
      <c r="I73" s="31" t="str">
        <f t="shared" si="16"/>
        <v/>
      </c>
      <c r="J73" s="31" t="str">
        <f t="shared" si="17"/>
        <v/>
      </c>
      <c r="K73" s="31" t="str">
        <f t="shared" si="18"/>
        <v/>
      </c>
      <c r="L73" s="1"/>
      <c r="M73" s="1"/>
      <c r="N73" s="1"/>
      <c r="O73" s="1"/>
    </row>
    <row r="74" spans="1:15" ht="23" customHeight="1">
      <c r="A74" s="1"/>
      <c r="B74" s="29" t="str">
        <f t="shared" si="19"/>
        <v/>
      </c>
      <c r="C74" s="30" t="str">
        <f>IF(B74="","",EDATE(Simulatie!$C$14,B74-1))</f>
        <v/>
      </c>
      <c r="D74" s="31" t="str">
        <f t="shared" si="20"/>
        <v/>
      </c>
      <c r="E74" s="31" t="str">
        <f t="shared" si="13"/>
        <v/>
      </c>
      <c r="F74" s="31" t="str">
        <f t="shared" si="14"/>
        <v/>
      </c>
      <c r="G74" s="32" t="str">
        <f>IF(B74="","",ROUND(IF(AND(B74=$F$4,$I$5=0),D74-MIN($F$5,D74),IF(Simulatie!$C$13="Lineair",MIN(D74,Simulatie!$C$25),MIN(D74,MAX(0,$I$4-E74)))),2))</f>
        <v/>
      </c>
      <c r="H74" s="31" t="str">
        <f t="shared" si="15"/>
        <v/>
      </c>
      <c r="I74" s="31" t="str">
        <f t="shared" si="16"/>
        <v/>
      </c>
      <c r="J74" s="31" t="str">
        <f t="shared" si="17"/>
        <v/>
      </c>
      <c r="K74" s="31" t="str">
        <f t="shared" si="18"/>
        <v/>
      </c>
      <c r="L74" s="1"/>
      <c r="M74" s="1"/>
      <c r="N74" s="1"/>
      <c r="O74" s="1"/>
    </row>
    <row r="75" spans="1:15" ht="23" customHeight="1">
      <c r="A75" s="1"/>
      <c r="B75" s="29" t="str">
        <f t="shared" si="19"/>
        <v/>
      </c>
      <c r="C75" s="30" t="str">
        <f>IF(B75="","",EDATE(Simulatie!$C$14,B75-1))</f>
        <v/>
      </c>
      <c r="D75" s="31" t="str">
        <f t="shared" si="20"/>
        <v/>
      </c>
      <c r="E75" s="31" t="str">
        <f t="shared" si="13"/>
        <v/>
      </c>
      <c r="F75" s="31" t="str">
        <f t="shared" si="14"/>
        <v/>
      </c>
      <c r="G75" s="32" t="str">
        <f>IF(B75="","",ROUND(IF(AND(B75=$F$4,$I$5=0),D75-MIN($F$5,D75),IF(Simulatie!$C$13="Lineair",MIN(D75,Simulatie!$C$25),MIN(D75,MAX(0,$I$4-E75)))),2))</f>
        <v/>
      </c>
      <c r="H75" s="31" t="str">
        <f t="shared" si="15"/>
        <v/>
      </c>
      <c r="I75" s="31" t="str">
        <f t="shared" si="16"/>
        <v/>
      </c>
      <c r="J75" s="31" t="str">
        <f t="shared" si="17"/>
        <v/>
      </c>
      <c r="K75" s="31" t="str">
        <f t="shared" si="18"/>
        <v/>
      </c>
      <c r="L75" s="1"/>
      <c r="M75" s="1"/>
      <c r="N75" s="1"/>
      <c r="O75" s="1"/>
    </row>
    <row r="76" spans="1:15" ht="23" customHeight="1">
      <c r="A76" s="1"/>
      <c r="B76" s="29" t="str">
        <f t="shared" si="19"/>
        <v/>
      </c>
      <c r="C76" s="30" t="str">
        <f>IF(B76="","",EDATE(Simulatie!$C$14,B76-1))</f>
        <v/>
      </c>
      <c r="D76" s="31" t="str">
        <f t="shared" si="20"/>
        <v/>
      </c>
      <c r="E76" s="31" t="str">
        <f t="shared" si="13"/>
        <v/>
      </c>
      <c r="F76" s="31" t="str">
        <f t="shared" si="14"/>
        <v/>
      </c>
      <c r="G76" s="32" t="str">
        <f>IF(B76="","",ROUND(IF(AND(B76=$F$4,$I$5=0),D76-MIN($F$5,D76),IF(Simulatie!$C$13="Lineair",MIN(D76,Simulatie!$C$25),MIN(D76,MAX(0,$I$4-E76)))),2))</f>
        <v/>
      </c>
      <c r="H76" s="31" t="str">
        <f t="shared" si="15"/>
        <v/>
      </c>
      <c r="I76" s="31" t="str">
        <f t="shared" si="16"/>
        <v/>
      </c>
      <c r="J76" s="31" t="str">
        <f t="shared" si="17"/>
        <v/>
      </c>
      <c r="K76" s="31" t="str">
        <f t="shared" si="18"/>
        <v/>
      </c>
      <c r="L76" s="1"/>
      <c r="M76" s="1"/>
      <c r="N76" s="1"/>
      <c r="O76" s="1"/>
    </row>
    <row r="77" spans="1:15" ht="23" customHeight="1">
      <c r="A77" s="1"/>
      <c r="B77" s="29" t="str">
        <f t="shared" si="19"/>
        <v/>
      </c>
      <c r="C77" s="30" t="str">
        <f>IF(B77="","",EDATE(Simulatie!$C$14,B77-1))</f>
        <v/>
      </c>
      <c r="D77" s="31" t="str">
        <f t="shared" si="20"/>
        <v/>
      </c>
      <c r="E77" s="31" t="str">
        <f t="shared" si="13"/>
        <v/>
      </c>
      <c r="F77" s="31" t="str">
        <f t="shared" si="14"/>
        <v/>
      </c>
      <c r="G77" s="32" t="str">
        <f>IF(B77="","",ROUND(IF(AND(B77=$F$4,$I$5=0),D77-MIN($F$5,D77),IF(Simulatie!$C$13="Lineair",MIN(D77,Simulatie!$C$25),MIN(D77,MAX(0,$I$4-E77)))),2))</f>
        <v/>
      </c>
      <c r="H77" s="31" t="str">
        <f t="shared" si="15"/>
        <v/>
      </c>
      <c r="I77" s="31" t="str">
        <f t="shared" si="16"/>
        <v/>
      </c>
      <c r="J77" s="31" t="str">
        <f t="shared" si="17"/>
        <v/>
      </c>
      <c r="K77" s="31" t="str">
        <f t="shared" si="18"/>
        <v/>
      </c>
      <c r="L77" s="1"/>
      <c r="M77" s="1"/>
      <c r="N77" s="1"/>
      <c r="O77" s="1"/>
    </row>
    <row r="78" spans="1:15" ht="23" customHeight="1">
      <c r="A78" s="1"/>
      <c r="B78" s="29" t="str">
        <f t="shared" si="19"/>
        <v/>
      </c>
      <c r="C78" s="30" t="str">
        <f>IF(B78="","",EDATE(Simulatie!$C$14,B78-1))</f>
        <v/>
      </c>
      <c r="D78" s="31" t="str">
        <f t="shared" si="20"/>
        <v/>
      </c>
      <c r="E78" s="31" t="str">
        <f t="shared" si="13"/>
        <v/>
      </c>
      <c r="F78" s="31" t="str">
        <f t="shared" si="14"/>
        <v/>
      </c>
      <c r="G78" s="32" t="str">
        <f>IF(B78="","",ROUND(IF(AND(B78=$F$4,$I$5=0),D78-MIN($F$5,D78),IF(Simulatie!$C$13="Lineair",MIN(D78,Simulatie!$C$25),MIN(D78,MAX(0,$I$4-E78)))),2))</f>
        <v/>
      </c>
      <c r="H78" s="31" t="str">
        <f t="shared" si="15"/>
        <v/>
      </c>
      <c r="I78" s="31" t="str">
        <f t="shared" si="16"/>
        <v/>
      </c>
      <c r="J78" s="31" t="str">
        <f t="shared" si="17"/>
        <v/>
      </c>
      <c r="K78" s="31" t="str">
        <f t="shared" si="18"/>
        <v/>
      </c>
      <c r="L78" s="1"/>
      <c r="M78" s="1"/>
      <c r="N78" s="1"/>
      <c r="O78" s="1"/>
    </row>
    <row r="79" spans="1:15" ht="23" customHeight="1">
      <c r="A79" s="1"/>
      <c r="B79" s="29" t="str">
        <f t="shared" si="19"/>
        <v/>
      </c>
      <c r="C79" s="30" t="str">
        <f>IF(B79="","",EDATE(Simulatie!$C$14,B79-1))</f>
        <v/>
      </c>
      <c r="D79" s="31" t="str">
        <f t="shared" si="20"/>
        <v/>
      </c>
      <c r="E79" s="31" t="str">
        <f t="shared" si="13"/>
        <v/>
      </c>
      <c r="F79" s="31" t="str">
        <f t="shared" si="14"/>
        <v/>
      </c>
      <c r="G79" s="32" t="str">
        <f>IF(B79="","",ROUND(IF(AND(B79=$F$4,$I$5=0),D79-MIN($F$5,D79),IF(Simulatie!$C$13="Lineair",MIN(D79,Simulatie!$C$25),MIN(D79,MAX(0,$I$4-E79)))),2))</f>
        <v/>
      </c>
      <c r="H79" s="31" t="str">
        <f t="shared" si="15"/>
        <v/>
      </c>
      <c r="I79" s="31" t="str">
        <f t="shared" si="16"/>
        <v/>
      </c>
      <c r="J79" s="31" t="str">
        <f t="shared" si="17"/>
        <v/>
      </c>
      <c r="K79" s="31" t="str">
        <f t="shared" si="18"/>
        <v/>
      </c>
      <c r="L79" s="1"/>
      <c r="M79" s="1"/>
      <c r="N79" s="1"/>
      <c r="O79" s="1"/>
    </row>
    <row r="80" spans="1:15" ht="23" customHeight="1">
      <c r="A80" s="1"/>
      <c r="B80" s="29" t="str">
        <f t="shared" si="19"/>
        <v/>
      </c>
      <c r="C80" s="30" t="str">
        <f>IF(B80="","",EDATE(Simulatie!$C$14,B80-1))</f>
        <v/>
      </c>
      <c r="D80" s="31" t="str">
        <f t="shared" si="20"/>
        <v/>
      </c>
      <c r="E80" s="31" t="str">
        <f t="shared" si="13"/>
        <v/>
      </c>
      <c r="F80" s="31" t="str">
        <f t="shared" si="14"/>
        <v/>
      </c>
      <c r="G80" s="32" t="str">
        <f>IF(B80="","",ROUND(IF(AND(B80=$F$4,$I$5=0),D80-MIN($F$5,D80),IF(Simulatie!$C$13="Lineair",MIN(D80,Simulatie!$C$25),MIN(D80,MAX(0,$I$4-E80)))),2))</f>
        <v/>
      </c>
      <c r="H80" s="31" t="str">
        <f t="shared" si="15"/>
        <v/>
      </c>
      <c r="I80" s="31" t="str">
        <f t="shared" si="16"/>
        <v/>
      </c>
      <c r="J80" s="31" t="str">
        <f t="shared" si="17"/>
        <v/>
      </c>
      <c r="K80" s="31" t="str">
        <f t="shared" si="18"/>
        <v/>
      </c>
      <c r="L80" s="1"/>
      <c r="M80" s="1"/>
      <c r="N80" s="1"/>
      <c r="O80" s="1"/>
    </row>
    <row r="81" spans="1:15" ht="23" customHeight="1">
      <c r="A81" s="1"/>
      <c r="B81" s="29" t="str">
        <f t="shared" si="19"/>
        <v/>
      </c>
      <c r="C81" s="30" t="str">
        <f>IF(B81="","",EDATE(Simulatie!$C$14,B81-1))</f>
        <v/>
      </c>
      <c r="D81" s="31" t="str">
        <f t="shared" si="20"/>
        <v/>
      </c>
      <c r="E81" s="31" t="str">
        <f t="shared" si="13"/>
        <v/>
      </c>
      <c r="F81" s="31" t="str">
        <f t="shared" si="14"/>
        <v/>
      </c>
      <c r="G81" s="32" t="str">
        <f>IF(B81="","",ROUND(IF(AND(B81=$F$4,$I$5=0),D81-MIN($F$5,D81),IF(Simulatie!$C$13="Lineair",MIN(D81,Simulatie!$C$25),MIN(D81,MAX(0,$I$4-E81)))),2))</f>
        <v/>
      </c>
      <c r="H81" s="31" t="str">
        <f t="shared" si="15"/>
        <v/>
      </c>
      <c r="I81" s="31" t="str">
        <f t="shared" si="16"/>
        <v/>
      </c>
      <c r="J81" s="31" t="str">
        <f t="shared" si="17"/>
        <v/>
      </c>
      <c r="K81" s="31" t="str">
        <f t="shared" si="18"/>
        <v/>
      </c>
      <c r="L81" s="1"/>
      <c r="M81" s="1"/>
      <c r="N81" s="1"/>
      <c r="O81" s="1"/>
    </row>
    <row r="82" spans="1:15" ht="23" customHeight="1">
      <c r="A82" s="1"/>
      <c r="B82" s="29" t="str">
        <f t="shared" si="19"/>
        <v/>
      </c>
      <c r="C82" s="30" t="str">
        <f>IF(B82="","",EDATE(Simulatie!$C$14,B82-1))</f>
        <v/>
      </c>
      <c r="D82" s="31" t="str">
        <f t="shared" si="20"/>
        <v/>
      </c>
      <c r="E82" s="31" t="str">
        <f t="shared" si="13"/>
        <v/>
      </c>
      <c r="F82" s="31" t="str">
        <f t="shared" si="14"/>
        <v/>
      </c>
      <c r="G82" s="32" t="str">
        <f>IF(B82="","",ROUND(IF(AND(B82=$F$4,$I$5=0),D82-MIN($F$5,D82),IF(Simulatie!$C$13="Lineair",MIN(D82,Simulatie!$C$25),MIN(D82,MAX(0,$I$4-E82)))),2))</f>
        <v/>
      </c>
      <c r="H82" s="31" t="str">
        <f t="shared" si="15"/>
        <v/>
      </c>
      <c r="I82" s="31" t="str">
        <f t="shared" si="16"/>
        <v/>
      </c>
      <c r="J82" s="31" t="str">
        <f t="shared" si="17"/>
        <v/>
      </c>
      <c r="K82" s="31" t="str">
        <f t="shared" si="18"/>
        <v/>
      </c>
      <c r="L82" s="1"/>
      <c r="M82" s="1"/>
      <c r="N82" s="1"/>
      <c r="O82" s="1"/>
    </row>
    <row r="83" spans="1:15" ht="23" customHeight="1">
      <c r="A83" s="1"/>
      <c r="B83" s="29" t="str">
        <f t="shared" si="19"/>
        <v/>
      </c>
      <c r="C83" s="30" t="str">
        <f>IF(B83="","",EDATE(Simulatie!$C$14,B83-1))</f>
        <v/>
      </c>
      <c r="D83" s="31" t="str">
        <f t="shared" si="20"/>
        <v/>
      </c>
      <c r="E83" s="31" t="str">
        <f t="shared" si="13"/>
        <v/>
      </c>
      <c r="F83" s="31" t="str">
        <f t="shared" si="14"/>
        <v/>
      </c>
      <c r="G83" s="32" t="str">
        <f>IF(B83="","",ROUND(IF(AND(B83=$F$4,$I$5=0),D83-MIN($F$5,D83),IF(Simulatie!$C$13="Lineair",MIN(D83,Simulatie!$C$25),MIN(D83,MAX(0,$I$4-E83)))),2))</f>
        <v/>
      </c>
      <c r="H83" s="31" t="str">
        <f t="shared" si="15"/>
        <v/>
      </c>
      <c r="I83" s="31" t="str">
        <f t="shared" si="16"/>
        <v/>
      </c>
      <c r="J83" s="31" t="str">
        <f t="shared" si="17"/>
        <v/>
      </c>
      <c r="K83" s="31" t="str">
        <f t="shared" si="18"/>
        <v/>
      </c>
      <c r="L83" s="1"/>
      <c r="M83" s="1"/>
      <c r="N83" s="1"/>
      <c r="O83" s="1"/>
    </row>
    <row r="84" spans="1:15" ht="23" customHeight="1">
      <c r="A84" s="1"/>
      <c r="B84" s="29" t="str">
        <f t="shared" si="19"/>
        <v/>
      </c>
      <c r="C84" s="30" t="str">
        <f>IF(B84="","",EDATE(Simulatie!$C$14,B84-1))</f>
        <v/>
      </c>
      <c r="D84" s="31" t="str">
        <f t="shared" si="20"/>
        <v/>
      </c>
      <c r="E84" s="31" t="str">
        <f t="shared" si="13"/>
        <v/>
      </c>
      <c r="F84" s="31" t="str">
        <f t="shared" si="14"/>
        <v/>
      </c>
      <c r="G84" s="32" t="str">
        <f>IF(B84="","",ROUND(IF(AND(B84=$F$4,$I$5=0),D84-MIN($F$5,D84),IF(Simulatie!$C$13="Lineair",MIN(D84,Simulatie!$C$25),MIN(D84,MAX(0,$I$4-E84)))),2))</f>
        <v/>
      </c>
      <c r="H84" s="31" t="str">
        <f t="shared" si="15"/>
        <v/>
      </c>
      <c r="I84" s="31" t="str">
        <f t="shared" si="16"/>
        <v/>
      </c>
      <c r="J84" s="31" t="str">
        <f t="shared" si="17"/>
        <v/>
      </c>
      <c r="K84" s="31" t="str">
        <f t="shared" si="18"/>
        <v/>
      </c>
      <c r="L84" s="1"/>
      <c r="M84" s="1"/>
      <c r="N84" s="1"/>
      <c r="O84" s="1"/>
    </row>
    <row r="85" spans="1:15" ht="23" customHeight="1">
      <c r="A85" s="1"/>
      <c r="B85" s="29" t="str">
        <f t="shared" si="19"/>
        <v/>
      </c>
      <c r="C85" s="30" t="str">
        <f>IF(B85="","",EDATE(Simulatie!$C$14,B85-1))</f>
        <v/>
      </c>
      <c r="D85" s="31" t="str">
        <f t="shared" si="20"/>
        <v/>
      </c>
      <c r="E85" s="31" t="str">
        <f t="shared" si="13"/>
        <v/>
      </c>
      <c r="F85" s="31" t="str">
        <f t="shared" si="14"/>
        <v/>
      </c>
      <c r="G85" s="32" t="str">
        <f>IF(B85="","",ROUND(IF(AND(B85=$F$4,$I$5=0),D85-MIN($F$5,D85),IF(Simulatie!$C$13="Lineair",MIN(D85,Simulatie!$C$25),MIN(D85,MAX(0,$I$4-E85)))),2))</f>
        <v/>
      </c>
      <c r="H85" s="31" t="str">
        <f t="shared" si="15"/>
        <v/>
      </c>
      <c r="I85" s="31" t="str">
        <f t="shared" si="16"/>
        <v/>
      </c>
      <c r="J85" s="31" t="str">
        <f t="shared" si="17"/>
        <v/>
      </c>
      <c r="K85" s="31" t="str">
        <f t="shared" si="18"/>
        <v/>
      </c>
      <c r="L85" s="1"/>
      <c r="M85" s="1"/>
      <c r="N85" s="1"/>
      <c r="O85" s="1"/>
    </row>
    <row r="86" spans="1:15" ht="23" customHeight="1">
      <c r="A86" s="1"/>
      <c r="B86" s="29" t="str">
        <f t="shared" si="19"/>
        <v/>
      </c>
      <c r="C86" s="30" t="str">
        <f>IF(B86="","",EDATE(Simulatie!$C$14,B86-1))</f>
        <v/>
      </c>
      <c r="D86" s="31" t="str">
        <f t="shared" si="20"/>
        <v/>
      </c>
      <c r="E86" s="31" t="str">
        <f t="shared" si="13"/>
        <v/>
      </c>
      <c r="F86" s="31" t="str">
        <f t="shared" si="14"/>
        <v/>
      </c>
      <c r="G86" s="32" t="str">
        <f>IF(B86="","",ROUND(IF(AND(B86=$F$4,$I$5=0),D86-MIN($F$5,D86),IF(Simulatie!$C$13="Lineair",MIN(D86,Simulatie!$C$25),MIN(D86,MAX(0,$I$4-E86)))),2))</f>
        <v/>
      </c>
      <c r="H86" s="31" t="str">
        <f t="shared" si="15"/>
        <v/>
      </c>
      <c r="I86" s="31" t="str">
        <f t="shared" si="16"/>
        <v/>
      </c>
      <c r="J86" s="31" t="str">
        <f t="shared" si="17"/>
        <v/>
      </c>
      <c r="K86" s="31" t="str">
        <f t="shared" si="18"/>
        <v/>
      </c>
      <c r="L86" s="1"/>
      <c r="M86" s="1"/>
      <c r="N86" s="1"/>
      <c r="O86" s="1"/>
    </row>
    <row r="87" spans="1:15" ht="23" customHeight="1">
      <c r="A87" s="1"/>
      <c r="B87" s="29" t="str">
        <f t="shared" si="19"/>
        <v/>
      </c>
      <c r="C87" s="30" t="str">
        <f>IF(B87="","",EDATE(Simulatie!$C$14,B87-1))</f>
        <v/>
      </c>
      <c r="D87" s="31" t="str">
        <f t="shared" si="20"/>
        <v/>
      </c>
      <c r="E87" s="31" t="str">
        <f t="shared" si="13"/>
        <v/>
      </c>
      <c r="F87" s="31" t="str">
        <f t="shared" si="14"/>
        <v/>
      </c>
      <c r="G87" s="32" t="str">
        <f>IF(B87="","",ROUND(IF(AND(B87=$F$4,$I$5=0),D87-MIN($F$5,D87),IF(Simulatie!$C$13="Lineair",MIN(D87,Simulatie!$C$25),MIN(D87,MAX(0,$I$4-E87)))),2))</f>
        <v/>
      </c>
      <c r="H87" s="31" t="str">
        <f t="shared" si="15"/>
        <v/>
      </c>
      <c r="I87" s="31" t="str">
        <f t="shared" si="16"/>
        <v/>
      </c>
      <c r="J87" s="31" t="str">
        <f t="shared" si="17"/>
        <v/>
      </c>
      <c r="K87" s="31" t="str">
        <f t="shared" si="18"/>
        <v/>
      </c>
      <c r="L87" s="1"/>
      <c r="M87" s="1"/>
      <c r="N87" s="1"/>
      <c r="O87" s="1"/>
    </row>
    <row r="88" spans="1:15" ht="23" customHeight="1">
      <c r="A88" s="1"/>
      <c r="B88" s="29" t="str">
        <f t="shared" si="19"/>
        <v/>
      </c>
      <c r="C88" s="30" t="str">
        <f>IF(B88="","",EDATE(Simulatie!$C$14,B88-1))</f>
        <v/>
      </c>
      <c r="D88" s="31" t="str">
        <f t="shared" si="20"/>
        <v/>
      </c>
      <c r="E88" s="31" t="str">
        <f t="shared" si="13"/>
        <v/>
      </c>
      <c r="F88" s="31" t="str">
        <f t="shared" si="14"/>
        <v/>
      </c>
      <c r="G88" s="32" t="str">
        <f>IF(B88="","",ROUND(IF(AND(B88=$F$4,$I$5=0),D88-MIN($F$5,D88),IF(Simulatie!$C$13="Lineair",MIN(D88,Simulatie!$C$25),MIN(D88,MAX(0,$I$4-E88)))),2))</f>
        <v/>
      </c>
      <c r="H88" s="31" t="str">
        <f t="shared" si="15"/>
        <v/>
      </c>
      <c r="I88" s="31" t="str">
        <f t="shared" si="16"/>
        <v/>
      </c>
      <c r="J88" s="31" t="str">
        <f t="shared" si="17"/>
        <v/>
      </c>
      <c r="K88" s="31" t="str">
        <f t="shared" si="18"/>
        <v/>
      </c>
      <c r="L88" s="1"/>
      <c r="M88" s="1"/>
      <c r="N88" s="1"/>
      <c r="O88" s="1"/>
    </row>
    <row r="89" spans="1:15" ht="23" customHeight="1">
      <c r="A89" s="1"/>
      <c r="B89" s="29" t="str">
        <f t="shared" si="19"/>
        <v/>
      </c>
      <c r="C89" s="30" t="str">
        <f>IF(B89="","",EDATE(Simulatie!$C$14,B89-1))</f>
        <v/>
      </c>
      <c r="D89" s="31" t="str">
        <f t="shared" si="20"/>
        <v/>
      </c>
      <c r="E89" s="31" t="str">
        <f t="shared" si="13"/>
        <v/>
      </c>
      <c r="F89" s="31" t="str">
        <f t="shared" si="14"/>
        <v/>
      </c>
      <c r="G89" s="32" t="str">
        <f>IF(B89="","",ROUND(IF(AND(B89=$F$4,$I$5=0),D89-MIN($F$5,D89),IF(Simulatie!$C$13="Lineair",MIN(D89,Simulatie!$C$25),MIN(D89,MAX(0,$I$4-E89)))),2))</f>
        <v/>
      </c>
      <c r="H89" s="31" t="str">
        <f t="shared" si="15"/>
        <v/>
      </c>
      <c r="I89" s="31" t="str">
        <f t="shared" si="16"/>
        <v/>
      </c>
      <c r="J89" s="31" t="str">
        <f t="shared" si="17"/>
        <v/>
      </c>
      <c r="K89" s="31" t="str">
        <f t="shared" si="18"/>
        <v/>
      </c>
      <c r="L89" s="1"/>
      <c r="M89" s="1"/>
      <c r="N89" s="1"/>
      <c r="O89" s="1"/>
    </row>
    <row r="90" spans="1:15" ht="23" customHeight="1">
      <c r="A90" s="1"/>
      <c r="B90" s="29" t="str">
        <f t="shared" si="19"/>
        <v/>
      </c>
      <c r="C90" s="30" t="str">
        <f>IF(B90="","",EDATE(Simulatie!$C$14,B90-1))</f>
        <v/>
      </c>
      <c r="D90" s="31" t="str">
        <f t="shared" si="20"/>
        <v/>
      </c>
      <c r="E90" s="31" t="str">
        <f t="shared" si="13"/>
        <v/>
      </c>
      <c r="F90" s="31" t="str">
        <f t="shared" si="14"/>
        <v/>
      </c>
      <c r="G90" s="32" t="str">
        <f>IF(B90="","",ROUND(IF(AND(B90=$F$4,$I$5=0),D90-MIN($F$5,D90),IF(Simulatie!$C$13="Lineair",MIN(D90,Simulatie!$C$25),MIN(D90,MAX(0,$I$4-E90)))),2))</f>
        <v/>
      </c>
      <c r="H90" s="31" t="str">
        <f t="shared" si="15"/>
        <v/>
      </c>
      <c r="I90" s="31" t="str">
        <f t="shared" si="16"/>
        <v/>
      </c>
      <c r="J90" s="31" t="str">
        <f t="shared" si="17"/>
        <v/>
      </c>
      <c r="K90" s="31" t="str">
        <f t="shared" si="18"/>
        <v/>
      </c>
      <c r="L90" s="1"/>
      <c r="M90" s="1"/>
      <c r="N90" s="1"/>
      <c r="O90" s="1"/>
    </row>
    <row r="91" spans="1:15" ht="23" customHeight="1">
      <c r="A91" s="1"/>
      <c r="B91" s="29" t="str">
        <f t="shared" si="19"/>
        <v/>
      </c>
      <c r="C91" s="30" t="str">
        <f>IF(B91="","",EDATE(Simulatie!$C$14,B91-1))</f>
        <v/>
      </c>
      <c r="D91" s="31" t="str">
        <f t="shared" si="20"/>
        <v/>
      </c>
      <c r="E91" s="31" t="str">
        <f t="shared" si="13"/>
        <v/>
      </c>
      <c r="F91" s="31" t="str">
        <f t="shared" si="14"/>
        <v/>
      </c>
      <c r="G91" s="32" t="str">
        <f>IF(B91="","",ROUND(IF(AND(B91=$F$4,$I$5=0),D91-MIN($F$5,D91),IF(Simulatie!$C$13="Lineair",MIN(D91,Simulatie!$C$25),MIN(D91,MAX(0,$I$4-E91)))),2))</f>
        <v/>
      </c>
      <c r="H91" s="31" t="str">
        <f t="shared" si="15"/>
        <v/>
      </c>
      <c r="I91" s="31" t="str">
        <f t="shared" si="16"/>
        <v/>
      </c>
      <c r="J91" s="31" t="str">
        <f t="shared" si="17"/>
        <v/>
      </c>
      <c r="K91" s="31" t="str">
        <f t="shared" si="18"/>
        <v/>
      </c>
      <c r="L91" s="1"/>
      <c r="M91" s="1"/>
      <c r="N91" s="1"/>
      <c r="O91" s="1"/>
    </row>
    <row r="92" spans="1:15" ht="23" customHeight="1">
      <c r="A92" s="1"/>
      <c r="B92" s="29" t="str">
        <f t="shared" si="19"/>
        <v/>
      </c>
      <c r="C92" s="30" t="str">
        <f>IF(B92="","",EDATE(Simulatie!$C$14,B92-1))</f>
        <v/>
      </c>
      <c r="D92" s="31" t="str">
        <f t="shared" si="20"/>
        <v/>
      </c>
      <c r="E92" s="31" t="str">
        <f t="shared" si="13"/>
        <v/>
      </c>
      <c r="F92" s="31" t="str">
        <f t="shared" si="14"/>
        <v/>
      </c>
      <c r="G92" s="32" t="str">
        <f>IF(B92="","",ROUND(IF(AND(B92=$F$4,$I$5=0),D92-MIN($F$5,D92),IF(Simulatie!$C$13="Lineair",MIN(D92,Simulatie!$C$25),MIN(D92,MAX(0,$I$4-E92)))),2))</f>
        <v/>
      </c>
      <c r="H92" s="31" t="str">
        <f t="shared" si="15"/>
        <v/>
      </c>
      <c r="I92" s="31" t="str">
        <f t="shared" si="16"/>
        <v/>
      </c>
      <c r="J92" s="31" t="str">
        <f t="shared" si="17"/>
        <v/>
      </c>
      <c r="K92" s="31" t="str">
        <f t="shared" si="18"/>
        <v/>
      </c>
      <c r="L92" s="1"/>
      <c r="M92" s="1"/>
      <c r="N92" s="1"/>
      <c r="O92" s="1"/>
    </row>
    <row r="93" spans="1:15" ht="23" customHeight="1">
      <c r="A93" s="1"/>
      <c r="B93" s="29" t="str">
        <f t="shared" si="19"/>
        <v/>
      </c>
      <c r="C93" s="30" t="str">
        <f>IF(B93="","",EDATE(Simulatie!$C$14,B93-1))</f>
        <v/>
      </c>
      <c r="D93" s="31" t="str">
        <f t="shared" si="20"/>
        <v/>
      </c>
      <c r="E93" s="31" t="str">
        <f t="shared" si="13"/>
        <v/>
      </c>
      <c r="F93" s="31" t="str">
        <f t="shared" si="14"/>
        <v/>
      </c>
      <c r="G93" s="32" t="str">
        <f>IF(B93="","",ROUND(IF(AND(B93=$F$4,$I$5=0),D93-MIN($F$5,D93),IF(Simulatie!$C$13="Lineair",MIN(D93,Simulatie!$C$25),MIN(D93,MAX(0,$I$4-E93)))),2))</f>
        <v/>
      </c>
      <c r="H93" s="31" t="str">
        <f t="shared" si="15"/>
        <v/>
      </c>
      <c r="I93" s="31" t="str">
        <f t="shared" si="16"/>
        <v/>
      </c>
      <c r="J93" s="31" t="str">
        <f t="shared" si="17"/>
        <v/>
      </c>
      <c r="K93" s="31" t="str">
        <f t="shared" si="18"/>
        <v/>
      </c>
      <c r="L93" s="1"/>
      <c r="M93" s="1"/>
      <c r="N93" s="1"/>
      <c r="O93" s="1"/>
    </row>
    <row r="94" spans="1:15" ht="23" customHeight="1">
      <c r="A94" s="1"/>
      <c r="B94" s="29" t="str">
        <f t="shared" si="19"/>
        <v/>
      </c>
      <c r="C94" s="30" t="str">
        <f>IF(B94="","",EDATE(Simulatie!$C$14,B94-1))</f>
        <v/>
      </c>
      <c r="D94" s="31" t="str">
        <f t="shared" si="20"/>
        <v/>
      </c>
      <c r="E94" s="31" t="str">
        <f t="shared" si="13"/>
        <v/>
      </c>
      <c r="F94" s="31" t="str">
        <f t="shared" si="14"/>
        <v/>
      </c>
      <c r="G94" s="32" t="str">
        <f>IF(B94="","",ROUND(IF(AND(B94=$F$4,$I$5=0),D94-MIN($F$5,D94),IF(Simulatie!$C$13="Lineair",MIN(D94,Simulatie!$C$25),MIN(D94,MAX(0,$I$4-E94)))),2))</f>
        <v/>
      </c>
      <c r="H94" s="31" t="str">
        <f t="shared" si="15"/>
        <v/>
      </c>
      <c r="I94" s="31" t="str">
        <f t="shared" si="16"/>
        <v/>
      </c>
      <c r="J94" s="31" t="str">
        <f t="shared" si="17"/>
        <v/>
      </c>
      <c r="K94" s="31" t="str">
        <f t="shared" si="18"/>
        <v/>
      </c>
      <c r="L94" s="1"/>
      <c r="M94" s="1"/>
      <c r="N94" s="1"/>
      <c r="O94" s="1"/>
    </row>
    <row r="95" spans="1:15" ht="23" customHeight="1">
      <c r="A95" s="1"/>
      <c r="B95" s="29" t="str">
        <f t="shared" si="19"/>
        <v/>
      </c>
      <c r="C95" s="30" t="str">
        <f>IF(B95="","",EDATE(Simulatie!$C$14,B95-1))</f>
        <v/>
      </c>
      <c r="D95" s="31" t="str">
        <f t="shared" si="20"/>
        <v/>
      </c>
      <c r="E95" s="31" t="str">
        <f t="shared" si="13"/>
        <v/>
      </c>
      <c r="F95" s="31" t="str">
        <f t="shared" si="14"/>
        <v/>
      </c>
      <c r="G95" s="32" t="str">
        <f>IF(B95="","",ROUND(IF(AND(B95=$F$4,$I$5=0),D95-MIN($F$5,D95),IF(Simulatie!$C$13="Lineair",MIN(D95,Simulatie!$C$25),MIN(D95,MAX(0,$I$4-E95)))),2))</f>
        <v/>
      </c>
      <c r="H95" s="31" t="str">
        <f t="shared" si="15"/>
        <v/>
      </c>
      <c r="I95" s="31" t="str">
        <f t="shared" si="16"/>
        <v/>
      </c>
      <c r="J95" s="31" t="str">
        <f t="shared" si="17"/>
        <v/>
      </c>
      <c r="K95" s="31" t="str">
        <f t="shared" si="18"/>
        <v/>
      </c>
      <c r="L95" s="1"/>
      <c r="M95" s="1"/>
      <c r="N95" s="1"/>
      <c r="O95" s="1"/>
    </row>
    <row r="96" spans="1:15" ht="23" customHeight="1">
      <c r="A96" s="1"/>
      <c r="B96" s="29" t="str">
        <f t="shared" si="19"/>
        <v/>
      </c>
      <c r="C96" s="30" t="str">
        <f>IF(B96="","",EDATE(Simulatie!$C$14,B96-1))</f>
        <v/>
      </c>
      <c r="D96" s="31" t="str">
        <f t="shared" si="20"/>
        <v/>
      </c>
      <c r="E96" s="31" t="str">
        <f t="shared" si="13"/>
        <v/>
      </c>
      <c r="F96" s="31" t="str">
        <f t="shared" si="14"/>
        <v/>
      </c>
      <c r="G96" s="32" t="str">
        <f>IF(B96="","",ROUND(IF(AND(B96=$F$4,$I$5=0),D96-MIN($F$5,D96),IF(Simulatie!$C$13="Lineair",MIN(D96,Simulatie!$C$25),MIN(D96,MAX(0,$I$4-E96)))),2))</f>
        <v/>
      </c>
      <c r="H96" s="31" t="str">
        <f t="shared" si="15"/>
        <v/>
      </c>
      <c r="I96" s="31" t="str">
        <f t="shared" si="16"/>
        <v/>
      </c>
      <c r="J96" s="31" t="str">
        <f t="shared" si="17"/>
        <v/>
      </c>
      <c r="K96" s="31" t="str">
        <f t="shared" si="18"/>
        <v/>
      </c>
      <c r="L96" s="1"/>
      <c r="M96" s="1"/>
      <c r="N96" s="1"/>
      <c r="O96" s="1"/>
    </row>
    <row r="97" spans="1:15" ht="23" customHeight="1">
      <c r="A97" s="1"/>
      <c r="B97" s="29" t="str">
        <f t="shared" si="19"/>
        <v/>
      </c>
      <c r="C97" s="30" t="str">
        <f>IF(B97="","",EDATE(Simulatie!$C$14,B97-1))</f>
        <v/>
      </c>
      <c r="D97" s="31" t="str">
        <f t="shared" si="20"/>
        <v/>
      </c>
      <c r="E97" s="31" t="str">
        <f t="shared" si="13"/>
        <v/>
      </c>
      <c r="F97" s="31" t="str">
        <f t="shared" si="14"/>
        <v/>
      </c>
      <c r="G97" s="32" t="str">
        <f>IF(B97="","",ROUND(IF(AND(B97=$F$4,$I$5=0),D97-MIN($F$5,D97),IF(Simulatie!$C$13="Lineair",MIN(D97,Simulatie!$C$25),MIN(D97,MAX(0,$I$4-E97)))),2))</f>
        <v/>
      </c>
      <c r="H97" s="31" t="str">
        <f t="shared" si="15"/>
        <v/>
      </c>
      <c r="I97" s="31" t="str">
        <f t="shared" si="16"/>
        <v/>
      </c>
      <c r="J97" s="31" t="str">
        <f t="shared" si="17"/>
        <v/>
      </c>
      <c r="K97" s="31" t="str">
        <f t="shared" si="18"/>
        <v/>
      </c>
      <c r="L97" s="1"/>
      <c r="M97" s="1"/>
      <c r="N97" s="1"/>
      <c r="O97" s="1"/>
    </row>
    <row r="98" spans="1:15" ht="23" customHeight="1">
      <c r="A98" s="1"/>
      <c r="B98" s="29" t="str">
        <f t="shared" si="19"/>
        <v/>
      </c>
      <c r="C98" s="30" t="str">
        <f>IF(B98="","",EDATE(Simulatie!$C$14,B98-1))</f>
        <v/>
      </c>
      <c r="D98" s="31" t="str">
        <f t="shared" si="20"/>
        <v/>
      </c>
      <c r="E98" s="31" t="str">
        <f t="shared" si="13"/>
        <v/>
      </c>
      <c r="F98" s="31" t="str">
        <f t="shared" si="14"/>
        <v/>
      </c>
      <c r="G98" s="32" t="str">
        <f>IF(B98="","",ROUND(IF(AND(B98=$F$4,$I$5=0),D98-MIN($F$5,D98),IF(Simulatie!$C$13="Lineair",MIN(D98,Simulatie!$C$25),MIN(D98,MAX(0,$I$4-E98)))),2))</f>
        <v/>
      </c>
      <c r="H98" s="31" t="str">
        <f t="shared" si="15"/>
        <v/>
      </c>
      <c r="I98" s="31" t="str">
        <f t="shared" si="16"/>
        <v/>
      </c>
      <c r="J98" s="31" t="str">
        <f t="shared" si="17"/>
        <v/>
      </c>
      <c r="K98" s="31" t="str">
        <f t="shared" si="18"/>
        <v/>
      </c>
      <c r="L98" s="1"/>
      <c r="M98" s="1"/>
      <c r="N98" s="1"/>
      <c r="O98" s="1"/>
    </row>
    <row r="99" spans="1:15" ht="23" customHeight="1">
      <c r="A99" s="1"/>
      <c r="B99" s="29" t="str">
        <f t="shared" si="19"/>
        <v/>
      </c>
      <c r="C99" s="30" t="str">
        <f>IF(B99="","",EDATE(Simulatie!$C$14,B99-1))</f>
        <v/>
      </c>
      <c r="D99" s="31" t="str">
        <f t="shared" si="20"/>
        <v/>
      </c>
      <c r="E99" s="31" t="str">
        <f t="shared" si="13"/>
        <v/>
      </c>
      <c r="F99" s="31" t="str">
        <f t="shared" si="14"/>
        <v/>
      </c>
      <c r="G99" s="32" t="str">
        <f>IF(B99="","",ROUND(IF(AND(B99=$F$4,$I$5=0),D99-MIN($F$5,D99),IF(Simulatie!$C$13="Lineair",MIN(D99,Simulatie!$C$25),MIN(D99,MAX(0,$I$4-E99)))),2))</f>
        <v/>
      </c>
      <c r="H99" s="31" t="str">
        <f t="shared" si="15"/>
        <v/>
      </c>
      <c r="I99" s="31" t="str">
        <f t="shared" si="16"/>
        <v/>
      </c>
      <c r="J99" s="31" t="str">
        <f t="shared" si="17"/>
        <v/>
      </c>
      <c r="K99" s="31" t="str">
        <f t="shared" si="18"/>
        <v/>
      </c>
      <c r="L99" s="1"/>
      <c r="M99" s="1"/>
      <c r="N99" s="1"/>
      <c r="O99" s="1"/>
    </row>
    <row r="100" spans="1:15" ht="23" customHeight="1">
      <c r="A100" s="1"/>
      <c r="B100" s="29" t="str">
        <f t="shared" si="19"/>
        <v/>
      </c>
      <c r="C100" s="30" t="str">
        <f>IF(B100="","",EDATE(Simulatie!$C$14,B100-1))</f>
        <v/>
      </c>
      <c r="D100" s="31" t="str">
        <f t="shared" si="20"/>
        <v/>
      </c>
      <c r="E100" s="31" t="str">
        <f t="shared" si="13"/>
        <v/>
      </c>
      <c r="F100" s="31" t="str">
        <f t="shared" si="14"/>
        <v/>
      </c>
      <c r="G100" s="32" t="str">
        <f>IF(B100="","",ROUND(IF(AND(B100=$F$4,$I$5=0),D100-MIN($F$5,D100),IF(Simulatie!$C$13="Lineair",MIN(D100,Simulatie!$C$25),MIN(D100,MAX(0,$I$4-E100)))),2))</f>
        <v/>
      </c>
      <c r="H100" s="31" t="str">
        <f t="shared" si="15"/>
        <v/>
      </c>
      <c r="I100" s="31" t="str">
        <f t="shared" si="16"/>
        <v/>
      </c>
      <c r="J100" s="31" t="str">
        <f t="shared" si="17"/>
        <v/>
      </c>
      <c r="K100" s="31" t="str">
        <f t="shared" si="18"/>
        <v/>
      </c>
      <c r="L100" s="1"/>
      <c r="M100" s="1"/>
      <c r="N100" s="1"/>
      <c r="O100" s="1"/>
    </row>
    <row r="101" spans="1:15" ht="23" customHeight="1">
      <c r="A101" s="1"/>
      <c r="B101" s="29" t="str">
        <f t="shared" si="19"/>
        <v/>
      </c>
      <c r="C101" s="30" t="str">
        <f>IF(B101="","",EDATE(Simulatie!$C$14,B101-1))</f>
        <v/>
      </c>
      <c r="D101" s="31" t="str">
        <f t="shared" si="20"/>
        <v/>
      </c>
      <c r="E101" s="31" t="str">
        <f t="shared" si="13"/>
        <v/>
      </c>
      <c r="F101" s="31" t="str">
        <f t="shared" si="14"/>
        <v/>
      </c>
      <c r="G101" s="32" t="str">
        <f>IF(B101="","",ROUND(IF(AND(B101=$F$4,$I$5=0),D101-MIN($F$5,D101),IF(Simulatie!$C$13="Lineair",MIN(D101,Simulatie!$C$25),MIN(D101,MAX(0,$I$4-E101)))),2))</f>
        <v/>
      </c>
      <c r="H101" s="31" t="str">
        <f t="shared" si="15"/>
        <v/>
      </c>
      <c r="I101" s="31" t="str">
        <f t="shared" si="16"/>
        <v/>
      </c>
      <c r="J101" s="31" t="str">
        <f t="shared" si="17"/>
        <v/>
      </c>
      <c r="K101" s="31" t="str">
        <f t="shared" si="18"/>
        <v/>
      </c>
      <c r="L101" s="1"/>
      <c r="M101" s="1"/>
      <c r="N101" s="1"/>
      <c r="O101" s="1"/>
    </row>
    <row r="102" spans="1:15" ht="23" customHeight="1">
      <c r="A102" s="1"/>
      <c r="B102" s="29" t="str">
        <f t="shared" si="19"/>
        <v/>
      </c>
      <c r="C102" s="30" t="str">
        <f>IF(B102="","",EDATE(Simulatie!$C$14,B102-1))</f>
        <v/>
      </c>
      <c r="D102" s="31" t="str">
        <f t="shared" si="20"/>
        <v/>
      </c>
      <c r="E102" s="31" t="str">
        <f t="shared" si="13"/>
        <v/>
      </c>
      <c r="F102" s="31" t="str">
        <f t="shared" si="14"/>
        <v/>
      </c>
      <c r="G102" s="32" t="str">
        <f>IF(B102="","",ROUND(IF(AND(B102=$F$4,$I$5=0),D102-MIN($F$5,D102),IF(Simulatie!$C$13="Lineair",MIN(D102,Simulatie!$C$25),MIN(D102,MAX(0,$I$4-E102)))),2))</f>
        <v/>
      </c>
      <c r="H102" s="31" t="str">
        <f t="shared" si="15"/>
        <v/>
      </c>
      <c r="I102" s="31" t="str">
        <f t="shared" si="16"/>
        <v/>
      </c>
      <c r="J102" s="31" t="str">
        <f t="shared" si="17"/>
        <v/>
      </c>
      <c r="K102" s="31" t="str">
        <f t="shared" si="18"/>
        <v/>
      </c>
      <c r="L102" s="1"/>
      <c r="M102" s="1"/>
      <c r="N102" s="1"/>
      <c r="O102" s="1"/>
    </row>
    <row r="103" spans="1:15" ht="23" customHeight="1">
      <c r="A103" s="1"/>
      <c r="B103" s="29" t="str">
        <f t="shared" si="19"/>
        <v/>
      </c>
      <c r="C103" s="30" t="str">
        <f>IF(B103="","",EDATE(Simulatie!$C$14,B103-1))</f>
        <v/>
      </c>
      <c r="D103" s="31" t="str">
        <f t="shared" si="20"/>
        <v/>
      </c>
      <c r="E103" s="31" t="str">
        <f t="shared" si="13"/>
        <v/>
      </c>
      <c r="F103" s="31" t="str">
        <f t="shared" si="14"/>
        <v/>
      </c>
      <c r="G103" s="32" t="str">
        <f>IF(B103="","",ROUND(IF(AND(B103=$F$4,$I$5=0),D103-MIN($F$5,D103),IF(Simulatie!$C$13="Lineair",MIN(D103,Simulatie!$C$25),MIN(D103,MAX(0,$I$4-E103)))),2))</f>
        <v/>
      </c>
      <c r="H103" s="31" t="str">
        <f t="shared" si="15"/>
        <v/>
      </c>
      <c r="I103" s="31" t="str">
        <f t="shared" si="16"/>
        <v/>
      </c>
      <c r="J103" s="31" t="str">
        <f t="shared" si="17"/>
        <v/>
      </c>
      <c r="K103" s="31" t="str">
        <f t="shared" si="18"/>
        <v/>
      </c>
      <c r="L103" s="1"/>
      <c r="M103" s="1"/>
      <c r="N103" s="1"/>
      <c r="O103" s="1"/>
    </row>
    <row r="104" spans="1:15" ht="23" customHeight="1">
      <c r="A104" s="1"/>
      <c r="B104" s="29" t="str">
        <f t="shared" si="19"/>
        <v/>
      </c>
      <c r="C104" s="30" t="str">
        <f>IF(B104="","",EDATE(Simulatie!$C$14,B104-1))</f>
        <v/>
      </c>
      <c r="D104" s="31" t="str">
        <f t="shared" si="20"/>
        <v/>
      </c>
      <c r="E104" s="31" t="str">
        <f t="shared" si="13"/>
        <v/>
      </c>
      <c r="F104" s="31" t="str">
        <f t="shared" si="14"/>
        <v/>
      </c>
      <c r="G104" s="32" t="str">
        <f>IF(B104="","",ROUND(IF(AND(B104=$F$4,$I$5=0),D104-MIN($F$5,D104),IF(Simulatie!$C$13="Lineair",MIN(D104,Simulatie!$C$25),MIN(D104,MAX(0,$I$4-E104)))),2))</f>
        <v/>
      </c>
      <c r="H104" s="31" t="str">
        <f t="shared" si="15"/>
        <v/>
      </c>
      <c r="I104" s="31" t="str">
        <f t="shared" si="16"/>
        <v/>
      </c>
      <c r="J104" s="31" t="str">
        <f t="shared" si="17"/>
        <v/>
      </c>
      <c r="K104" s="31" t="str">
        <f t="shared" si="18"/>
        <v/>
      </c>
      <c r="L104" s="1"/>
      <c r="M104" s="1"/>
      <c r="N104" s="1"/>
      <c r="O104" s="1"/>
    </row>
    <row r="105" spans="1:15" ht="23" customHeight="1">
      <c r="A105" s="1"/>
      <c r="B105" s="29" t="str">
        <f t="shared" si="19"/>
        <v/>
      </c>
      <c r="C105" s="30" t="str">
        <f>IF(B105="","",EDATE(Simulatie!$C$14,B105-1))</f>
        <v/>
      </c>
      <c r="D105" s="31" t="str">
        <f t="shared" si="20"/>
        <v/>
      </c>
      <c r="E105" s="31" t="str">
        <f t="shared" si="13"/>
        <v/>
      </c>
      <c r="F105" s="31" t="str">
        <f t="shared" si="14"/>
        <v/>
      </c>
      <c r="G105" s="32" t="str">
        <f>IF(B105="","",ROUND(IF(AND(B105=$F$4,$I$5=0),D105-MIN($F$5,D105),IF(Simulatie!$C$13="Lineair",MIN(D105,Simulatie!$C$25),MIN(D105,MAX(0,$I$4-E105)))),2))</f>
        <v/>
      </c>
      <c r="H105" s="31" t="str">
        <f t="shared" si="15"/>
        <v/>
      </c>
      <c r="I105" s="31" t="str">
        <f t="shared" si="16"/>
        <v/>
      </c>
      <c r="J105" s="31" t="str">
        <f t="shared" si="17"/>
        <v/>
      </c>
      <c r="K105" s="31" t="str">
        <f t="shared" si="18"/>
        <v/>
      </c>
      <c r="L105" s="1"/>
      <c r="M105" s="1"/>
      <c r="N105" s="1"/>
      <c r="O105" s="1"/>
    </row>
    <row r="106" spans="1:15" ht="23" customHeight="1">
      <c r="A106" s="1"/>
      <c r="B106" s="29" t="str">
        <f t="shared" si="19"/>
        <v/>
      </c>
      <c r="C106" s="30" t="str">
        <f>IF(B106="","",EDATE(Simulatie!$C$14,B106-1))</f>
        <v/>
      </c>
      <c r="D106" s="31" t="str">
        <f t="shared" si="20"/>
        <v/>
      </c>
      <c r="E106" s="31" t="str">
        <f t="shared" si="13"/>
        <v/>
      </c>
      <c r="F106" s="31" t="str">
        <f t="shared" si="14"/>
        <v/>
      </c>
      <c r="G106" s="32" t="str">
        <f>IF(B106="","",ROUND(IF(AND(B106=$F$4,$I$5=0),D106-MIN($F$5,D106),IF(Simulatie!$C$13="Lineair",MIN(D106,Simulatie!$C$25),MIN(D106,MAX(0,$I$4-E106)))),2))</f>
        <v/>
      </c>
      <c r="H106" s="31" t="str">
        <f t="shared" si="15"/>
        <v/>
      </c>
      <c r="I106" s="31" t="str">
        <f t="shared" si="16"/>
        <v/>
      </c>
      <c r="J106" s="31" t="str">
        <f t="shared" si="17"/>
        <v/>
      </c>
      <c r="K106" s="31" t="str">
        <f t="shared" si="18"/>
        <v/>
      </c>
      <c r="L106" s="1"/>
      <c r="M106" s="1"/>
      <c r="N106" s="1"/>
      <c r="O106" s="1"/>
    </row>
    <row r="107" spans="1:15" ht="23" customHeight="1">
      <c r="A107" s="1"/>
      <c r="B107" s="29" t="str">
        <f t="shared" si="19"/>
        <v/>
      </c>
      <c r="C107" s="30" t="str">
        <f>IF(B107="","",EDATE(Simulatie!$C$14,B107-1))</f>
        <v/>
      </c>
      <c r="D107" s="31" t="str">
        <f t="shared" si="20"/>
        <v/>
      </c>
      <c r="E107" s="31" t="str">
        <f t="shared" si="13"/>
        <v/>
      </c>
      <c r="F107" s="31" t="str">
        <f t="shared" si="14"/>
        <v/>
      </c>
      <c r="G107" s="32" t="str">
        <f>IF(B107="","",ROUND(IF(AND(B107=$F$4,$I$5=0),D107-MIN($F$5,D107),IF(Simulatie!$C$13="Lineair",MIN(D107,Simulatie!$C$25),MIN(D107,MAX(0,$I$4-E107)))),2))</f>
        <v/>
      </c>
      <c r="H107" s="31" t="str">
        <f t="shared" si="15"/>
        <v/>
      </c>
      <c r="I107" s="31" t="str">
        <f t="shared" si="16"/>
        <v/>
      </c>
      <c r="J107" s="31" t="str">
        <f t="shared" si="17"/>
        <v/>
      </c>
      <c r="K107" s="31" t="str">
        <f t="shared" si="18"/>
        <v/>
      </c>
      <c r="L107" s="1"/>
      <c r="M107" s="1"/>
      <c r="N107" s="1"/>
      <c r="O107" s="1"/>
    </row>
    <row r="108" spans="1:15" ht="23" customHeight="1">
      <c r="A108" s="1"/>
      <c r="B108" s="29" t="str">
        <f t="shared" si="19"/>
        <v/>
      </c>
      <c r="C108" s="30" t="str">
        <f>IF(B108="","",EDATE(Simulatie!$C$14,B108-1))</f>
        <v/>
      </c>
      <c r="D108" s="31" t="str">
        <f t="shared" si="20"/>
        <v/>
      </c>
      <c r="E108" s="31" t="str">
        <f t="shared" si="13"/>
        <v/>
      </c>
      <c r="F108" s="31" t="str">
        <f t="shared" si="14"/>
        <v/>
      </c>
      <c r="G108" s="32" t="str">
        <f>IF(B108="","",ROUND(IF(AND(B108=$F$4,$I$5=0),D108-MIN($F$5,D108),IF(Simulatie!$C$13="Lineair",MIN(D108,Simulatie!$C$25),MIN(D108,MAX(0,$I$4-E108)))),2))</f>
        <v/>
      </c>
      <c r="H108" s="31" t="str">
        <f t="shared" si="15"/>
        <v/>
      </c>
      <c r="I108" s="31" t="str">
        <f t="shared" si="16"/>
        <v/>
      </c>
      <c r="J108" s="31" t="str">
        <f t="shared" si="17"/>
        <v/>
      </c>
      <c r="K108" s="31" t="str">
        <f t="shared" si="18"/>
        <v/>
      </c>
      <c r="L108" s="1"/>
      <c r="M108" s="1"/>
      <c r="N108" s="1"/>
      <c r="O108" s="1"/>
    </row>
    <row r="109" spans="1:15" ht="23" customHeight="1">
      <c r="A109" s="1"/>
      <c r="B109" s="29" t="str">
        <f t="shared" si="19"/>
        <v/>
      </c>
      <c r="C109" s="30" t="str">
        <f>IF(B109="","",EDATE(Simulatie!$C$14,B109-1))</f>
        <v/>
      </c>
      <c r="D109" s="31" t="str">
        <f t="shared" si="20"/>
        <v/>
      </c>
      <c r="E109" s="31" t="str">
        <f t="shared" si="13"/>
        <v/>
      </c>
      <c r="F109" s="31" t="str">
        <f t="shared" si="14"/>
        <v/>
      </c>
      <c r="G109" s="32" t="str">
        <f>IF(B109="","",ROUND(IF(AND(B109=$F$4,$I$5=0),D109-MIN($F$5,D109),IF(Simulatie!$C$13="Lineair",MIN(D109,Simulatie!$C$25),MIN(D109,MAX(0,$I$4-E109)))),2))</f>
        <v/>
      </c>
      <c r="H109" s="31" t="str">
        <f t="shared" si="15"/>
        <v/>
      </c>
      <c r="I109" s="31" t="str">
        <f t="shared" si="16"/>
        <v/>
      </c>
      <c r="J109" s="31" t="str">
        <f t="shared" si="17"/>
        <v/>
      </c>
      <c r="K109" s="31" t="str">
        <f t="shared" si="18"/>
        <v/>
      </c>
      <c r="L109" s="1"/>
      <c r="M109" s="1"/>
      <c r="N109" s="1"/>
      <c r="O109" s="1"/>
    </row>
    <row r="110" spans="1:15" ht="23" customHeight="1">
      <c r="A110" s="1"/>
      <c r="B110" s="29" t="str">
        <f t="shared" si="19"/>
        <v/>
      </c>
      <c r="C110" s="30" t="str">
        <f>IF(B110="","",EDATE(Simulatie!$C$14,B110-1))</f>
        <v/>
      </c>
      <c r="D110" s="31" t="str">
        <f t="shared" si="20"/>
        <v/>
      </c>
      <c r="E110" s="31" t="str">
        <f t="shared" si="13"/>
        <v/>
      </c>
      <c r="F110" s="31" t="str">
        <f t="shared" si="14"/>
        <v/>
      </c>
      <c r="G110" s="32" t="str">
        <f>IF(B110="","",ROUND(IF(AND(B110=$F$4,$I$5=0),D110-MIN($F$5,D110),IF(Simulatie!$C$13="Lineair",MIN(D110,Simulatie!$C$25),MIN(D110,MAX(0,$I$4-E110)))),2))</f>
        <v/>
      </c>
      <c r="H110" s="31" t="str">
        <f t="shared" si="15"/>
        <v/>
      </c>
      <c r="I110" s="31" t="str">
        <f t="shared" si="16"/>
        <v/>
      </c>
      <c r="J110" s="31" t="str">
        <f t="shared" si="17"/>
        <v/>
      </c>
      <c r="K110" s="31" t="str">
        <f t="shared" si="18"/>
        <v/>
      </c>
      <c r="L110" s="1"/>
      <c r="M110" s="1"/>
      <c r="N110" s="1"/>
      <c r="O110" s="1"/>
    </row>
    <row r="111" spans="1:15" ht="23" customHeight="1">
      <c r="A111" s="1"/>
      <c r="B111" s="29" t="str">
        <f t="shared" si="19"/>
        <v/>
      </c>
      <c r="C111" s="30" t="str">
        <f>IF(B111="","",EDATE(Simulatie!$C$14,B111-1))</f>
        <v/>
      </c>
      <c r="D111" s="31" t="str">
        <f t="shared" si="20"/>
        <v/>
      </c>
      <c r="E111" s="31" t="str">
        <f t="shared" si="13"/>
        <v/>
      </c>
      <c r="F111" s="31" t="str">
        <f t="shared" si="14"/>
        <v/>
      </c>
      <c r="G111" s="32" t="str">
        <f>IF(B111="","",ROUND(IF(AND(B111=$F$4,$I$5=0),D111-MIN($F$5,D111),IF(Simulatie!$C$13="Lineair",MIN(D111,Simulatie!$C$25),MIN(D111,MAX(0,$I$4-E111)))),2))</f>
        <v/>
      </c>
      <c r="H111" s="31" t="str">
        <f t="shared" si="15"/>
        <v/>
      </c>
      <c r="I111" s="31" t="str">
        <f t="shared" si="16"/>
        <v/>
      </c>
      <c r="J111" s="31" t="str">
        <f t="shared" si="17"/>
        <v/>
      </c>
      <c r="K111" s="31" t="str">
        <f t="shared" si="18"/>
        <v/>
      </c>
      <c r="L111" s="1"/>
      <c r="M111" s="1"/>
      <c r="N111" s="1"/>
      <c r="O111" s="1"/>
    </row>
    <row r="112" spans="1:15" ht="23" customHeight="1">
      <c r="A112" s="1"/>
      <c r="B112" s="29" t="str">
        <f t="shared" si="19"/>
        <v/>
      </c>
      <c r="C112" s="30" t="str">
        <f>IF(B112="","",EDATE(Simulatie!$C$14,B112-1))</f>
        <v/>
      </c>
      <c r="D112" s="31" t="str">
        <f t="shared" si="20"/>
        <v/>
      </c>
      <c r="E112" s="31" t="str">
        <f t="shared" si="13"/>
        <v/>
      </c>
      <c r="F112" s="31" t="str">
        <f t="shared" si="14"/>
        <v/>
      </c>
      <c r="G112" s="32" t="str">
        <f>IF(B112="","",ROUND(IF(AND(B112=$F$4,$I$5=0),D112-MIN($F$5,D112),IF(Simulatie!$C$13="Lineair",MIN(D112,Simulatie!$C$25),MIN(D112,MAX(0,$I$4-E112)))),2))</f>
        <v/>
      </c>
      <c r="H112" s="31" t="str">
        <f t="shared" si="15"/>
        <v/>
      </c>
      <c r="I112" s="31" t="str">
        <f t="shared" si="16"/>
        <v/>
      </c>
      <c r="J112" s="31" t="str">
        <f t="shared" si="17"/>
        <v/>
      </c>
      <c r="K112" s="31" t="str">
        <f t="shared" si="18"/>
        <v/>
      </c>
      <c r="L112" s="1"/>
      <c r="M112" s="1"/>
      <c r="N112" s="1"/>
      <c r="O112" s="1"/>
    </row>
    <row r="113" spans="1:15" ht="23" customHeight="1">
      <c r="A113" s="1"/>
      <c r="B113" s="29" t="str">
        <f t="shared" si="19"/>
        <v/>
      </c>
      <c r="C113" s="30" t="str">
        <f>IF(B113="","",EDATE(Simulatie!$C$14,B113-1))</f>
        <v/>
      </c>
      <c r="D113" s="31" t="str">
        <f t="shared" si="20"/>
        <v/>
      </c>
      <c r="E113" s="31" t="str">
        <f t="shared" si="13"/>
        <v/>
      </c>
      <c r="F113" s="31" t="str">
        <f t="shared" si="14"/>
        <v/>
      </c>
      <c r="G113" s="32" t="str">
        <f>IF(B113="","",ROUND(IF(AND(B113=$F$4,$I$5=0),D113-MIN($F$5,D113),IF(Simulatie!$C$13="Lineair",MIN(D113,Simulatie!$C$25),MIN(D113,MAX(0,$I$4-E113)))),2))</f>
        <v/>
      </c>
      <c r="H113" s="31" t="str">
        <f t="shared" si="15"/>
        <v/>
      </c>
      <c r="I113" s="31" t="str">
        <f t="shared" si="16"/>
        <v/>
      </c>
      <c r="J113" s="31" t="str">
        <f t="shared" si="17"/>
        <v/>
      </c>
      <c r="K113" s="31" t="str">
        <f t="shared" si="18"/>
        <v/>
      </c>
      <c r="L113" s="1"/>
      <c r="M113" s="1"/>
      <c r="N113" s="1"/>
      <c r="O113" s="1"/>
    </row>
    <row r="114" spans="1:15" ht="23" customHeight="1">
      <c r="A114" s="1"/>
      <c r="B114" s="29" t="str">
        <f t="shared" si="19"/>
        <v/>
      </c>
      <c r="C114" s="30" t="str">
        <f>IF(B114="","",EDATE(Simulatie!$C$14,B114-1))</f>
        <v/>
      </c>
      <c r="D114" s="31" t="str">
        <f t="shared" si="20"/>
        <v/>
      </c>
      <c r="E114" s="31" t="str">
        <f t="shared" si="13"/>
        <v/>
      </c>
      <c r="F114" s="31" t="str">
        <f t="shared" si="14"/>
        <v/>
      </c>
      <c r="G114" s="32" t="str">
        <f>IF(B114="","",ROUND(IF(AND(B114=$F$4,$I$5=0),D114-MIN($F$5,D114),IF(Simulatie!$C$13="Lineair",MIN(D114,Simulatie!$C$25),MIN(D114,MAX(0,$I$4-E114)))),2))</f>
        <v/>
      </c>
      <c r="H114" s="31" t="str">
        <f t="shared" si="15"/>
        <v/>
      </c>
      <c r="I114" s="31" t="str">
        <f t="shared" si="16"/>
        <v/>
      </c>
      <c r="J114" s="31" t="str">
        <f t="shared" si="17"/>
        <v/>
      </c>
      <c r="K114" s="31" t="str">
        <f t="shared" si="18"/>
        <v/>
      </c>
      <c r="L114" s="1"/>
      <c r="M114" s="1"/>
      <c r="N114" s="1"/>
      <c r="O114" s="1"/>
    </row>
    <row r="115" spans="1:15" ht="23" customHeight="1">
      <c r="A115" s="1"/>
      <c r="B115" s="29" t="str">
        <f t="shared" si="19"/>
        <v/>
      </c>
      <c r="C115" s="30" t="str">
        <f>IF(B115="","",EDATE(Simulatie!$C$14,B115-1))</f>
        <v/>
      </c>
      <c r="D115" s="31" t="str">
        <f t="shared" si="20"/>
        <v/>
      </c>
      <c r="E115" s="31" t="str">
        <f t="shared" si="13"/>
        <v/>
      </c>
      <c r="F115" s="31" t="str">
        <f t="shared" si="14"/>
        <v/>
      </c>
      <c r="G115" s="32" t="str">
        <f>IF(B115="","",ROUND(IF(AND(B115=$F$4,$I$5=0),D115-MIN($F$5,D115),IF(Simulatie!$C$13="Lineair",MIN(D115,Simulatie!$C$25),MIN(D115,MAX(0,$I$4-E115)))),2))</f>
        <v/>
      </c>
      <c r="H115" s="31" t="str">
        <f t="shared" si="15"/>
        <v/>
      </c>
      <c r="I115" s="31" t="str">
        <f t="shared" si="16"/>
        <v/>
      </c>
      <c r="J115" s="31" t="str">
        <f t="shared" si="17"/>
        <v/>
      </c>
      <c r="K115" s="31" t="str">
        <f t="shared" si="18"/>
        <v/>
      </c>
      <c r="L115" s="1"/>
      <c r="M115" s="1"/>
      <c r="N115" s="1"/>
      <c r="O115" s="1"/>
    </row>
    <row r="116" spans="1:15" ht="23" customHeight="1">
      <c r="A116" s="1"/>
      <c r="B116" s="29" t="str">
        <f t="shared" si="19"/>
        <v/>
      </c>
      <c r="C116" s="30" t="str">
        <f>IF(B116="","",EDATE(Simulatie!$C$14,B116-1))</f>
        <v/>
      </c>
      <c r="D116" s="31" t="str">
        <f t="shared" si="20"/>
        <v/>
      </c>
      <c r="E116" s="31" t="str">
        <f t="shared" si="13"/>
        <v/>
      </c>
      <c r="F116" s="31" t="str">
        <f t="shared" si="14"/>
        <v/>
      </c>
      <c r="G116" s="32" t="str">
        <f>IF(B116="","",ROUND(IF(AND(B116=$F$4,$I$5=0),D116-MIN($F$5,D116),IF(Simulatie!$C$13="Lineair",MIN(D116,Simulatie!$C$25),MIN(D116,MAX(0,$I$4-E116)))),2))</f>
        <v/>
      </c>
      <c r="H116" s="31" t="str">
        <f t="shared" si="15"/>
        <v/>
      </c>
      <c r="I116" s="31" t="str">
        <f t="shared" si="16"/>
        <v/>
      </c>
      <c r="J116" s="31" t="str">
        <f t="shared" si="17"/>
        <v/>
      </c>
      <c r="K116" s="31" t="str">
        <f t="shared" si="18"/>
        <v/>
      </c>
      <c r="L116" s="1"/>
      <c r="M116" s="1"/>
      <c r="N116" s="1"/>
      <c r="O116" s="1"/>
    </row>
    <row r="117" spans="1:15" ht="23" customHeight="1">
      <c r="A117" s="1"/>
      <c r="B117" s="29" t="str">
        <f t="shared" si="19"/>
        <v/>
      </c>
      <c r="C117" s="30" t="str">
        <f>IF(B117="","",EDATE(Simulatie!$C$14,B117-1))</f>
        <v/>
      </c>
      <c r="D117" s="31" t="str">
        <f t="shared" si="20"/>
        <v/>
      </c>
      <c r="E117" s="31" t="str">
        <f t="shared" si="13"/>
        <v/>
      </c>
      <c r="F117" s="31" t="str">
        <f t="shared" si="14"/>
        <v/>
      </c>
      <c r="G117" s="32" t="str">
        <f>IF(B117="","",ROUND(IF(AND(B117=$F$4,$I$5=0),D117-MIN($F$5,D117),IF(Simulatie!$C$13="Lineair",MIN(D117,Simulatie!$C$25),MIN(D117,MAX(0,$I$4-E117)))),2))</f>
        <v/>
      </c>
      <c r="H117" s="31" t="str">
        <f t="shared" si="15"/>
        <v/>
      </c>
      <c r="I117" s="31" t="str">
        <f t="shared" si="16"/>
        <v/>
      </c>
      <c r="J117" s="31" t="str">
        <f t="shared" si="17"/>
        <v/>
      </c>
      <c r="K117" s="31" t="str">
        <f t="shared" si="18"/>
        <v/>
      </c>
      <c r="L117" s="1"/>
      <c r="M117" s="1"/>
      <c r="N117" s="1"/>
      <c r="O117" s="1"/>
    </row>
    <row r="118" spans="1:15" ht="23" customHeight="1">
      <c r="A118" s="1"/>
      <c r="B118" s="29" t="str">
        <f t="shared" si="19"/>
        <v/>
      </c>
      <c r="C118" s="30" t="str">
        <f>IF(B118="","",EDATE(Simulatie!$C$14,B118-1))</f>
        <v/>
      </c>
      <c r="D118" s="31" t="str">
        <f t="shared" si="20"/>
        <v/>
      </c>
      <c r="E118" s="31" t="str">
        <f t="shared" si="13"/>
        <v/>
      </c>
      <c r="F118" s="31" t="str">
        <f t="shared" si="14"/>
        <v/>
      </c>
      <c r="G118" s="32" t="str">
        <f>IF(B118="","",ROUND(IF(AND(B118=$F$4,$I$5=0),D118-MIN($F$5,D118),IF(Simulatie!$C$13="Lineair",MIN(D118,Simulatie!$C$25),MIN(D118,MAX(0,$I$4-E118)))),2))</f>
        <v/>
      </c>
      <c r="H118" s="31" t="str">
        <f t="shared" si="15"/>
        <v/>
      </c>
      <c r="I118" s="31" t="str">
        <f t="shared" si="16"/>
        <v/>
      </c>
      <c r="J118" s="31" t="str">
        <f t="shared" si="17"/>
        <v/>
      </c>
      <c r="K118" s="31" t="str">
        <f t="shared" si="18"/>
        <v/>
      </c>
      <c r="L118" s="1"/>
      <c r="M118" s="1"/>
      <c r="N118" s="1"/>
      <c r="O118" s="1"/>
    </row>
    <row r="119" spans="1:15" ht="23" customHeight="1">
      <c r="A119" s="1"/>
      <c r="B119" s="29" t="str">
        <f t="shared" si="19"/>
        <v/>
      </c>
      <c r="C119" s="30" t="str">
        <f>IF(B119="","",EDATE(Simulatie!$C$14,B119-1))</f>
        <v/>
      </c>
      <c r="D119" s="31" t="str">
        <f t="shared" si="20"/>
        <v/>
      </c>
      <c r="E119" s="31" t="str">
        <f t="shared" si="13"/>
        <v/>
      </c>
      <c r="F119" s="31" t="str">
        <f t="shared" si="14"/>
        <v/>
      </c>
      <c r="G119" s="32" t="str">
        <f>IF(B119="","",ROUND(IF(AND(B119=$F$4,$I$5=0),D119-MIN($F$5,D119),IF(Simulatie!$C$13="Lineair",MIN(D119,Simulatie!$C$25),MIN(D119,MAX(0,$I$4-E119)))),2))</f>
        <v/>
      </c>
      <c r="H119" s="31" t="str">
        <f t="shared" si="15"/>
        <v/>
      </c>
      <c r="I119" s="31" t="str">
        <f t="shared" si="16"/>
        <v/>
      </c>
      <c r="J119" s="31" t="str">
        <f t="shared" si="17"/>
        <v/>
      </c>
      <c r="K119" s="31" t="str">
        <f t="shared" si="18"/>
        <v/>
      </c>
      <c r="L119" s="1"/>
      <c r="M119" s="1"/>
      <c r="N119" s="1"/>
      <c r="O119" s="1"/>
    </row>
    <row r="120" spans="1:15" ht="23" customHeight="1">
      <c r="A120" s="1"/>
      <c r="B120" s="29" t="str">
        <f t="shared" si="19"/>
        <v/>
      </c>
      <c r="C120" s="30" t="str">
        <f>IF(B120="","",EDATE(Simulatie!$C$14,B120-1))</f>
        <v/>
      </c>
      <c r="D120" s="31" t="str">
        <f t="shared" si="20"/>
        <v/>
      </c>
      <c r="E120" s="31" t="str">
        <f t="shared" si="13"/>
        <v/>
      </c>
      <c r="F120" s="31" t="str">
        <f t="shared" si="14"/>
        <v/>
      </c>
      <c r="G120" s="32" t="str">
        <f>IF(B120="","",ROUND(IF(AND(B120=$F$4,$I$5=0),D120-MIN($F$5,D120),IF(Simulatie!$C$13="Lineair",MIN(D120,Simulatie!$C$25),MIN(D120,MAX(0,$I$4-E120)))),2))</f>
        <v/>
      </c>
      <c r="H120" s="31" t="str">
        <f t="shared" si="15"/>
        <v/>
      </c>
      <c r="I120" s="31" t="str">
        <f t="shared" si="16"/>
        <v/>
      </c>
      <c r="J120" s="31" t="str">
        <f t="shared" si="17"/>
        <v/>
      </c>
      <c r="K120" s="31" t="str">
        <f t="shared" si="18"/>
        <v/>
      </c>
      <c r="L120" s="1"/>
      <c r="M120" s="1"/>
      <c r="N120" s="1"/>
      <c r="O120" s="1"/>
    </row>
    <row r="121" spans="1:15" ht="23" customHeight="1">
      <c r="A121" s="1"/>
      <c r="B121" s="29" t="str">
        <f t="shared" si="19"/>
        <v/>
      </c>
      <c r="C121" s="30" t="str">
        <f>IF(B121="","",EDATE(Simulatie!$C$14,B121-1))</f>
        <v/>
      </c>
      <c r="D121" s="31" t="str">
        <f t="shared" si="20"/>
        <v/>
      </c>
      <c r="E121" s="31" t="str">
        <f t="shared" si="13"/>
        <v/>
      </c>
      <c r="F121" s="31" t="str">
        <f t="shared" si="14"/>
        <v/>
      </c>
      <c r="G121" s="32" t="str">
        <f>IF(B121="","",ROUND(IF(AND(B121=$F$4,$I$5=0),D121-MIN($F$5,D121),IF(Simulatie!$C$13="Lineair",MIN(D121,Simulatie!$C$25),MIN(D121,MAX(0,$I$4-E121)))),2))</f>
        <v/>
      </c>
      <c r="H121" s="31" t="str">
        <f t="shared" si="15"/>
        <v/>
      </c>
      <c r="I121" s="31" t="str">
        <f t="shared" si="16"/>
        <v/>
      </c>
      <c r="J121" s="31" t="str">
        <f t="shared" si="17"/>
        <v/>
      </c>
      <c r="K121" s="31" t="str">
        <f t="shared" si="18"/>
        <v/>
      </c>
      <c r="L121" s="1"/>
      <c r="M121" s="1"/>
      <c r="N121" s="1"/>
      <c r="O121" s="1"/>
    </row>
    <row r="122" spans="1:15" ht="23" customHeight="1">
      <c r="A122" s="1"/>
      <c r="B122" s="29" t="str">
        <f t="shared" si="19"/>
        <v/>
      </c>
      <c r="C122" s="30" t="str">
        <f>IF(B122="","",EDATE(Simulatie!$C$14,B122-1))</f>
        <v/>
      </c>
      <c r="D122" s="31" t="str">
        <f t="shared" si="20"/>
        <v/>
      </c>
      <c r="E122" s="31" t="str">
        <f t="shared" si="13"/>
        <v/>
      </c>
      <c r="F122" s="31" t="str">
        <f t="shared" si="14"/>
        <v/>
      </c>
      <c r="G122" s="32" t="str">
        <f>IF(B122="","",ROUND(IF(AND(B122=$F$4,$I$5=0),D122-MIN($F$5,D122),IF(Simulatie!$C$13="Lineair",MIN(D122,Simulatie!$C$25),MIN(D122,MAX(0,$I$4-E122)))),2))</f>
        <v/>
      </c>
      <c r="H122" s="31" t="str">
        <f t="shared" si="15"/>
        <v/>
      </c>
      <c r="I122" s="31" t="str">
        <f t="shared" si="16"/>
        <v/>
      </c>
      <c r="J122" s="31" t="str">
        <f t="shared" si="17"/>
        <v/>
      </c>
      <c r="K122" s="31" t="str">
        <f t="shared" si="18"/>
        <v/>
      </c>
      <c r="L122" s="1"/>
      <c r="M122" s="1"/>
      <c r="N122" s="1"/>
      <c r="O122" s="1"/>
    </row>
    <row r="123" spans="1:15" ht="23" customHeight="1">
      <c r="A123" s="1"/>
      <c r="B123" s="29" t="str">
        <f t="shared" si="19"/>
        <v/>
      </c>
      <c r="C123" s="30" t="str">
        <f>IF(B123="","",EDATE(Simulatie!$C$14,B123-1))</f>
        <v/>
      </c>
      <c r="D123" s="31" t="str">
        <f t="shared" si="20"/>
        <v/>
      </c>
      <c r="E123" s="31" t="str">
        <f t="shared" si="13"/>
        <v/>
      </c>
      <c r="F123" s="31" t="str">
        <f t="shared" si="14"/>
        <v/>
      </c>
      <c r="G123" s="32" t="str">
        <f>IF(B123="","",ROUND(IF(AND(B123=$F$4,$I$5=0),D123-MIN($F$5,D123),IF(Simulatie!$C$13="Lineair",MIN(D123,Simulatie!$C$25),MIN(D123,MAX(0,$I$4-E123)))),2))</f>
        <v/>
      </c>
      <c r="H123" s="31" t="str">
        <f t="shared" si="15"/>
        <v/>
      </c>
      <c r="I123" s="31" t="str">
        <f t="shared" si="16"/>
        <v/>
      </c>
      <c r="J123" s="31" t="str">
        <f t="shared" si="17"/>
        <v/>
      </c>
      <c r="K123" s="31" t="str">
        <f t="shared" si="18"/>
        <v/>
      </c>
      <c r="L123" s="1"/>
      <c r="M123" s="1"/>
      <c r="N123" s="1"/>
      <c r="O123" s="1"/>
    </row>
    <row r="124" spans="1:15" ht="23" customHeight="1">
      <c r="A124" s="1"/>
      <c r="B124" s="29" t="str">
        <f t="shared" si="19"/>
        <v/>
      </c>
      <c r="C124" s="30" t="str">
        <f>IF(B124="","",EDATE(Simulatie!$C$14,B124-1))</f>
        <v/>
      </c>
      <c r="D124" s="31" t="str">
        <f t="shared" si="20"/>
        <v/>
      </c>
      <c r="E124" s="31" t="str">
        <f t="shared" si="13"/>
        <v/>
      </c>
      <c r="F124" s="31" t="str">
        <f t="shared" si="14"/>
        <v/>
      </c>
      <c r="G124" s="32" t="str">
        <f>IF(B124="","",ROUND(IF(AND(B124=$F$4,$I$5=0),D124-MIN($F$5,D124),IF(Simulatie!$C$13="Lineair",MIN(D124,Simulatie!$C$25),MIN(D124,MAX(0,$I$4-E124)))),2))</f>
        <v/>
      </c>
      <c r="H124" s="31" t="str">
        <f t="shared" si="15"/>
        <v/>
      </c>
      <c r="I124" s="31" t="str">
        <f t="shared" si="16"/>
        <v/>
      </c>
      <c r="J124" s="31" t="str">
        <f t="shared" si="17"/>
        <v/>
      </c>
      <c r="K124" s="31" t="str">
        <f t="shared" si="18"/>
        <v/>
      </c>
      <c r="L124" s="1"/>
      <c r="M124" s="1"/>
      <c r="N124" s="1"/>
      <c r="O124" s="1"/>
    </row>
    <row r="125" spans="1:15" ht="23" customHeight="1">
      <c r="A125" s="1"/>
      <c r="B125" s="29" t="str">
        <f t="shared" si="19"/>
        <v/>
      </c>
      <c r="C125" s="30" t="str">
        <f>IF(B125="","",EDATE(Simulatie!$C$14,B125-1))</f>
        <v/>
      </c>
      <c r="D125" s="31" t="str">
        <f t="shared" si="20"/>
        <v/>
      </c>
      <c r="E125" s="31" t="str">
        <f t="shared" si="13"/>
        <v/>
      </c>
      <c r="F125" s="31" t="str">
        <f t="shared" si="14"/>
        <v/>
      </c>
      <c r="G125" s="32" t="str">
        <f>IF(B125="","",ROUND(IF(AND(B125=$F$4,$I$5=0),D125-MIN($F$5,D125),IF(Simulatie!$C$13="Lineair",MIN(D125,Simulatie!$C$25),MIN(D125,MAX(0,$I$4-E125)))),2))</f>
        <v/>
      </c>
      <c r="H125" s="31" t="str">
        <f t="shared" si="15"/>
        <v/>
      </c>
      <c r="I125" s="31" t="str">
        <f t="shared" si="16"/>
        <v/>
      </c>
      <c r="J125" s="31" t="str">
        <f t="shared" si="17"/>
        <v/>
      </c>
      <c r="K125" s="31" t="str">
        <f t="shared" si="18"/>
        <v/>
      </c>
      <c r="L125" s="1"/>
      <c r="M125" s="1"/>
      <c r="N125" s="1"/>
      <c r="O125" s="1"/>
    </row>
    <row r="126" spans="1:15" ht="23" customHeight="1">
      <c r="A126" s="1"/>
      <c r="B126" s="29" t="str">
        <f t="shared" si="19"/>
        <v/>
      </c>
      <c r="C126" s="30" t="str">
        <f>IF(B126="","",EDATE(Simulatie!$C$14,B126-1))</f>
        <v/>
      </c>
      <c r="D126" s="31" t="str">
        <f t="shared" si="20"/>
        <v/>
      </c>
      <c r="E126" s="31" t="str">
        <f t="shared" si="13"/>
        <v/>
      </c>
      <c r="F126" s="31" t="str">
        <f t="shared" si="14"/>
        <v/>
      </c>
      <c r="G126" s="32" t="str">
        <f>IF(B126="","",ROUND(IF(AND(B126=$F$4,$I$5=0),D126-MIN($F$5,D126),IF(Simulatie!$C$13="Lineair",MIN(D126,Simulatie!$C$25),MIN(D126,MAX(0,$I$4-E126)))),2))</f>
        <v/>
      </c>
      <c r="H126" s="31" t="str">
        <f t="shared" si="15"/>
        <v/>
      </c>
      <c r="I126" s="31" t="str">
        <f t="shared" si="16"/>
        <v/>
      </c>
      <c r="J126" s="31" t="str">
        <f t="shared" si="17"/>
        <v/>
      </c>
      <c r="K126" s="31" t="str">
        <f t="shared" si="18"/>
        <v/>
      </c>
      <c r="L126" s="1"/>
      <c r="M126" s="1"/>
      <c r="N126" s="1"/>
      <c r="O126" s="1"/>
    </row>
    <row r="127" spans="1:15" ht="23" customHeight="1">
      <c r="A127" s="1"/>
      <c r="B127" s="29" t="str">
        <f t="shared" si="19"/>
        <v/>
      </c>
      <c r="C127" s="30" t="str">
        <f>IF(B127="","",EDATE(Simulatie!$C$14,B127-1))</f>
        <v/>
      </c>
      <c r="D127" s="31" t="str">
        <f t="shared" si="20"/>
        <v/>
      </c>
      <c r="E127" s="31" t="str">
        <f t="shared" si="13"/>
        <v/>
      </c>
      <c r="F127" s="31" t="str">
        <f t="shared" si="14"/>
        <v/>
      </c>
      <c r="G127" s="32" t="str">
        <f>IF(B127="","",ROUND(IF(AND(B127=$F$4,$I$5=0),D127-MIN($F$5,D127),IF(Simulatie!$C$13="Lineair",MIN(D127,Simulatie!$C$25),MIN(D127,MAX(0,$I$4-E127)))),2))</f>
        <v/>
      </c>
      <c r="H127" s="31" t="str">
        <f t="shared" si="15"/>
        <v/>
      </c>
      <c r="I127" s="31" t="str">
        <f t="shared" si="16"/>
        <v/>
      </c>
      <c r="J127" s="31" t="str">
        <f t="shared" si="17"/>
        <v/>
      </c>
      <c r="K127" s="31" t="str">
        <f t="shared" si="18"/>
        <v/>
      </c>
      <c r="L127" s="1"/>
      <c r="M127" s="1"/>
      <c r="N127" s="1"/>
      <c r="O127" s="1"/>
    </row>
    <row r="128" spans="1:15" ht="23" customHeight="1">
      <c r="A128" s="1"/>
      <c r="B128" s="29" t="str">
        <f t="shared" si="19"/>
        <v/>
      </c>
      <c r="C128" s="30" t="str">
        <f>IF(B128="","",EDATE(Simulatie!$C$14,B128-1))</f>
        <v/>
      </c>
      <c r="D128" s="31" t="str">
        <f t="shared" si="20"/>
        <v/>
      </c>
      <c r="E128" s="31" t="str">
        <f t="shared" si="13"/>
        <v/>
      </c>
      <c r="F128" s="31" t="str">
        <f t="shared" si="14"/>
        <v/>
      </c>
      <c r="G128" s="32" t="str">
        <f>IF(B128="","",ROUND(IF(AND(B128=$F$4,$I$5=0),D128-MIN($F$5,D128),IF(Simulatie!$C$13="Lineair",MIN(D128,Simulatie!$C$25),MIN(D128,MAX(0,$I$4-E128)))),2))</f>
        <v/>
      </c>
      <c r="H128" s="31" t="str">
        <f t="shared" si="15"/>
        <v/>
      </c>
      <c r="I128" s="31" t="str">
        <f t="shared" si="16"/>
        <v/>
      </c>
      <c r="J128" s="31" t="str">
        <f t="shared" si="17"/>
        <v/>
      </c>
      <c r="K128" s="31" t="str">
        <f t="shared" si="18"/>
        <v/>
      </c>
      <c r="L128" s="1"/>
      <c r="M128" s="1"/>
      <c r="N128" s="1"/>
      <c r="O128" s="1"/>
    </row>
    <row r="129" spans="1:15" ht="23" customHeight="1">
      <c r="A129" s="1"/>
      <c r="B129" s="29" t="str">
        <f t="shared" si="19"/>
        <v/>
      </c>
      <c r="C129" s="30" t="str">
        <f>IF(B129="","",EDATE(Simulatie!$C$14,B129-1))</f>
        <v/>
      </c>
      <c r="D129" s="31" t="str">
        <f t="shared" si="20"/>
        <v/>
      </c>
      <c r="E129" s="31" t="str">
        <f t="shared" si="13"/>
        <v/>
      </c>
      <c r="F129" s="31" t="str">
        <f t="shared" si="14"/>
        <v/>
      </c>
      <c r="G129" s="32" t="str">
        <f>IF(B129="","",ROUND(IF(AND(B129=$F$4,$I$5=0),D129-MIN($F$5,D129),IF(Simulatie!$C$13="Lineair",MIN(D129,Simulatie!$C$25),MIN(D129,MAX(0,$I$4-E129)))),2))</f>
        <v/>
      </c>
      <c r="H129" s="31" t="str">
        <f t="shared" si="15"/>
        <v/>
      </c>
      <c r="I129" s="31" t="str">
        <f t="shared" si="16"/>
        <v/>
      </c>
      <c r="J129" s="31" t="str">
        <f t="shared" si="17"/>
        <v/>
      </c>
      <c r="K129" s="31" t="str">
        <f t="shared" si="18"/>
        <v/>
      </c>
      <c r="L129" s="1"/>
      <c r="M129" s="1"/>
      <c r="N129" s="1"/>
      <c r="O129" s="1"/>
    </row>
    <row r="130" spans="1:15" ht="23" customHeight="1">
      <c r="A130" s="1"/>
      <c r="B130" s="29" t="str">
        <f t="shared" si="19"/>
        <v/>
      </c>
      <c r="C130" s="30" t="str">
        <f>IF(B130="","",EDATE(Simulatie!$C$14,B130-1))</f>
        <v/>
      </c>
      <c r="D130" s="31" t="str">
        <f t="shared" si="20"/>
        <v/>
      </c>
      <c r="E130" s="31" t="str">
        <f t="shared" si="13"/>
        <v/>
      </c>
      <c r="F130" s="31" t="str">
        <f t="shared" si="14"/>
        <v/>
      </c>
      <c r="G130" s="32" t="str">
        <f>IF(B130="","",ROUND(IF(AND(B130=$F$4,$I$5=0),D130-MIN($F$5,D130),IF(Simulatie!$C$13="Lineair",MIN(D130,Simulatie!$C$25),MIN(D130,MAX(0,$I$4-E130)))),2))</f>
        <v/>
      </c>
      <c r="H130" s="31" t="str">
        <f t="shared" si="15"/>
        <v/>
      </c>
      <c r="I130" s="31" t="str">
        <f t="shared" si="16"/>
        <v/>
      </c>
      <c r="J130" s="31" t="str">
        <f t="shared" si="17"/>
        <v/>
      </c>
      <c r="K130" s="31" t="str">
        <f t="shared" si="18"/>
        <v/>
      </c>
      <c r="L130" s="1"/>
      <c r="M130" s="1"/>
      <c r="N130" s="1"/>
      <c r="O130" s="1"/>
    </row>
    <row r="131" spans="1:15" ht="23" customHeight="1">
      <c r="A131" s="1"/>
      <c r="B131" s="29" t="str">
        <f t="shared" si="19"/>
        <v/>
      </c>
      <c r="C131" s="30" t="str">
        <f>IF(B131="","",EDATE(Simulatie!$C$14,B131-1))</f>
        <v/>
      </c>
      <c r="D131" s="31" t="str">
        <f t="shared" si="20"/>
        <v/>
      </c>
      <c r="E131" s="31" t="str">
        <f t="shared" si="13"/>
        <v/>
      </c>
      <c r="F131" s="31" t="str">
        <f t="shared" si="14"/>
        <v/>
      </c>
      <c r="G131" s="32" t="str">
        <f>IF(B131="","",ROUND(IF(AND(B131=$F$4,$I$5=0),D131-MIN($F$5,D131),IF(Simulatie!$C$13="Lineair",MIN(D131,Simulatie!$C$25),MIN(D131,MAX(0,$I$4-E131)))),2))</f>
        <v/>
      </c>
      <c r="H131" s="31" t="str">
        <f t="shared" si="15"/>
        <v/>
      </c>
      <c r="I131" s="31" t="str">
        <f t="shared" si="16"/>
        <v/>
      </c>
      <c r="J131" s="31" t="str">
        <f t="shared" si="17"/>
        <v/>
      </c>
      <c r="K131" s="31" t="str">
        <f t="shared" si="18"/>
        <v/>
      </c>
      <c r="L131" s="1"/>
      <c r="M131" s="1"/>
      <c r="N131" s="1"/>
      <c r="O131" s="1"/>
    </row>
    <row r="132" spans="1:15" ht="23" customHeight="1">
      <c r="A132" s="1"/>
      <c r="B132" s="29" t="str">
        <f t="shared" si="19"/>
        <v/>
      </c>
      <c r="C132" s="30" t="str">
        <f>IF(B132="","",EDATE(Simulatie!$C$14,B132-1))</f>
        <v/>
      </c>
      <c r="D132" s="31" t="str">
        <f t="shared" si="20"/>
        <v/>
      </c>
      <c r="E132" s="31" t="str">
        <f t="shared" si="13"/>
        <v/>
      </c>
      <c r="F132" s="31" t="str">
        <f t="shared" si="14"/>
        <v/>
      </c>
      <c r="G132" s="32" t="str">
        <f>IF(B132="","",ROUND(IF(AND(B132=$F$4,$I$5=0),D132-MIN($F$5,D132),IF(Simulatie!$C$13="Lineair",MIN(D132,Simulatie!$C$25),MIN(D132,MAX(0,$I$4-E132)))),2))</f>
        <v/>
      </c>
      <c r="H132" s="31" t="str">
        <f t="shared" si="15"/>
        <v/>
      </c>
      <c r="I132" s="31" t="str">
        <f t="shared" si="16"/>
        <v/>
      </c>
      <c r="J132" s="31" t="str">
        <f t="shared" si="17"/>
        <v/>
      </c>
      <c r="K132" s="31" t="str">
        <f t="shared" si="18"/>
        <v/>
      </c>
      <c r="L132" s="1"/>
      <c r="M132" s="1"/>
      <c r="N132" s="1"/>
      <c r="O132" s="1"/>
    </row>
    <row r="133" spans="1:15" ht="23" customHeight="1">
      <c r="A133" s="1"/>
      <c r="B133" s="29" t="str">
        <f t="shared" si="19"/>
        <v/>
      </c>
      <c r="C133" s="30" t="str">
        <f>IF(B133="","",EDATE(Simulatie!$C$14,B133-1))</f>
        <v/>
      </c>
      <c r="D133" s="31" t="str">
        <f t="shared" si="20"/>
        <v/>
      </c>
      <c r="E133" s="31" t="str">
        <f t="shared" si="13"/>
        <v/>
      </c>
      <c r="F133" s="31" t="str">
        <f t="shared" si="14"/>
        <v/>
      </c>
      <c r="G133" s="32" t="str">
        <f>IF(B133="","",ROUND(IF(AND(B133=$F$4,$I$5=0),D133-MIN($F$5,D133),IF(Simulatie!$C$13="Lineair",MIN(D133,Simulatie!$C$25),MIN(D133,MAX(0,$I$4-E133)))),2))</f>
        <v/>
      </c>
      <c r="H133" s="31" t="str">
        <f t="shared" si="15"/>
        <v/>
      </c>
      <c r="I133" s="31" t="str">
        <f t="shared" si="16"/>
        <v/>
      </c>
      <c r="J133" s="31" t="str">
        <f t="shared" si="17"/>
        <v/>
      </c>
      <c r="K133" s="31" t="str">
        <f t="shared" si="18"/>
        <v/>
      </c>
      <c r="L133" s="1"/>
      <c r="M133" s="1"/>
      <c r="N133" s="1"/>
      <c r="O133" s="1"/>
    </row>
    <row r="134" spans="1:15" ht="23" customHeight="1">
      <c r="A134" s="1"/>
      <c r="B134" s="29" t="str">
        <f t="shared" si="19"/>
        <v/>
      </c>
      <c r="C134" s="30" t="str">
        <f>IF(B134="","",EDATE(Simulatie!$C$14,B134-1))</f>
        <v/>
      </c>
      <c r="D134" s="31" t="str">
        <f t="shared" si="20"/>
        <v/>
      </c>
      <c r="E134" s="31" t="str">
        <f t="shared" si="13"/>
        <v/>
      </c>
      <c r="F134" s="31" t="str">
        <f t="shared" si="14"/>
        <v/>
      </c>
      <c r="G134" s="32" t="str">
        <f>IF(B134="","",ROUND(IF(AND(B134=$F$4,$I$5=0),D134-MIN($F$5,D134),IF(Simulatie!$C$13="Lineair",MIN(D134,Simulatie!$C$25),MIN(D134,MAX(0,$I$4-E134)))),2))</f>
        <v/>
      </c>
      <c r="H134" s="31" t="str">
        <f t="shared" si="15"/>
        <v/>
      </c>
      <c r="I134" s="31" t="str">
        <f t="shared" si="16"/>
        <v/>
      </c>
      <c r="J134" s="31" t="str">
        <f t="shared" si="17"/>
        <v/>
      </c>
      <c r="K134" s="31" t="str">
        <f t="shared" si="18"/>
        <v/>
      </c>
      <c r="L134" s="1"/>
      <c r="M134" s="1"/>
      <c r="N134" s="1"/>
      <c r="O134" s="1"/>
    </row>
    <row r="135" spans="1:15" ht="23" customHeight="1">
      <c r="A135" s="1"/>
      <c r="B135" s="29" t="str">
        <f t="shared" si="19"/>
        <v/>
      </c>
      <c r="C135" s="30" t="str">
        <f>IF(B135="","",EDATE(Simulatie!$C$14,B135-1))</f>
        <v/>
      </c>
      <c r="D135" s="31" t="str">
        <f t="shared" si="20"/>
        <v/>
      </c>
      <c r="E135" s="31" t="str">
        <f t="shared" si="13"/>
        <v/>
      </c>
      <c r="F135" s="31" t="str">
        <f t="shared" si="14"/>
        <v/>
      </c>
      <c r="G135" s="32" t="str">
        <f>IF(B135="","",ROUND(IF(AND(B135=$F$4,$I$5=0),D135-MIN($F$5,D135),IF(Simulatie!$C$13="Lineair",MIN(D135,Simulatie!$C$25),MIN(D135,MAX(0,$I$4-E135)))),2))</f>
        <v/>
      </c>
      <c r="H135" s="31" t="str">
        <f t="shared" si="15"/>
        <v/>
      </c>
      <c r="I135" s="31" t="str">
        <f t="shared" si="16"/>
        <v/>
      </c>
      <c r="J135" s="31" t="str">
        <f t="shared" si="17"/>
        <v/>
      </c>
      <c r="K135" s="31" t="str">
        <f t="shared" si="18"/>
        <v/>
      </c>
      <c r="L135" s="1"/>
      <c r="M135" s="1"/>
      <c r="N135" s="1"/>
      <c r="O135" s="1"/>
    </row>
    <row r="136" spans="1:15" ht="23" customHeight="1">
      <c r="A136" s="1"/>
      <c r="B136" s="29" t="str">
        <f t="shared" si="19"/>
        <v/>
      </c>
      <c r="C136" s="30" t="str">
        <f>IF(B136="","",EDATE(Simulatie!$C$14,B136-1))</f>
        <v/>
      </c>
      <c r="D136" s="31" t="str">
        <f t="shared" si="20"/>
        <v/>
      </c>
      <c r="E136" s="31" t="str">
        <f t="shared" ref="E136:E199" si="21">IF(B136="","",ROUND(D136*$C$4,2))</f>
        <v/>
      </c>
      <c r="F136" s="31" t="str">
        <f t="shared" ref="F136:F199" si="22">IF(B136="","",ROUND(E136+G136,2))</f>
        <v/>
      </c>
      <c r="G136" s="32" t="str">
        <f>IF(B136="","",ROUND(IF(AND(B136=$F$4,$I$5=0),D136-MIN($F$5,D136),IF(Simulatie!$C$13="Lineair",MIN(D136,Simulatie!$C$25),MIN(D136,MAX(0,$I$4-E136)))),2))</f>
        <v/>
      </c>
      <c r="H136" s="31" t="str">
        <f t="shared" ref="H136:H199" si="23">IF(B136="","",ROUND(MIN($I$5,MAX(0,D136-G136)),2))</f>
        <v/>
      </c>
      <c r="I136" s="31" t="str">
        <f t="shared" ref="I136:I199" si="24">IF(B136="","",IF(B136=$F$4,ROUND(MAX(0,D136-G136-H136),2),0))</f>
        <v/>
      </c>
      <c r="J136" s="31" t="str">
        <f t="shared" ref="J136:J199" si="25">IF(B136="","",SUM(F136,H136:I136))</f>
        <v/>
      </c>
      <c r="K136" s="31" t="str">
        <f t="shared" ref="K136:K199" si="26">IF(B136="","",ROUND(MAX(0,D136-SUM(G136:I136)),2))</f>
        <v/>
      </c>
      <c r="L136" s="1"/>
      <c r="M136" s="1"/>
      <c r="N136" s="1"/>
      <c r="O136" s="1"/>
    </row>
    <row r="137" spans="1:15" ht="23" customHeight="1">
      <c r="A137" s="1"/>
      <c r="B137" s="29" t="str">
        <f t="shared" ref="B137:B200" si="27">IF(B136="","",IF(AND(K136&gt;0,B136&lt;$F$4),B136+1,""))</f>
        <v/>
      </c>
      <c r="C137" s="30" t="str">
        <f>IF(B137="","",EDATE(Simulatie!$C$14,B137-1))</f>
        <v/>
      </c>
      <c r="D137" s="31" t="str">
        <f t="shared" ref="D137:D200" si="28">IF(B137="","",K136)</f>
        <v/>
      </c>
      <c r="E137" s="31" t="str">
        <f t="shared" si="21"/>
        <v/>
      </c>
      <c r="F137" s="31" t="str">
        <f t="shared" si="22"/>
        <v/>
      </c>
      <c r="G137" s="32" t="str">
        <f>IF(B137="","",ROUND(IF(AND(B137=$F$4,$I$5=0),D137-MIN($F$5,D137),IF(Simulatie!$C$13="Lineair",MIN(D137,Simulatie!$C$25),MIN(D137,MAX(0,$I$4-E137)))),2))</f>
        <v/>
      </c>
      <c r="H137" s="31" t="str">
        <f t="shared" si="23"/>
        <v/>
      </c>
      <c r="I137" s="31" t="str">
        <f t="shared" si="24"/>
        <v/>
      </c>
      <c r="J137" s="31" t="str">
        <f t="shared" si="25"/>
        <v/>
      </c>
      <c r="K137" s="31" t="str">
        <f t="shared" si="26"/>
        <v/>
      </c>
      <c r="L137" s="1"/>
      <c r="M137" s="1"/>
      <c r="N137" s="1"/>
      <c r="O137" s="1"/>
    </row>
    <row r="138" spans="1:15" ht="23" customHeight="1">
      <c r="A138" s="1"/>
      <c r="B138" s="29" t="str">
        <f t="shared" si="27"/>
        <v/>
      </c>
      <c r="C138" s="30" t="str">
        <f>IF(B138="","",EDATE(Simulatie!$C$14,B138-1))</f>
        <v/>
      </c>
      <c r="D138" s="31" t="str">
        <f t="shared" si="28"/>
        <v/>
      </c>
      <c r="E138" s="31" t="str">
        <f t="shared" si="21"/>
        <v/>
      </c>
      <c r="F138" s="31" t="str">
        <f t="shared" si="22"/>
        <v/>
      </c>
      <c r="G138" s="32" t="str">
        <f>IF(B138="","",ROUND(IF(AND(B138=$F$4,$I$5=0),D138-MIN($F$5,D138),IF(Simulatie!$C$13="Lineair",MIN(D138,Simulatie!$C$25),MIN(D138,MAX(0,$I$4-E138)))),2))</f>
        <v/>
      </c>
      <c r="H138" s="31" t="str">
        <f t="shared" si="23"/>
        <v/>
      </c>
      <c r="I138" s="31" t="str">
        <f t="shared" si="24"/>
        <v/>
      </c>
      <c r="J138" s="31" t="str">
        <f t="shared" si="25"/>
        <v/>
      </c>
      <c r="K138" s="31" t="str">
        <f t="shared" si="26"/>
        <v/>
      </c>
      <c r="L138" s="1"/>
      <c r="M138" s="1"/>
      <c r="N138" s="1"/>
      <c r="O138" s="1"/>
    </row>
    <row r="139" spans="1:15" ht="23" customHeight="1">
      <c r="A139" s="1"/>
      <c r="B139" s="29" t="str">
        <f t="shared" si="27"/>
        <v/>
      </c>
      <c r="C139" s="30" t="str">
        <f>IF(B139="","",EDATE(Simulatie!$C$14,B139-1))</f>
        <v/>
      </c>
      <c r="D139" s="31" t="str">
        <f t="shared" si="28"/>
        <v/>
      </c>
      <c r="E139" s="31" t="str">
        <f t="shared" si="21"/>
        <v/>
      </c>
      <c r="F139" s="31" t="str">
        <f t="shared" si="22"/>
        <v/>
      </c>
      <c r="G139" s="32" t="str">
        <f>IF(B139="","",ROUND(IF(AND(B139=$F$4,$I$5=0),D139-MIN($F$5,D139),IF(Simulatie!$C$13="Lineair",MIN(D139,Simulatie!$C$25),MIN(D139,MAX(0,$I$4-E139)))),2))</f>
        <v/>
      </c>
      <c r="H139" s="31" t="str">
        <f t="shared" si="23"/>
        <v/>
      </c>
      <c r="I139" s="31" t="str">
        <f t="shared" si="24"/>
        <v/>
      </c>
      <c r="J139" s="31" t="str">
        <f t="shared" si="25"/>
        <v/>
      </c>
      <c r="K139" s="31" t="str">
        <f t="shared" si="26"/>
        <v/>
      </c>
      <c r="L139" s="1"/>
      <c r="M139" s="1"/>
      <c r="N139" s="1"/>
      <c r="O139" s="1"/>
    </row>
    <row r="140" spans="1:15" ht="23" customHeight="1">
      <c r="A140" s="1"/>
      <c r="B140" s="29" t="str">
        <f t="shared" si="27"/>
        <v/>
      </c>
      <c r="C140" s="30" t="str">
        <f>IF(B140="","",EDATE(Simulatie!$C$14,B140-1))</f>
        <v/>
      </c>
      <c r="D140" s="31" t="str">
        <f t="shared" si="28"/>
        <v/>
      </c>
      <c r="E140" s="31" t="str">
        <f t="shared" si="21"/>
        <v/>
      </c>
      <c r="F140" s="31" t="str">
        <f t="shared" si="22"/>
        <v/>
      </c>
      <c r="G140" s="32" t="str">
        <f>IF(B140="","",ROUND(IF(AND(B140=$F$4,$I$5=0),D140-MIN($F$5,D140),IF(Simulatie!$C$13="Lineair",MIN(D140,Simulatie!$C$25),MIN(D140,MAX(0,$I$4-E140)))),2))</f>
        <v/>
      </c>
      <c r="H140" s="31" t="str">
        <f t="shared" si="23"/>
        <v/>
      </c>
      <c r="I140" s="31" t="str">
        <f t="shared" si="24"/>
        <v/>
      </c>
      <c r="J140" s="31" t="str">
        <f t="shared" si="25"/>
        <v/>
      </c>
      <c r="K140" s="31" t="str">
        <f t="shared" si="26"/>
        <v/>
      </c>
      <c r="L140" s="1"/>
      <c r="M140" s="1"/>
      <c r="N140" s="1"/>
      <c r="O140" s="1"/>
    </row>
    <row r="141" spans="1:15" ht="23" customHeight="1">
      <c r="A141" s="1"/>
      <c r="B141" s="29" t="str">
        <f t="shared" si="27"/>
        <v/>
      </c>
      <c r="C141" s="30" t="str">
        <f>IF(B141="","",EDATE(Simulatie!$C$14,B141-1))</f>
        <v/>
      </c>
      <c r="D141" s="31" t="str">
        <f t="shared" si="28"/>
        <v/>
      </c>
      <c r="E141" s="31" t="str">
        <f t="shared" si="21"/>
        <v/>
      </c>
      <c r="F141" s="31" t="str">
        <f t="shared" si="22"/>
        <v/>
      </c>
      <c r="G141" s="32" t="str">
        <f>IF(B141="","",ROUND(IF(AND(B141=$F$4,$I$5=0),D141-MIN($F$5,D141),IF(Simulatie!$C$13="Lineair",MIN(D141,Simulatie!$C$25),MIN(D141,MAX(0,$I$4-E141)))),2))</f>
        <v/>
      </c>
      <c r="H141" s="31" t="str">
        <f t="shared" si="23"/>
        <v/>
      </c>
      <c r="I141" s="31" t="str">
        <f t="shared" si="24"/>
        <v/>
      </c>
      <c r="J141" s="31" t="str">
        <f t="shared" si="25"/>
        <v/>
      </c>
      <c r="K141" s="31" t="str">
        <f t="shared" si="26"/>
        <v/>
      </c>
      <c r="L141" s="1"/>
      <c r="M141" s="1"/>
      <c r="N141" s="1"/>
      <c r="O141" s="1"/>
    </row>
    <row r="142" spans="1:15" ht="23" customHeight="1">
      <c r="A142" s="1"/>
      <c r="B142" s="29" t="str">
        <f t="shared" si="27"/>
        <v/>
      </c>
      <c r="C142" s="30" t="str">
        <f>IF(B142="","",EDATE(Simulatie!$C$14,B142-1))</f>
        <v/>
      </c>
      <c r="D142" s="31" t="str">
        <f t="shared" si="28"/>
        <v/>
      </c>
      <c r="E142" s="31" t="str">
        <f t="shared" si="21"/>
        <v/>
      </c>
      <c r="F142" s="31" t="str">
        <f t="shared" si="22"/>
        <v/>
      </c>
      <c r="G142" s="32" t="str">
        <f>IF(B142="","",ROUND(IF(AND(B142=$F$4,$I$5=0),D142-MIN($F$5,D142),IF(Simulatie!$C$13="Lineair",MIN(D142,Simulatie!$C$25),MIN(D142,MAX(0,$I$4-E142)))),2))</f>
        <v/>
      </c>
      <c r="H142" s="31" t="str">
        <f t="shared" si="23"/>
        <v/>
      </c>
      <c r="I142" s="31" t="str">
        <f t="shared" si="24"/>
        <v/>
      </c>
      <c r="J142" s="31" t="str">
        <f t="shared" si="25"/>
        <v/>
      </c>
      <c r="K142" s="31" t="str">
        <f t="shared" si="26"/>
        <v/>
      </c>
      <c r="L142" s="1"/>
      <c r="M142" s="1"/>
      <c r="N142" s="1"/>
      <c r="O142" s="1"/>
    </row>
    <row r="143" spans="1:15" ht="23" customHeight="1">
      <c r="A143" s="1"/>
      <c r="B143" s="29" t="str">
        <f t="shared" si="27"/>
        <v/>
      </c>
      <c r="C143" s="30" t="str">
        <f>IF(B143="","",EDATE(Simulatie!$C$14,B143-1))</f>
        <v/>
      </c>
      <c r="D143" s="31" t="str">
        <f t="shared" si="28"/>
        <v/>
      </c>
      <c r="E143" s="31" t="str">
        <f t="shared" si="21"/>
        <v/>
      </c>
      <c r="F143" s="31" t="str">
        <f t="shared" si="22"/>
        <v/>
      </c>
      <c r="G143" s="32" t="str">
        <f>IF(B143="","",ROUND(IF(AND(B143=$F$4,$I$5=0),D143-MIN($F$5,D143),IF(Simulatie!$C$13="Lineair",MIN(D143,Simulatie!$C$25),MIN(D143,MAX(0,$I$4-E143)))),2))</f>
        <v/>
      </c>
      <c r="H143" s="31" t="str">
        <f t="shared" si="23"/>
        <v/>
      </c>
      <c r="I143" s="31" t="str">
        <f t="shared" si="24"/>
        <v/>
      </c>
      <c r="J143" s="31" t="str">
        <f t="shared" si="25"/>
        <v/>
      </c>
      <c r="K143" s="31" t="str">
        <f t="shared" si="26"/>
        <v/>
      </c>
      <c r="L143" s="1"/>
      <c r="M143" s="1"/>
      <c r="N143" s="1"/>
      <c r="O143" s="1"/>
    </row>
    <row r="144" spans="1:15" ht="23" customHeight="1">
      <c r="A144" s="1"/>
      <c r="B144" s="29" t="str">
        <f t="shared" si="27"/>
        <v/>
      </c>
      <c r="C144" s="30" t="str">
        <f>IF(B144="","",EDATE(Simulatie!$C$14,B144-1))</f>
        <v/>
      </c>
      <c r="D144" s="31" t="str">
        <f t="shared" si="28"/>
        <v/>
      </c>
      <c r="E144" s="31" t="str">
        <f t="shared" si="21"/>
        <v/>
      </c>
      <c r="F144" s="31" t="str">
        <f t="shared" si="22"/>
        <v/>
      </c>
      <c r="G144" s="32" t="str">
        <f>IF(B144="","",ROUND(IF(AND(B144=$F$4,$I$5=0),D144-MIN($F$5,D144),IF(Simulatie!$C$13="Lineair",MIN(D144,Simulatie!$C$25),MIN(D144,MAX(0,$I$4-E144)))),2))</f>
        <v/>
      </c>
      <c r="H144" s="31" t="str">
        <f t="shared" si="23"/>
        <v/>
      </c>
      <c r="I144" s="31" t="str">
        <f t="shared" si="24"/>
        <v/>
      </c>
      <c r="J144" s="31" t="str">
        <f t="shared" si="25"/>
        <v/>
      </c>
      <c r="K144" s="31" t="str">
        <f t="shared" si="26"/>
        <v/>
      </c>
      <c r="L144" s="1"/>
      <c r="M144" s="1"/>
      <c r="N144" s="1"/>
      <c r="O144" s="1"/>
    </row>
    <row r="145" spans="1:15" ht="23" customHeight="1">
      <c r="A145" s="1"/>
      <c r="B145" s="29" t="str">
        <f t="shared" si="27"/>
        <v/>
      </c>
      <c r="C145" s="30" t="str">
        <f>IF(B145="","",EDATE(Simulatie!$C$14,B145-1))</f>
        <v/>
      </c>
      <c r="D145" s="31" t="str">
        <f t="shared" si="28"/>
        <v/>
      </c>
      <c r="E145" s="31" t="str">
        <f t="shared" si="21"/>
        <v/>
      </c>
      <c r="F145" s="31" t="str">
        <f t="shared" si="22"/>
        <v/>
      </c>
      <c r="G145" s="32" t="str">
        <f>IF(B145="","",ROUND(IF(AND(B145=$F$4,$I$5=0),D145-MIN($F$5,D145),IF(Simulatie!$C$13="Lineair",MIN(D145,Simulatie!$C$25),MIN(D145,MAX(0,$I$4-E145)))),2))</f>
        <v/>
      </c>
      <c r="H145" s="31" t="str">
        <f t="shared" si="23"/>
        <v/>
      </c>
      <c r="I145" s="31" t="str">
        <f t="shared" si="24"/>
        <v/>
      </c>
      <c r="J145" s="31" t="str">
        <f t="shared" si="25"/>
        <v/>
      </c>
      <c r="K145" s="31" t="str">
        <f t="shared" si="26"/>
        <v/>
      </c>
      <c r="L145" s="1"/>
      <c r="M145" s="1"/>
      <c r="N145" s="1"/>
      <c r="O145" s="1"/>
    </row>
    <row r="146" spans="1:15" ht="23" customHeight="1">
      <c r="A146" s="1"/>
      <c r="B146" s="29" t="str">
        <f t="shared" si="27"/>
        <v/>
      </c>
      <c r="C146" s="30" t="str">
        <f>IF(B146="","",EDATE(Simulatie!$C$14,B146-1))</f>
        <v/>
      </c>
      <c r="D146" s="31" t="str">
        <f t="shared" si="28"/>
        <v/>
      </c>
      <c r="E146" s="31" t="str">
        <f t="shared" si="21"/>
        <v/>
      </c>
      <c r="F146" s="31" t="str">
        <f t="shared" si="22"/>
        <v/>
      </c>
      <c r="G146" s="32" t="str">
        <f>IF(B146="","",ROUND(IF(AND(B146=$F$4,$I$5=0),D146-MIN($F$5,D146),IF(Simulatie!$C$13="Lineair",MIN(D146,Simulatie!$C$25),MIN(D146,MAX(0,$I$4-E146)))),2))</f>
        <v/>
      </c>
      <c r="H146" s="31" t="str">
        <f t="shared" si="23"/>
        <v/>
      </c>
      <c r="I146" s="31" t="str">
        <f t="shared" si="24"/>
        <v/>
      </c>
      <c r="J146" s="31" t="str">
        <f t="shared" si="25"/>
        <v/>
      </c>
      <c r="K146" s="31" t="str">
        <f t="shared" si="26"/>
        <v/>
      </c>
      <c r="L146" s="1"/>
      <c r="M146" s="1"/>
      <c r="N146" s="1"/>
      <c r="O146" s="1"/>
    </row>
    <row r="147" spans="1:15" ht="23" customHeight="1">
      <c r="A147" s="1"/>
      <c r="B147" s="29" t="str">
        <f t="shared" si="27"/>
        <v/>
      </c>
      <c r="C147" s="30" t="str">
        <f>IF(B147="","",EDATE(Simulatie!$C$14,B147-1))</f>
        <v/>
      </c>
      <c r="D147" s="31" t="str">
        <f t="shared" si="28"/>
        <v/>
      </c>
      <c r="E147" s="31" t="str">
        <f t="shared" si="21"/>
        <v/>
      </c>
      <c r="F147" s="31" t="str">
        <f t="shared" si="22"/>
        <v/>
      </c>
      <c r="G147" s="32" t="str">
        <f>IF(B147="","",ROUND(IF(AND(B147=$F$4,$I$5=0),D147-MIN($F$5,D147),IF(Simulatie!$C$13="Lineair",MIN(D147,Simulatie!$C$25),MIN(D147,MAX(0,$I$4-E147)))),2))</f>
        <v/>
      </c>
      <c r="H147" s="31" t="str">
        <f t="shared" si="23"/>
        <v/>
      </c>
      <c r="I147" s="31" t="str">
        <f t="shared" si="24"/>
        <v/>
      </c>
      <c r="J147" s="31" t="str">
        <f t="shared" si="25"/>
        <v/>
      </c>
      <c r="K147" s="31" t="str">
        <f t="shared" si="26"/>
        <v/>
      </c>
      <c r="L147" s="1"/>
      <c r="M147" s="1"/>
      <c r="N147" s="1"/>
      <c r="O147" s="1"/>
    </row>
    <row r="148" spans="1:15" ht="23" customHeight="1">
      <c r="A148" s="1"/>
      <c r="B148" s="29" t="str">
        <f t="shared" si="27"/>
        <v/>
      </c>
      <c r="C148" s="30" t="str">
        <f>IF(B148="","",EDATE(Simulatie!$C$14,B148-1))</f>
        <v/>
      </c>
      <c r="D148" s="31" t="str">
        <f t="shared" si="28"/>
        <v/>
      </c>
      <c r="E148" s="31" t="str">
        <f t="shared" si="21"/>
        <v/>
      </c>
      <c r="F148" s="31" t="str">
        <f t="shared" si="22"/>
        <v/>
      </c>
      <c r="G148" s="32" t="str">
        <f>IF(B148="","",ROUND(IF(AND(B148=$F$4,$I$5=0),D148-MIN($F$5,D148),IF(Simulatie!$C$13="Lineair",MIN(D148,Simulatie!$C$25),MIN(D148,MAX(0,$I$4-E148)))),2))</f>
        <v/>
      </c>
      <c r="H148" s="31" t="str">
        <f t="shared" si="23"/>
        <v/>
      </c>
      <c r="I148" s="31" t="str">
        <f t="shared" si="24"/>
        <v/>
      </c>
      <c r="J148" s="31" t="str">
        <f t="shared" si="25"/>
        <v/>
      </c>
      <c r="K148" s="31" t="str">
        <f t="shared" si="26"/>
        <v/>
      </c>
      <c r="L148" s="1"/>
      <c r="M148" s="1"/>
      <c r="N148" s="1"/>
      <c r="O148" s="1"/>
    </row>
    <row r="149" spans="1:15" ht="23" customHeight="1">
      <c r="A149" s="1"/>
      <c r="B149" s="29" t="str">
        <f t="shared" si="27"/>
        <v/>
      </c>
      <c r="C149" s="30" t="str">
        <f>IF(B149="","",EDATE(Simulatie!$C$14,B149-1))</f>
        <v/>
      </c>
      <c r="D149" s="31" t="str">
        <f t="shared" si="28"/>
        <v/>
      </c>
      <c r="E149" s="31" t="str">
        <f t="shared" si="21"/>
        <v/>
      </c>
      <c r="F149" s="31" t="str">
        <f t="shared" si="22"/>
        <v/>
      </c>
      <c r="G149" s="32" t="str">
        <f>IF(B149="","",ROUND(IF(AND(B149=$F$4,$I$5=0),D149-MIN($F$5,D149),IF(Simulatie!$C$13="Lineair",MIN(D149,Simulatie!$C$25),MIN(D149,MAX(0,$I$4-E149)))),2))</f>
        <v/>
      </c>
      <c r="H149" s="31" t="str">
        <f t="shared" si="23"/>
        <v/>
      </c>
      <c r="I149" s="31" t="str">
        <f t="shared" si="24"/>
        <v/>
      </c>
      <c r="J149" s="31" t="str">
        <f t="shared" si="25"/>
        <v/>
      </c>
      <c r="K149" s="31" t="str">
        <f t="shared" si="26"/>
        <v/>
      </c>
      <c r="L149" s="1"/>
      <c r="M149" s="1"/>
      <c r="N149" s="1"/>
      <c r="O149" s="1"/>
    </row>
    <row r="150" spans="1:15" ht="23" customHeight="1">
      <c r="A150" s="1"/>
      <c r="B150" s="29" t="str">
        <f t="shared" si="27"/>
        <v/>
      </c>
      <c r="C150" s="30" t="str">
        <f>IF(B150="","",EDATE(Simulatie!$C$14,B150-1))</f>
        <v/>
      </c>
      <c r="D150" s="31" t="str">
        <f t="shared" si="28"/>
        <v/>
      </c>
      <c r="E150" s="31" t="str">
        <f t="shared" si="21"/>
        <v/>
      </c>
      <c r="F150" s="31" t="str">
        <f t="shared" si="22"/>
        <v/>
      </c>
      <c r="G150" s="32" t="str">
        <f>IF(B150="","",ROUND(IF(AND(B150=$F$4,$I$5=0),D150-MIN($F$5,D150),IF(Simulatie!$C$13="Lineair",MIN(D150,Simulatie!$C$25),MIN(D150,MAX(0,$I$4-E150)))),2))</f>
        <v/>
      </c>
      <c r="H150" s="31" t="str">
        <f t="shared" si="23"/>
        <v/>
      </c>
      <c r="I150" s="31" t="str">
        <f t="shared" si="24"/>
        <v/>
      </c>
      <c r="J150" s="31" t="str">
        <f t="shared" si="25"/>
        <v/>
      </c>
      <c r="K150" s="31" t="str">
        <f t="shared" si="26"/>
        <v/>
      </c>
      <c r="L150" s="1"/>
      <c r="M150" s="1"/>
      <c r="N150" s="1"/>
      <c r="O150" s="1"/>
    </row>
    <row r="151" spans="1:15" ht="23" customHeight="1">
      <c r="A151" s="1"/>
      <c r="B151" s="29" t="str">
        <f t="shared" si="27"/>
        <v/>
      </c>
      <c r="C151" s="30" t="str">
        <f>IF(B151="","",EDATE(Simulatie!$C$14,B151-1))</f>
        <v/>
      </c>
      <c r="D151" s="31" t="str">
        <f t="shared" si="28"/>
        <v/>
      </c>
      <c r="E151" s="31" t="str">
        <f t="shared" si="21"/>
        <v/>
      </c>
      <c r="F151" s="31" t="str">
        <f t="shared" si="22"/>
        <v/>
      </c>
      <c r="G151" s="32" t="str">
        <f>IF(B151="","",ROUND(IF(AND(B151=$F$4,$I$5=0),D151-MIN($F$5,D151),IF(Simulatie!$C$13="Lineair",MIN(D151,Simulatie!$C$25),MIN(D151,MAX(0,$I$4-E151)))),2))</f>
        <v/>
      </c>
      <c r="H151" s="31" t="str">
        <f t="shared" si="23"/>
        <v/>
      </c>
      <c r="I151" s="31" t="str">
        <f t="shared" si="24"/>
        <v/>
      </c>
      <c r="J151" s="31" t="str">
        <f t="shared" si="25"/>
        <v/>
      </c>
      <c r="K151" s="31" t="str">
        <f t="shared" si="26"/>
        <v/>
      </c>
      <c r="L151" s="1"/>
      <c r="M151" s="1"/>
      <c r="N151" s="1"/>
      <c r="O151" s="1"/>
    </row>
    <row r="152" spans="1:15" ht="23" customHeight="1">
      <c r="A152" s="1"/>
      <c r="B152" s="29" t="str">
        <f t="shared" si="27"/>
        <v/>
      </c>
      <c r="C152" s="30" t="str">
        <f>IF(B152="","",EDATE(Simulatie!$C$14,B152-1))</f>
        <v/>
      </c>
      <c r="D152" s="31" t="str">
        <f t="shared" si="28"/>
        <v/>
      </c>
      <c r="E152" s="31" t="str">
        <f t="shared" si="21"/>
        <v/>
      </c>
      <c r="F152" s="31" t="str">
        <f t="shared" si="22"/>
        <v/>
      </c>
      <c r="G152" s="32" t="str">
        <f>IF(B152="","",ROUND(IF(AND(B152=$F$4,$I$5=0),D152-MIN($F$5,D152),IF(Simulatie!$C$13="Lineair",MIN(D152,Simulatie!$C$25),MIN(D152,MAX(0,$I$4-E152)))),2))</f>
        <v/>
      </c>
      <c r="H152" s="31" t="str">
        <f t="shared" si="23"/>
        <v/>
      </c>
      <c r="I152" s="31" t="str">
        <f t="shared" si="24"/>
        <v/>
      </c>
      <c r="J152" s="31" t="str">
        <f t="shared" si="25"/>
        <v/>
      </c>
      <c r="K152" s="31" t="str">
        <f t="shared" si="26"/>
        <v/>
      </c>
      <c r="L152" s="1"/>
      <c r="M152" s="1"/>
      <c r="N152" s="1"/>
      <c r="O152" s="1"/>
    </row>
    <row r="153" spans="1:15" ht="23" customHeight="1">
      <c r="A153" s="1"/>
      <c r="B153" s="29" t="str">
        <f t="shared" si="27"/>
        <v/>
      </c>
      <c r="C153" s="30" t="str">
        <f>IF(B153="","",EDATE(Simulatie!$C$14,B153-1))</f>
        <v/>
      </c>
      <c r="D153" s="31" t="str">
        <f t="shared" si="28"/>
        <v/>
      </c>
      <c r="E153" s="31" t="str">
        <f t="shared" si="21"/>
        <v/>
      </c>
      <c r="F153" s="31" t="str">
        <f t="shared" si="22"/>
        <v/>
      </c>
      <c r="G153" s="32" t="str">
        <f>IF(B153="","",ROUND(IF(AND(B153=$F$4,$I$5=0),D153-MIN($F$5,D153),IF(Simulatie!$C$13="Lineair",MIN(D153,Simulatie!$C$25),MIN(D153,MAX(0,$I$4-E153)))),2))</f>
        <v/>
      </c>
      <c r="H153" s="31" t="str">
        <f t="shared" si="23"/>
        <v/>
      </c>
      <c r="I153" s="31" t="str">
        <f t="shared" si="24"/>
        <v/>
      </c>
      <c r="J153" s="31" t="str">
        <f t="shared" si="25"/>
        <v/>
      </c>
      <c r="K153" s="31" t="str">
        <f t="shared" si="26"/>
        <v/>
      </c>
      <c r="L153" s="1"/>
      <c r="M153" s="1"/>
      <c r="N153" s="1"/>
      <c r="O153" s="1"/>
    </row>
    <row r="154" spans="1:15" ht="23" customHeight="1">
      <c r="A154" s="1"/>
      <c r="B154" s="29" t="str">
        <f t="shared" si="27"/>
        <v/>
      </c>
      <c r="C154" s="30" t="str">
        <f>IF(B154="","",EDATE(Simulatie!$C$14,B154-1))</f>
        <v/>
      </c>
      <c r="D154" s="31" t="str">
        <f t="shared" si="28"/>
        <v/>
      </c>
      <c r="E154" s="31" t="str">
        <f t="shared" si="21"/>
        <v/>
      </c>
      <c r="F154" s="31" t="str">
        <f t="shared" si="22"/>
        <v/>
      </c>
      <c r="G154" s="32" t="str">
        <f>IF(B154="","",ROUND(IF(AND(B154=$F$4,$I$5=0),D154-MIN($F$5,D154),IF(Simulatie!$C$13="Lineair",MIN(D154,Simulatie!$C$25),MIN(D154,MAX(0,$I$4-E154)))),2))</f>
        <v/>
      </c>
      <c r="H154" s="31" t="str">
        <f t="shared" si="23"/>
        <v/>
      </c>
      <c r="I154" s="31" t="str">
        <f t="shared" si="24"/>
        <v/>
      </c>
      <c r="J154" s="31" t="str">
        <f t="shared" si="25"/>
        <v/>
      </c>
      <c r="K154" s="31" t="str">
        <f t="shared" si="26"/>
        <v/>
      </c>
      <c r="L154" s="1"/>
      <c r="M154" s="1"/>
      <c r="N154" s="1"/>
      <c r="O154" s="1"/>
    </row>
    <row r="155" spans="1:15" ht="23" customHeight="1">
      <c r="A155" s="1"/>
      <c r="B155" s="29" t="str">
        <f t="shared" si="27"/>
        <v/>
      </c>
      <c r="C155" s="30" t="str">
        <f>IF(B155="","",EDATE(Simulatie!$C$14,B155-1))</f>
        <v/>
      </c>
      <c r="D155" s="31" t="str">
        <f t="shared" si="28"/>
        <v/>
      </c>
      <c r="E155" s="31" t="str">
        <f t="shared" si="21"/>
        <v/>
      </c>
      <c r="F155" s="31" t="str">
        <f t="shared" si="22"/>
        <v/>
      </c>
      <c r="G155" s="32" t="str">
        <f>IF(B155="","",ROUND(IF(AND(B155=$F$4,$I$5=0),D155-MIN($F$5,D155),IF(Simulatie!$C$13="Lineair",MIN(D155,Simulatie!$C$25),MIN(D155,MAX(0,$I$4-E155)))),2))</f>
        <v/>
      </c>
      <c r="H155" s="31" t="str">
        <f t="shared" si="23"/>
        <v/>
      </c>
      <c r="I155" s="31" t="str">
        <f t="shared" si="24"/>
        <v/>
      </c>
      <c r="J155" s="31" t="str">
        <f t="shared" si="25"/>
        <v/>
      </c>
      <c r="K155" s="31" t="str">
        <f t="shared" si="26"/>
        <v/>
      </c>
      <c r="L155" s="1"/>
      <c r="M155" s="1"/>
      <c r="N155" s="1"/>
      <c r="O155" s="1"/>
    </row>
    <row r="156" spans="1:15" ht="23" customHeight="1">
      <c r="A156" s="1"/>
      <c r="B156" s="29" t="str">
        <f t="shared" si="27"/>
        <v/>
      </c>
      <c r="C156" s="30" t="str">
        <f>IF(B156="","",EDATE(Simulatie!$C$14,B156-1))</f>
        <v/>
      </c>
      <c r="D156" s="31" t="str">
        <f t="shared" si="28"/>
        <v/>
      </c>
      <c r="E156" s="31" t="str">
        <f t="shared" si="21"/>
        <v/>
      </c>
      <c r="F156" s="31" t="str">
        <f t="shared" si="22"/>
        <v/>
      </c>
      <c r="G156" s="32" t="str">
        <f>IF(B156="","",ROUND(IF(AND(B156=$F$4,$I$5=0),D156-MIN($F$5,D156),IF(Simulatie!$C$13="Lineair",MIN(D156,Simulatie!$C$25),MIN(D156,MAX(0,$I$4-E156)))),2))</f>
        <v/>
      </c>
      <c r="H156" s="31" t="str">
        <f t="shared" si="23"/>
        <v/>
      </c>
      <c r="I156" s="31" t="str">
        <f t="shared" si="24"/>
        <v/>
      </c>
      <c r="J156" s="31" t="str">
        <f t="shared" si="25"/>
        <v/>
      </c>
      <c r="K156" s="31" t="str">
        <f t="shared" si="26"/>
        <v/>
      </c>
      <c r="L156" s="1"/>
      <c r="M156" s="1"/>
      <c r="N156" s="1"/>
      <c r="O156" s="1"/>
    </row>
    <row r="157" spans="1:15" ht="23" customHeight="1">
      <c r="A157" s="1"/>
      <c r="B157" s="29" t="str">
        <f t="shared" si="27"/>
        <v/>
      </c>
      <c r="C157" s="30" t="str">
        <f>IF(B157="","",EDATE(Simulatie!$C$14,B157-1))</f>
        <v/>
      </c>
      <c r="D157" s="31" t="str">
        <f t="shared" si="28"/>
        <v/>
      </c>
      <c r="E157" s="31" t="str">
        <f t="shared" si="21"/>
        <v/>
      </c>
      <c r="F157" s="31" t="str">
        <f t="shared" si="22"/>
        <v/>
      </c>
      <c r="G157" s="32" t="str">
        <f>IF(B157="","",ROUND(IF(AND(B157=$F$4,$I$5=0),D157-MIN($F$5,D157),IF(Simulatie!$C$13="Lineair",MIN(D157,Simulatie!$C$25),MIN(D157,MAX(0,$I$4-E157)))),2))</f>
        <v/>
      </c>
      <c r="H157" s="31" t="str">
        <f t="shared" si="23"/>
        <v/>
      </c>
      <c r="I157" s="31" t="str">
        <f t="shared" si="24"/>
        <v/>
      </c>
      <c r="J157" s="31" t="str">
        <f t="shared" si="25"/>
        <v/>
      </c>
      <c r="K157" s="31" t="str">
        <f t="shared" si="26"/>
        <v/>
      </c>
      <c r="L157" s="1"/>
      <c r="M157" s="1"/>
      <c r="N157" s="1"/>
      <c r="O157" s="1"/>
    </row>
    <row r="158" spans="1:15" ht="23" customHeight="1">
      <c r="A158" s="1"/>
      <c r="B158" s="29" t="str">
        <f t="shared" si="27"/>
        <v/>
      </c>
      <c r="C158" s="30" t="str">
        <f>IF(B158="","",EDATE(Simulatie!$C$14,B158-1))</f>
        <v/>
      </c>
      <c r="D158" s="31" t="str">
        <f t="shared" si="28"/>
        <v/>
      </c>
      <c r="E158" s="31" t="str">
        <f t="shared" si="21"/>
        <v/>
      </c>
      <c r="F158" s="31" t="str">
        <f t="shared" si="22"/>
        <v/>
      </c>
      <c r="G158" s="32" t="str">
        <f>IF(B158="","",ROUND(IF(AND(B158=$F$4,$I$5=0),D158-MIN($F$5,D158),IF(Simulatie!$C$13="Lineair",MIN(D158,Simulatie!$C$25),MIN(D158,MAX(0,$I$4-E158)))),2))</f>
        <v/>
      </c>
      <c r="H158" s="31" t="str">
        <f t="shared" si="23"/>
        <v/>
      </c>
      <c r="I158" s="31" t="str">
        <f t="shared" si="24"/>
        <v/>
      </c>
      <c r="J158" s="31" t="str">
        <f t="shared" si="25"/>
        <v/>
      </c>
      <c r="K158" s="31" t="str">
        <f t="shared" si="26"/>
        <v/>
      </c>
      <c r="L158" s="1"/>
      <c r="M158" s="1"/>
      <c r="N158" s="1"/>
      <c r="O158" s="1"/>
    </row>
    <row r="159" spans="1:15" ht="23" customHeight="1">
      <c r="A159" s="1"/>
      <c r="B159" s="29" t="str">
        <f t="shared" si="27"/>
        <v/>
      </c>
      <c r="C159" s="30" t="str">
        <f>IF(B159="","",EDATE(Simulatie!$C$14,B159-1))</f>
        <v/>
      </c>
      <c r="D159" s="31" t="str">
        <f t="shared" si="28"/>
        <v/>
      </c>
      <c r="E159" s="31" t="str">
        <f t="shared" si="21"/>
        <v/>
      </c>
      <c r="F159" s="31" t="str">
        <f t="shared" si="22"/>
        <v/>
      </c>
      <c r="G159" s="32" t="str">
        <f>IF(B159="","",ROUND(IF(AND(B159=$F$4,$I$5=0),D159-MIN($F$5,D159),IF(Simulatie!$C$13="Lineair",MIN(D159,Simulatie!$C$25),MIN(D159,MAX(0,$I$4-E159)))),2))</f>
        <v/>
      </c>
      <c r="H159" s="31" t="str">
        <f t="shared" si="23"/>
        <v/>
      </c>
      <c r="I159" s="31" t="str">
        <f t="shared" si="24"/>
        <v/>
      </c>
      <c r="J159" s="31" t="str">
        <f t="shared" si="25"/>
        <v/>
      </c>
      <c r="K159" s="31" t="str">
        <f t="shared" si="26"/>
        <v/>
      </c>
      <c r="L159" s="1"/>
      <c r="M159" s="1"/>
      <c r="N159" s="1"/>
      <c r="O159" s="1"/>
    </row>
    <row r="160" spans="1:15" ht="23" customHeight="1">
      <c r="A160" s="1"/>
      <c r="B160" s="29" t="str">
        <f t="shared" si="27"/>
        <v/>
      </c>
      <c r="C160" s="30" t="str">
        <f>IF(B160="","",EDATE(Simulatie!$C$14,B160-1))</f>
        <v/>
      </c>
      <c r="D160" s="31" t="str">
        <f t="shared" si="28"/>
        <v/>
      </c>
      <c r="E160" s="31" t="str">
        <f t="shared" si="21"/>
        <v/>
      </c>
      <c r="F160" s="31" t="str">
        <f t="shared" si="22"/>
        <v/>
      </c>
      <c r="G160" s="32" t="str">
        <f>IF(B160="","",ROUND(IF(AND(B160=$F$4,$I$5=0),D160-MIN($F$5,D160),IF(Simulatie!$C$13="Lineair",MIN(D160,Simulatie!$C$25),MIN(D160,MAX(0,$I$4-E160)))),2))</f>
        <v/>
      </c>
      <c r="H160" s="31" t="str">
        <f t="shared" si="23"/>
        <v/>
      </c>
      <c r="I160" s="31" t="str">
        <f t="shared" si="24"/>
        <v/>
      </c>
      <c r="J160" s="31" t="str">
        <f t="shared" si="25"/>
        <v/>
      </c>
      <c r="K160" s="31" t="str">
        <f t="shared" si="26"/>
        <v/>
      </c>
      <c r="L160" s="1"/>
      <c r="M160" s="1"/>
      <c r="N160" s="1"/>
      <c r="O160" s="1"/>
    </row>
    <row r="161" spans="1:15" ht="23" customHeight="1">
      <c r="A161" s="1"/>
      <c r="B161" s="29" t="str">
        <f t="shared" si="27"/>
        <v/>
      </c>
      <c r="C161" s="30" t="str">
        <f>IF(B161="","",EDATE(Simulatie!$C$14,B161-1))</f>
        <v/>
      </c>
      <c r="D161" s="31" t="str">
        <f t="shared" si="28"/>
        <v/>
      </c>
      <c r="E161" s="31" t="str">
        <f t="shared" si="21"/>
        <v/>
      </c>
      <c r="F161" s="31" t="str">
        <f t="shared" si="22"/>
        <v/>
      </c>
      <c r="G161" s="32" t="str">
        <f>IF(B161="","",ROUND(IF(AND(B161=$F$4,$I$5=0),D161-MIN($F$5,D161),IF(Simulatie!$C$13="Lineair",MIN(D161,Simulatie!$C$25),MIN(D161,MAX(0,$I$4-E161)))),2))</f>
        <v/>
      </c>
      <c r="H161" s="31" t="str">
        <f t="shared" si="23"/>
        <v/>
      </c>
      <c r="I161" s="31" t="str">
        <f t="shared" si="24"/>
        <v/>
      </c>
      <c r="J161" s="31" t="str">
        <f t="shared" si="25"/>
        <v/>
      </c>
      <c r="K161" s="31" t="str">
        <f t="shared" si="26"/>
        <v/>
      </c>
      <c r="L161" s="1"/>
      <c r="M161" s="1"/>
      <c r="N161" s="1"/>
      <c r="O161" s="1"/>
    </row>
    <row r="162" spans="1:15" ht="23" customHeight="1">
      <c r="A162" s="1"/>
      <c r="B162" s="29" t="str">
        <f t="shared" si="27"/>
        <v/>
      </c>
      <c r="C162" s="30" t="str">
        <f>IF(B162="","",EDATE(Simulatie!$C$14,B162-1))</f>
        <v/>
      </c>
      <c r="D162" s="31" t="str">
        <f t="shared" si="28"/>
        <v/>
      </c>
      <c r="E162" s="31" t="str">
        <f t="shared" si="21"/>
        <v/>
      </c>
      <c r="F162" s="31" t="str">
        <f t="shared" si="22"/>
        <v/>
      </c>
      <c r="G162" s="32" t="str">
        <f>IF(B162="","",ROUND(IF(AND(B162=$F$4,$I$5=0),D162-MIN($F$5,D162),IF(Simulatie!$C$13="Lineair",MIN(D162,Simulatie!$C$25),MIN(D162,MAX(0,$I$4-E162)))),2))</f>
        <v/>
      </c>
      <c r="H162" s="31" t="str">
        <f t="shared" si="23"/>
        <v/>
      </c>
      <c r="I162" s="31" t="str">
        <f t="shared" si="24"/>
        <v/>
      </c>
      <c r="J162" s="31" t="str">
        <f t="shared" si="25"/>
        <v/>
      </c>
      <c r="K162" s="31" t="str">
        <f t="shared" si="26"/>
        <v/>
      </c>
      <c r="L162" s="1"/>
      <c r="M162" s="1"/>
      <c r="N162" s="1"/>
      <c r="O162" s="1"/>
    </row>
    <row r="163" spans="1:15" ht="23" customHeight="1">
      <c r="A163" s="1"/>
      <c r="B163" s="29" t="str">
        <f t="shared" si="27"/>
        <v/>
      </c>
      <c r="C163" s="30" t="str">
        <f>IF(B163="","",EDATE(Simulatie!$C$14,B163-1))</f>
        <v/>
      </c>
      <c r="D163" s="31" t="str">
        <f t="shared" si="28"/>
        <v/>
      </c>
      <c r="E163" s="31" t="str">
        <f t="shared" si="21"/>
        <v/>
      </c>
      <c r="F163" s="31" t="str">
        <f t="shared" si="22"/>
        <v/>
      </c>
      <c r="G163" s="32" t="str">
        <f>IF(B163="","",ROUND(IF(AND(B163=$F$4,$I$5=0),D163-MIN($F$5,D163),IF(Simulatie!$C$13="Lineair",MIN(D163,Simulatie!$C$25),MIN(D163,MAX(0,$I$4-E163)))),2))</f>
        <v/>
      </c>
      <c r="H163" s="31" t="str">
        <f t="shared" si="23"/>
        <v/>
      </c>
      <c r="I163" s="31" t="str">
        <f t="shared" si="24"/>
        <v/>
      </c>
      <c r="J163" s="31" t="str">
        <f t="shared" si="25"/>
        <v/>
      </c>
      <c r="K163" s="31" t="str">
        <f t="shared" si="26"/>
        <v/>
      </c>
      <c r="L163" s="1"/>
      <c r="M163" s="1"/>
      <c r="N163" s="1"/>
      <c r="O163" s="1"/>
    </row>
    <row r="164" spans="1:15" ht="23" customHeight="1">
      <c r="A164" s="1"/>
      <c r="B164" s="29" t="str">
        <f t="shared" si="27"/>
        <v/>
      </c>
      <c r="C164" s="30" t="str">
        <f>IF(B164="","",EDATE(Simulatie!$C$14,B164-1))</f>
        <v/>
      </c>
      <c r="D164" s="31" t="str">
        <f t="shared" si="28"/>
        <v/>
      </c>
      <c r="E164" s="31" t="str">
        <f t="shared" si="21"/>
        <v/>
      </c>
      <c r="F164" s="31" t="str">
        <f t="shared" si="22"/>
        <v/>
      </c>
      <c r="G164" s="32" t="str">
        <f>IF(B164="","",ROUND(IF(AND(B164=$F$4,$I$5=0),D164-MIN($F$5,D164),IF(Simulatie!$C$13="Lineair",MIN(D164,Simulatie!$C$25),MIN(D164,MAX(0,$I$4-E164)))),2))</f>
        <v/>
      </c>
      <c r="H164" s="31" t="str">
        <f t="shared" si="23"/>
        <v/>
      </c>
      <c r="I164" s="31" t="str">
        <f t="shared" si="24"/>
        <v/>
      </c>
      <c r="J164" s="31" t="str">
        <f t="shared" si="25"/>
        <v/>
      </c>
      <c r="K164" s="31" t="str">
        <f t="shared" si="26"/>
        <v/>
      </c>
      <c r="L164" s="1"/>
      <c r="M164" s="1"/>
      <c r="N164" s="1"/>
      <c r="O164" s="1"/>
    </row>
    <row r="165" spans="1:15" ht="23" customHeight="1">
      <c r="A165" s="1"/>
      <c r="B165" s="29" t="str">
        <f t="shared" si="27"/>
        <v/>
      </c>
      <c r="C165" s="30" t="str">
        <f>IF(B165="","",EDATE(Simulatie!$C$14,B165-1))</f>
        <v/>
      </c>
      <c r="D165" s="31" t="str">
        <f t="shared" si="28"/>
        <v/>
      </c>
      <c r="E165" s="31" t="str">
        <f t="shared" si="21"/>
        <v/>
      </c>
      <c r="F165" s="31" t="str">
        <f t="shared" si="22"/>
        <v/>
      </c>
      <c r="G165" s="32" t="str">
        <f>IF(B165="","",ROUND(IF(AND(B165=$F$4,$I$5=0),D165-MIN($F$5,D165),IF(Simulatie!$C$13="Lineair",MIN(D165,Simulatie!$C$25),MIN(D165,MAX(0,$I$4-E165)))),2))</f>
        <v/>
      </c>
      <c r="H165" s="31" t="str">
        <f t="shared" si="23"/>
        <v/>
      </c>
      <c r="I165" s="31" t="str">
        <f t="shared" si="24"/>
        <v/>
      </c>
      <c r="J165" s="31" t="str">
        <f t="shared" si="25"/>
        <v/>
      </c>
      <c r="K165" s="31" t="str">
        <f t="shared" si="26"/>
        <v/>
      </c>
      <c r="L165" s="1"/>
      <c r="M165" s="1"/>
      <c r="N165" s="1"/>
      <c r="O165" s="1"/>
    </row>
    <row r="166" spans="1:15" ht="23" customHeight="1">
      <c r="A166" s="1"/>
      <c r="B166" s="29" t="str">
        <f t="shared" si="27"/>
        <v/>
      </c>
      <c r="C166" s="30" t="str">
        <f>IF(B166="","",EDATE(Simulatie!$C$14,B166-1))</f>
        <v/>
      </c>
      <c r="D166" s="31" t="str">
        <f t="shared" si="28"/>
        <v/>
      </c>
      <c r="E166" s="31" t="str">
        <f t="shared" si="21"/>
        <v/>
      </c>
      <c r="F166" s="31" t="str">
        <f t="shared" si="22"/>
        <v/>
      </c>
      <c r="G166" s="32" t="str">
        <f>IF(B166="","",ROUND(IF(AND(B166=$F$4,$I$5=0),D166-MIN($F$5,D166),IF(Simulatie!$C$13="Lineair",MIN(D166,Simulatie!$C$25),MIN(D166,MAX(0,$I$4-E166)))),2))</f>
        <v/>
      </c>
      <c r="H166" s="31" t="str">
        <f t="shared" si="23"/>
        <v/>
      </c>
      <c r="I166" s="31" t="str">
        <f t="shared" si="24"/>
        <v/>
      </c>
      <c r="J166" s="31" t="str">
        <f t="shared" si="25"/>
        <v/>
      </c>
      <c r="K166" s="31" t="str">
        <f t="shared" si="26"/>
        <v/>
      </c>
      <c r="L166" s="1"/>
      <c r="M166" s="1"/>
      <c r="N166" s="1"/>
      <c r="O166" s="1"/>
    </row>
    <row r="167" spans="1:15" ht="23" customHeight="1">
      <c r="A167" s="1"/>
      <c r="B167" s="29" t="str">
        <f t="shared" si="27"/>
        <v/>
      </c>
      <c r="C167" s="30" t="str">
        <f>IF(B167="","",EDATE(Simulatie!$C$14,B167-1))</f>
        <v/>
      </c>
      <c r="D167" s="31" t="str">
        <f t="shared" si="28"/>
        <v/>
      </c>
      <c r="E167" s="31" t="str">
        <f t="shared" si="21"/>
        <v/>
      </c>
      <c r="F167" s="31" t="str">
        <f t="shared" si="22"/>
        <v/>
      </c>
      <c r="G167" s="32" t="str">
        <f>IF(B167="","",ROUND(IF(AND(B167=$F$4,$I$5=0),D167-MIN($F$5,D167),IF(Simulatie!$C$13="Lineair",MIN(D167,Simulatie!$C$25),MIN(D167,MAX(0,$I$4-E167)))),2))</f>
        <v/>
      </c>
      <c r="H167" s="31" t="str">
        <f t="shared" si="23"/>
        <v/>
      </c>
      <c r="I167" s="31" t="str">
        <f t="shared" si="24"/>
        <v/>
      </c>
      <c r="J167" s="31" t="str">
        <f t="shared" si="25"/>
        <v/>
      </c>
      <c r="K167" s="31" t="str">
        <f t="shared" si="26"/>
        <v/>
      </c>
      <c r="L167" s="1"/>
      <c r="M167" s="1"/>
      <c r="N167" s="1"/>
      <c r="O167" s="1"/>
    </row>
    <row r="168" spans="1:15" ht="23" customHeight="1">
      <c r="A168" s="1"/>
      <c r="B168" s="29" t="str">
        <f t="shared" si="27"/>
        <v/>
      </c>
      <c r="C168" s="30" t="str">
        <f>IF(B168="","",EDATE(Simulatie!$C$14,B168-1))</f>
        <v/>
      </c>
      <c r="D168" s="31" t="str">
        <f t="shared" si="28"/>
        <v/>
      </c>
      <c r="E168" s="31" t="str">
        <f t="shared" si="21"/>
        <v/>
      </c>
      <c r="F168" s="31" t="str">
        <f t="shared" si="22"/>
        <v/>
      </c>
      <c r="G168" s="32" t="str">
        <f>IF(B168="","",ROUND(IF(AND(B168=$F$4,$I$5=0),D168-MIN($F$5,D168),IF(Simulatie!$C$13="Lineair",MIN(D168,Simulatie!$C$25),MIN(D168,MAX(0,$I$4-E168)))),2))</f>
        <v/>
      </c>
      <c r="H168" s="31" t="str">
        <f t="shared" si="23"/>
        <v/>
      </c>
      <c r="I168" s="31" t="str">
        <f t="shared" si="24"/>
        <v/>
      </c>
      <c r="J168" s="31" t="str">
        <f t="shared" si="25"/>
        <v/>
      </c>
      <c r="K168" s="31" t="str">
        <f t="shared" si="26"/>
        <v/>
      </c>
      <c r="L168" s="1"/>
      <c r="M168" s="1"/>
      <c r="N168" s="1"/>
      <c r="O168" s="1"/>
    </row>
    <row r="169" spans="1:15" ht="23" customHeight="1">
      <c r="A169" s="1"/>
      <c r="B169" s="29" t="str">
        <f t="shared" si="27"/>
        <v/>
      </c>
      <c r="C169" s="30" t="str">
        <f>IF(B169="","",EDATE(Simulatie!$C$14,B169-1))</f>
        <v/>
      </c>
      <c r="D169" s="31" t="str">
        <f t="shared" si="28"/>
        <v/>
      </c>
      <c r="E169" s="31" t="str">
        <f t="shared" si="21"/>
        <v/>
      </c>
      <c r="F169" s="31" t="str">
        <f t="shared" si="22"/>
        <v/>
      </c>
      <c r="G169" s="32" t="str">
        <f>IF(B169="","",ROUND(IF(AND(B169=$F$4,$I$5=0),D169-MIN($F$5,D169),IF(Simulatie!$C$13="Lineair",MIN(D169,Simulatie!$C$25),MIN(D169,MAX(0,$I$4-E169)))),2))</f>
        <v/>
      </c>
      <c r="H169" s="31" t="str">
        <f t="shared" si="23"/>
        <v/>
      </c>
      <c r="I169" s="31" t="str">
        <f t="shared" si="24"/>
        <v/>
      </c>
      <c r="J169" s="31" t="str">
        <f t="shared" si="25"/>
        <v/>
      </c>
      <c r="K169" s="31" t="str">
        <f t="shared" si="26"/>
        <v/>
      </c>
      <c r="L169" s="1"/>
      <c r="M169" s="1"/>
      <c r="N169" s="1"/>
      <c r="O169" s="1"/>
    </row>
    <row r="170" spans="1:15" ht="23" customHeight="1">
      <c r="A170" s="1"/>
      <c r="B170" s="29" t="str">
        <f t="shared" si="27"/>
        <v/>
      </c>
      <c r="C170" s="30" t="str">
        <f>IF(B170="","",EDATE(Simulatie!$C$14,B170-1))</f>
        <v/>
      </c>
      <c r="D170" s="31" t="str">
        <f t="shared" si="28"/>
        <v/>
      </c>
      <c r="E170" s="31" t="str">
        <f t="shared" si="21"/>
        <v/>
      </c>
      <c r="F170" s="31" t="str">
        <f t="shared" si="22"/>
        <v/>
      </c>
      <c r="G170" s="32" t="str">
        <f>IF(B170="","",ROUND(IF(AND(B170=$F$4,$I$5=0),D170-MIN($F$5,D170),IF(Simulatie!$C$13="Lineair",MIN(D170,Simulatie!$C$25),MIN(D170,MAX(0,$I$4-E170)))),2))</f>
        <v/>
      </c>
      <c r="H170" s="31" t="str">
        <f t="shared" si="23"/>
        <v/>
      </c>
      <c r="I170" s="31" t="str">
        <f t="shared" si="24"/>
        <v/>
      </c>
      <c r="J170" s="31" t="str">
        <f t="shared" si="25"/>
        <v/>
      </c>
      <c r="K170" s="31" t="str">
        <f t="shared" si="26"/>
        <v/>
      </c>
      <c r="L170" s="1"/>
      <c r="M170" s="1"/>
      <c r="N170" s="1"/>
      <c r="O170" s="1"/>
    </row>
    <row r="171" spans="1:15" ht="23" customHeight="1">
      <c r="A171" s="1"/>
      <c r="B171" s="29" t="str">
        <f t="shared" si="27"/>
        <v/>
      </c>
      <c r="C171" s="30" t="str">
        <f>IF(B171="","",EDATE(Simulatie!$C$14,B171-1))</f>
        <v/>
      </c>
      <c r="D171" s="31" t="str">
        <f t="shared" si="28"/>
        <v/>
      </c>
      <c r="E171" s="31" t="str">
        <f t="shared" si="21"/>
        <v/>
      </c>
      <c r="F171" s="31" t="str">
        <f t="shared" si="22"/>
        <v/>
      </c>
      <c r="G171" s="32" t="str">
        <f>IF(B171="","",ROUND(IF(AND(B171=$F$4,$I$5=0),D171-MIN($F$5,D171),IF(Simulatie!$C$13="Lineair",MIN(D171,Simulatie!$C$25),MIN(D171,MAX(0,$I$4-E171)))),2))</f>
        <v/>
      </c>
      <c r="H171" s="31" t="str">
        <f t="shared" si="23"/>
        <v/>
      </c>
      <c r="I171" s="31" t="str">
        <f t="shared" si="24"/>
        <v/>
      </c>
      <c r="J171" s="31" t="str">
        <f t="shared" si="25"/>
        <v/>
      </c>
      <c r="K171" s="31" t="str">
        <f t="shared" si="26"/>
        <v/>
      </c>
      <c r="L171" s="1"/>
      <c r="M171" s="1"/>
      <c r="N171" s="1"/>
      <c r="O171" s="1"/>
    </row>
    <row r="172" spans="1:15" ht="23" customHeight="1">
      <c r="A172" s="1"/>
      <c r="B172" s="29" t="str">
        <f t="shared" si="27"/>
        <v/>
      </c>
      <c r="C172" s="30" t="str">
        <f>IF(B172="","",EDATE(Simulatie!$C$14,B172-1))</f>
        <v/>
      </c>
      <c r="D172" s="31" t="str">
        <f t="shared" si="28"/>
        <v/>
      </c>
      <c r="E172" s="31" t="str">
        <f t="shared" si="21"/>
        <v/>
      </c>
      <c r="F172" s="31" t="str">
        <f t="shared" si="22"/>
        <v/>
      </c>
      <c r="G172" s="32" t="str">
        <f>IF(B172="","",ROUND(IF(AND(B172=$F$4,$I$5=0),D172-MIN($F$5,D172),IF(Simulatie!$C$13="Lineair",MIN(D172,Simulatie!$C$25),MIN(D172,MAX(0,$I$4-E172)))),2))</f>
        <v/>
      </c>
      <c r="H172" s="31" t="str">
        <f t="shared" si="23"/>
        <v/>
      </c>
      <c r="I172" s="31" t="str">
        <f t="shared" si="24"/>
        <v/>
      </c>
      <c r="J172" s="31" t="str">
        <f t="shared" si="25"/>
        <v/>
      </c>
      <c r="K172" s="31" t="str">
        <f t="shared" si="26"/>
        <v/>
      </c>
      <c r="L172" s="1"/>
      <c r="M172" s="1"/>
      <c r="N172" s="1"/>
      <c r="O172" s="1"/>
    </row>
    <row r="173" spans="1:15" ht="23" customHeight="1">
      <c r="A173" s="1"/>
      <c r="B173" s="29" t="str">
        <f t="shared" si="27"/>
        <v/>
      </c>
      <c r="C173" s="30" t="str">
        <f>IF(B173="","",EDATE(Simulatie!$C$14,B173-1))</f>
        <v/>
      </c>
      <c r="D173" s="31" t="str">
        <f t="shared" si="28"/>
        <v/>
      </c>
      <c r="E173" s="31" t="str">
        <f t="shared" si="21"/>
        <v/>
      </c>
      <c r="F173" s="31" t="str">
        <f t="shared" si="22"/>
        <v/>
      </c>
      <c r="G173" s="32" t="str">
        <f>IF(B173="","",ROUND(IF(AND(B173=$F$4,$I$5=0),D173-MIN($F$5,D173),IF(Simulatie!$C$13="Lineair",MIN(D173,Simulatie!$C$25),MIN(D173,MAX(0,$I$4-E173)))),2))</f>
        <v/>
      </c>
      <c r="H173" s="31" t="str">
        <f t="shared" si="23"/>
        <v/>
      </c>
      <c r="I173" s="31" t="str">
        <f t="shared" si="24"/>
        <v/>
      </c>
      <c r="J173" s="31" t="str">
        <f t="shared" si="25"/>
        <v/>
      </c>
      <c r="K173" s="31" t="str">
        <f t="shared" si="26"/>
        <v/>
      </c>
      <c r="L173" s="1"/>
      <c r="M173" s="1"/>
      <c r="N173" s="1"/>
      <c r="O173" s="1"/>
    </row>
    <row r="174" spans="1:15" ht="23" customHeight="1">
      <c r="A174" s="1"/>
      <c r="B174" s="29" t="str">
        <f t="shared" si="27"/>
        <v/>
      </c>
      <c r="C174" s="30" t="str">
        <f>IF(B174="","",EDATE(Simulatie!$C$14,B174-1))</f>
        <v/>
      </c>
      <c r="D174" s="31" t="str">
        <f t="shared" si="28"/>
        <v/>
      </c>
      <c r="E174" s="31" t="str">
        <f t="shared" si="21"/>
        <v/>
      </c>
      <c r="F174" s="31" t="str">
        <f t="shared" si="22"/>
        <v/>
      </c>
      <c r="G174" s="32" t="str">
        <f>IF(B174="","",ROUND(IF(AND(B174=$F$4,$I$5=0),D174-MIN($F$5,D174),IF(Simulatie!$C$13="Lineair",MIN(D174,Simulatie!$C$25),MIN(D174,MAX(0,$I$4-E174)))),2))</f>
        <v/>
      </c>
      <c r="H174" s="31" t="str">
        <f t="shared" si="23"/>
        <v/>
      </c>
      <c r="I174" s="31" t="str">
        <f t="shared" si="24"/>
        <v/>
      </c>
      <c r="J174" s="31" t="str">
        <f t="shared" si="25"/>
        <v/>
      </c>
      <c r="K174" s="31" t="str">
        <f t="shared" si="26"/>
        <v/>
      </c>
      <c r="L174" s="1"/>
      <c r="M174" s="1"/>
      <c r="N174" s="1"/>
      <c r="O174" s="1"/>
    </row>
    <row r="175" spans="1:15" ht="23" customHeight="1">
      <c r="A175" s="1"/>
      <c r="B175" s="29" t="str">
        <f t="shared" si="27"/>
        <v/>
      </c>
      <c r="C175" s="30" t="str">
        <f>IF(B175="","",EDATE(Simulatie!$C$14,B175-1))</f>
        <v/>
      </c>
      <c r="D175" s="31" t="str">
        <f t="shared" si="28"/>
        <v/>
      </c>
      <c r="E175" s="31" t="str">
        <f t="shared" si="21"/>
        <v/>
      </c>
      <c r="F175" s="31" t="str">
        <f t="shared" si="22"/>
        <v/>
      </c>
      <c r="G175" s="32" t="str">
        <f>IF(B175="","",ROUND(IF(AND(B175=$F$4,$I$5=0),D175-MIN($F$5,D175),IF(Simulatie!$C$13="Lineair",MIN(D175,Simulatie!$C$25),MIN(D175,MAX(0,$I$4-E175)))),2))</f>
        <v/>
      </c>
      <c r="H175" s="31" t="str">
        <f t="shared" si="23"/>
        <v/>
      </c>
      <c r="I175" s="31" t="str">
        <f t="shared" si="24"/>
        <v/>
      </c>
      <c r="J175" s="31" t="str">
        <f t="shared" si="25"/>
        <v/>
      </c>
      <c r="K175" s="31" t="str">
        <f t="shared" si="26"/>
        <v/>
      </c>
      <c r="L175" s="1"/>
      <c r="M175" s="1"/>
      <c r="N175" s="1"/>
      <c r="O175" s="1"/>
    </row>
    <row r="176" spans="1:15" ht="23" customHeight="1">
      <c r="A176" s="1"/>
      <c r="B176" s="29" t="str">
        <f t="shared" si="27"/>
        <v/>
      </c>
      <c r="C176" s="30" t="str">
        <f>IF(B176="","",EDATE(Simulatie!$C$14,B176-1))</f>
        <v/>
      </c>
      <c r="D176" s="31" t="str">
        <f t="shared" si="28"/>
        <v/>
      </c>
      <c r="E176" s="31" t="str">
        <f t="shared" si="21"/>
        <v/>
      </c>
      <c r="F176" s="31" t="str">
        <f t="shared" si="22"/>
        <v/>
      </c>
      <c r="G176" s="32" t="str">
        <f>IF(B176="","",ROUND(IF(AND(B176=$F$4,$I$5=0),D176-MIN($F$5,D176),IF(Simulatie!$C$13="Lineair",MIN(D176,Simulatie!$C$25),MIN(D176,MAX(0,$I$4-E176)))),2))</f>
        <v/>
      </c>
      <c r="H176" s="31" t="str">
        <f t="shared" si="23"/>
        <v/>
      </c>
      <c r="I176" s="31" t="str">
        <f t="shared" si="24"/>
        <v/>
      </c>
      <c r="J176" s="31" t="str">
        <f t="shared" si="25"/>
        <v/>
      </c>
      <c r="K176" s="31" t="str">
        <f t="shared" si="26"/>
        <v/>
      </c>
      <c r="L176" s="1"/>
      <c r="M176" s="1"/>
      <c r="N176" s="1"/>
      <c r="O176" s="1"/>
    </row>
    <row r="177" spans="1:15" ht="23" customHeight="1">
      <c r="A177" s="1"/>
      <c r="B177" s="29" t="str">
        <f t="shared" si="27"/>
        <v/>
      </c>
      <c r="C177" s="30" t="str">
        <f>IF(B177="","",EDATE(Simulatie!$C$14,B177-1))</f>
        <v/>
      </c>
      <c r="D177" s="31" t="str">
        <f t="shared" si="28"/>
        <v/>
      </c>
      <c r="E177" s="31" t="str">
        <f t="shared" si="21"/>
        <v/>
      </c>
      <c r="F177" s="31" t="str">
        <f t="shared" si="22"/>
        <v/>
      </c>
      <c r="G177" s="32" t="str">
        <f>IF(B177="","",ROUND(IF(AND(B177=$F$4,$I$5=0),D177-MIN($F$5,D177),IF(Simulatie!$C$13="Lineair",MIN(D177,Simulatie!$C$25),MIN(D177,MAX(0,$I$4-E177)))),2))</f>
        <v/>
      </c>
      <c r="H177" s="31" t="str">
        <f t="shared" si="23"/>
        <v/>
      </c>
      <c r="I177" s="31" t="str">
        <f t="shared" si="24"/>
        <v/>
      </c>
      <c r="J177" s="31" t="str">
        <f t="shared" si="25"/>
        <v/>
      </c>
      <c r="K177" s="31" t="str">
        <f t="shared" si="26"/>
        <v/>
      </c>
      <c r="L177" s="1"/>
      <c r="M177" s="1"/>
      <c r="N177" s="1"/>
      <c r="O177" s="1"/>
    </row>
    <row r="178" spans="1:15" ht="23" customHeight="1">
      <c r="A178" s="1"/>
      <c r="B178" s="29" t="str">
        <f t="shared" si="27"/>
        <v/>
      </c>
      <c r="C178" s="30" t="str">
        <f>IF(B178="","",EDATE(Simulatie!$C$14,B178-1))</f>
        <v/>
      </c>
      <c r="D178" s="31" t="str">
        <f t="shared" si="28"/>
        <v/>
      </c>
      <c r="E178" s="31" t="str">
        <f t="shared" si="21"/>
        <v/>
      </c>
      <c r="F178" s="31" t="str">
        <f t="shared" si="22"/>
        <v/>
      </c>
      <c r="G178" s="32" t="str">
        <f>IF(B178="","",ROUND(IF(AND(B178=$F$4,$I$5=0),D178-MIN($F$5,D178),IF(Simulatie!$C$13="Lineair",MIN(D178,Simulatie!$C$25),MIN(D178,MAX(0,$I$4-E178)))),2))</f>
        <v/>
      </c>
      <c r="H178" s="31" t="str">
        <f t="shared" si="23"/>
        <v/>
      </c>
      <c r="I178" s="31" t="str">
        <f t="shared" si="24"/>
        <v/>
      </c>
      <c r="J178" s="31" t="str">
        <f t="shared" si="25"/>
        <v/>
      </c>
      <c r="K178" s="31" t="str">
        <f t="shared" si="26"/>
        <v/>
      </c>
      <c r="L178" s="1"/>
      <c r="M178" s="1"/>
      <c r="N178" s="1"/>
      <c r="O178" s="1"/>
    </row>
    <row r="179" spans="1:15" ht="23" customHeight="1">
      <c r="A179" s="1"/>
      <c r="B179" s="29" t="str">
        <f t="shared" si="27"/>
        <v/>
      </c>
      <c r="C179" s="30" t="str">
        <f>IF(B179="","",EDATE(Simulatie!$C$14,B179-1))</f>
        <v/>
      </c>
      <c r="D179" s="31" t="str">
        <f t="shared" si="28"/>
        <v/>
      </c>
      <c r="E179" s="31" t="str">
        <f t="shared" si="21"/>
        <v/>
      </c>
      <c r="F179" s="31" t="str">
        <f t="shared" si="22"/>
        <v/>
      </c>
      <c r="G179" s="32" t="str">
        <f>IF(B179="","",ROUND(IF(AND(B179=$F$4,$I$5=0),D179-MIN($F$5,D179),IF(Simulatie!$C$13="Lineair",MIN(D179,Simulatie!$C$25),MIN(D179,MAX(0,$I$4-E179)))),2))</f>
        <v/>
      </c>
      <c r="H179" s="31" t="str">
        <f t="shared" si="23"/>
        <v/>
      </c>
      <c r="I179" s="31" t="str">
        <f t="shared" si="24"/>
        <v/>
      </c>
      <c r="J179" s="31" t="str">
        <f t="shared" si="25"/>
        <v/>
      </c>
      <c r="K179" s="31" t="str">
        <f t="shared" si="26"/>
        <v/>
      </c>
      <c r="L179" s="1"/>
      <c r="M179" s="1"/>
      <c r="N179" s="1"/>
      <c r="O179" s="1"/>
    </row>
    <row r="180" spans="1:15" ht="23" customHeight="1">
      <c r="A180" s="1"/>
      <c r="B180" s="29" t="str">
        <f t="shared" si="27"/>
        <v/>
      </c>
      <c r="C180" s="30" t="str">
        <f>IF(B180="","",EDATE(Simulatie!$C$14,B180-1))</f>
        <v/>
      </c>
      <c r="D180" s="31" t="str">
        <f t="shared" si="28"/>
        <v/>
      </c>
      <c r="E180" s="31" t="str">
        <f t="shared" si="21"/>
        <v/>
      </c>
      <c r="F180" s="31" t="str">
        <f t="shared" si="22"/>
        <v/>
      </c>
      <c r="G180" s="32" t="str">
        <f>IF(B180="","",ROUND(IF(AND(B180=$F$4,$I$5=0),D180-MIN($F$5,D180),IF(Simulatie!$C$13="Lineair",MIN(D180,Simulatie!$C$25),MIN(D180,MAX(0,$I$4-E180)))),2))</f>
        <v/>
      </c>
      <c r="H180" s="31" t="str">
        <f t="shared" si="23"/>
        <v/>
      </c>
      <c r="I180" s="31" t="str">
        <f t="shared" si="24"/>
        <v/>
      </c>
      <c r="J180" s="31" t="str">
        <f t="shared" si="25"/>
        <v/>
      </c>
      <c r="K180" s="31" t="str">
        <f t="shared" si="26"/>
        <v/>
      </c>
      <c r="L180" s="1"/>
      <c r="M180" s="1"/>
      <c r="N180" s="1"/>
      <c r="O180" s="1"/>
    </row>
    <row r="181" spans="1:15" ht="23" customHeight="1">
      <c r="A181" s="1"/>
      <c r="B181" s="29" t="str">
        <f t="shared" si="27"/>
        <v/>
      </c>
      <c r="C181" s="30" t="str">
        <f>IF(B181="","",EDATE(Simulatie!$C$14,B181-1))</f>
        <v/>
      </c>
      <c r="D181" s="31" t="str">
        <f t="shared" si="28"/>
        <v/>
      </c>
      <c r="E181" s="31" t="str">
        <f t="shared" si="21"/>
        <v/>
      </c>
      <c r="F181" s="31" t="str">
        <f t="shared" si="22"/>
        <v/>
      </c>
      <c r="G181" s="32" t="str">
        <f>IF(B181="","",ROUND(IF(AND(B181=$F$4,$I$5=0),D181-MIN($F$5,D181),IF(Simulatie!$C$13="Lineair",MIN(D181,Simulatie!$C$25),MIN(D181,MAX(0,$I$4-E181)))),2))</f>
        <v/>
      </c>
      <c r="H181" s="31" t="str">
        <f t="shared" si="23"/>
        <v/>
      </c>
      <c r="I181" s="31" t="str">
        <f t="shared" si="24"/>
        <v/>
      </c>
      <c r="J181" s="31" t="str">
        <f t="shared" si="25"/>
        <v/>
      </c>
      <c r="K181" s="31" t="str">
        <f t="shared" si="26"/>
        <v/>
      </c>
      <c r="L181" s="1"/>
      <c r="M181" s="1"/>
      <c r="N181" s="1"/>
      <c r="O181" s="1"/>
    </row>
    <row r="182" spans="1:15" ht="23" customHeight="1">
      <c r="A182" s="1"/>
      <c r="B182" s="29" t="str">
        <f t="shared" si="27"/>
        <v/>
      </c>
      <c r="C182" s="30" t="str">
        <f>IF(B182="","",EDATE(Simulatie!$C$14,B182-1))</f>
        <v/>
      </c>
      <c r="D182" s="31" t="str">
        <f t="shared" si="28"/>
        <v/>
      </c>
      <c r="E182" s="31" t="str">
        <f t="shared" si="21"/>
        <v/>
      </c>
      <c r="F182" s="31" t="str">
        <f t="shared" si="22"/>
        <v/>
      </c>
      <c r="G182" s="32" t="str">
        <f>IF(B182="","",ROUND(IF(AND(B182=$F$4,$I$5=0),D182-MIN($F$5,D182),IF(Simulatie!$C$13="Lineair",MIN(D182,Simulatie!$C$25),MIN(D182,MAX(0,$I$4-E182)))),2))</f>
        <v/>
      </c>
      <c r="H182" s="31" t="str">
        <f t="shared" si="23"/>
        <v/>
      </c>
      <c r="I182" s="31" t="str">
        <f t="shared" si="24"/>
        <v/>
      </c>
      <c r="J182" s="31" t="str">
        <f t="shared" si="25"/>
        <v/>
      </c>
      <c r="K182" s="31" t="str">
        <f t="shared" si="26"/>
        <v/>
      </c>
      <c r="L182" s="1"/>
      <c r="M182" s="1"/>
      <c r="N182" s="1"/>
      <c r="O182" s="1"/>
    </row>
    <row r="183" spans="1:15" ht="23" customHeight="1">
      <c r="A183" s="1"/>
      <c r="B183" s="29" t="str">
        <f t="shared" si="27"/>
        <v/>
      </c>
      <c r="C183" s="30" t="str">
        <f>IF(B183="","",EDATE(Simulatie!$C$14,B183-1))</f>
        <v/>
      </c>
      <c r="D183" s="31" t="str">
        <f t="shared" si="28"/>
        <v/>
      </c>
      <c r="E183" s="31" t="str">
        <f t="shared" si="21"/>
        <v/>
      </c>
      <c r="F183" s="31" t="str">
        <f t="shared" si="22"/>
        <v/>
      </c>
      <c r="G183" s="32" t="str">
        <f>IF(B183="","",ROUND(IF(AND(B183=$F$4,$I$5=0),D183-MIN($F$5,D183),IF(Simulatie!$C$13="Lineair",MIN(D183,Simulatie!$C$25),MIN(D183,MAX(0,$I$4-E183)))),2))</f>
        <v/>
      </c>
      <c r="H183" s="31" t="str">
        <f t="shared" si="23"/>
        <v/>
      </c>
      <c r="I183" s="31" t="str">
        <f t="shared" si="24"/>
        <v/>
      </c>
      <c r="J183" s="31" t="str">
        <f t="shared" si="25"/>
        <v/>
      </c>
      <c r="K183" s="31" t="str">
        <f t="shared" si="26"/>
        <v/>
      </c>
      <c r="L183" s="1"/>
      <c r="M183" s="1"/>
      <c r="N183" s="1"/>
      <c r="O183" s="1"/>
    </row>
    <row r="184" spans="1:15" ht="23" customHeight="1">
      <c r="A184" s="1"/>
      <c r="B184" s="29" t="str">
        <f t="shared" si="27"/>
        <v/>
      </c>
      <c r="C184" s="30" t="str">
        <f>IF(B184="","",EDATE(Simulatie!$C$14,B184-1))</f>
        <v/>
      </c>
      <c r="D184" s="31" t="str">
        <f t="shared" si="28"/>
        <v/>
      </c>
      <c r="E184" s="31" t="str">
        <f t="shared" si="21"/>
        <v/>
      </c>
      <c r="F184" s="31" t="str">
        <f t="shared" si="22"/>
        <v/>
      </c>
      <c r="G184" s="32" t="str">
        <f>IF(B184="","",ROUND(IF(AND(B184=$F$4,$I$5=0),D184-MIN($F$5,D184),IF(Simulatie!$C$13="Lineair",MIN(D184,Simulatie!$C$25),MIN(D184,MAX(0,$I$4-E184)))),2))</f>
        <v/>
      </c>
      <c r="H184" s="31" t="str">
        <f t="shared" si="23"/>
        <v/>
      </c>
      <c r="I184" s="31" t="str">
        <f t="shared" si="24"/>
        <v/>
      </c>
      <c r="J184" s="31" t="str">
        <f t="shared" si="25"/>
        <v/>
      </c>
      <c r="K184" s="31" t="str">
        <f t="shared" si="26"/>
        <v/>
      </c>
      <c r="L184" s="1"/>
      <c r="M184" s="1"/>
      <c r="N184" s="1"/>
      <c r="O184" s="1"/>
    </row>
    <row r="185" spans="1:15" ht="23" customHeight="1">
      <c r="A185" s="1"/>
      <c r="B185" s="29" t="str">
        <f t="shared" si="27"/>
        <v/>
      </c>
      <c r="C185" s="30" t="str">
        <f>IF(B185="","",EDATE(Simulatie!$C$14,B185-1))</f>
        <v/>
      </c>
      <c r="D185" s="31" t="str">
        <f t="shared" si="28"/>
        <v/>
      </c>
      <c r="E185" s="31" t="str">
        <f t="shared" si="21"/>
        <v/>
      </c>
      <c r="F185" s="31" t="str">
        <f t="shared" si="22"/>
        <v/>
      </c>
      <c r="G185" s="32" t="str">
        <f>IF(B185="","",ROUND(IF(AND(B185=$F$4,$I$5=0),D185-MIN($F$5,D185),IF(Simulatie!$C$13="Lineair",MIN(D185,Simulatie!$C$25),MIN(D185,MAX(0,$I$4-E185)))),2))</f>
        <v/>
      </c>
      <c r="H185" s="31" t="str">
        <f t="shared" si="23"/>
        <v/>
      </c>
      <c r="I185" s="31" t="str">
        <f t="shared" si="24"/>
        <v/>
      </c>
      <c r="J185" s="31" t="str">
        <f t="shared" si="25"/>
        <v/>
      </c>
      <c r="K185" s="31" t="str">
        <f t="shared" si="26"/>
        <v/>
      </c>
      <c r="L185" s="1"/>
      <c r="M185" s="1"/>
      <c r="N185" s="1"/>
      <c r="O185" s="1"/>
    </row>
    <row r="186" spans="1:15" ht="23" customHeight="1">
      <c r="A186" s="1"/>
      <c r="B186" s="29" t="str">
        <f t="shared" si="27"/>
        <v/>
      </c>
      <c r="C186" s="30" t="str">
        <f>IF(B186="","",EDATE(Simulatie!$C$14,B186-1))</f>
        <v/>
      </c>
      <c r="D186" s="31" t="str">
        <f t="shared" si="28"/>
        <v/>
      </c>
      <c r="E186" s="31" t="str">
        <f t="shared" si="21"/>
        <v/>
      </c>
      <c r="F186" s="31" t="str">
        <f t="shared" si="22"/>
        <v/>
      </c>
      <c r="G186" s="32" t="str">
        <f>IF(B186="","",ROUND(IF(AND(B186=$F$4,$I$5=0),D186-MIN($F$5,D186),IF(Simulatie!$C$13="Lineair",MIN(D186,Simulatie!$C$25),MIN(D186,MAX(0,$I$4-E186)))),2))</f>
        <v/>
      </c>
      <c r="H186" s="31" t="str">
        <f t="shared" si="23"/>
        <v/>
      </c>
      <c r="I186" s="31" t="str">
        <f t="shared" si="24"/>
        <v/>
      </c>
      <c r="J186" s="31" t="str">
        <f t="shared" si="25"/>
        <v/>
      </c>
      <c r="K186" s="31" t="str">
        <f t="shared" si="26"/>
        <v/>
      </c>
      <c r="L186" s="1"/>
      <c r="M186" s="1"/>
      <c r="N186" s="1"/>
      <c r="O186" s="1"/>
    </row>
    <row r="187" spans="1:15" ht="23" customHeight="1">
      <c r="A187" s="1"/>
      <c r="B187" s="29" t="str">
        <f t="shared" si="27"/>
        <v/>
      </c>
      <c r="C187" s="30" t="str">
        <f>IF(B187="","",EDATE(Simulatie!$C$14,B187-1))</f>
        <v/>
      </c>
      <c r="D187" s="31" t="str">
        <f t="shared" si="28"/>
        <v/>
      </c>
      <c r="E187" s="31" t="str">
        <f t="shared" si="21"/>
        <v/>
      </c>
      <c r="F187" s="31" t="str">
        <f t="shared" si="22"/>
        <v/>
      </c>
      <c r="G187" s="32" t="str">
        <f>IF(B187="","",ROUND(IF(AND(B187=$F$4,$I$5=0),D187-MIN($F$5,D187),IF(Simulatie!$C$13="Lineair",MIN(D187,Simulatie!$C$25),MIN(D187,MAX(0,$I$4-E187)))),2))</f>
        <v/>
      </c>
      <c r="H187" s="31" t="str">
        <f t="shared" si="23"/>
        <v/>
      </c>
      <c r="I187" s="31" t="str">
        <f t="shared" si="24"/>
        <v/>
      </c>
      <c r="J187" s="31" t="str">
        <f t="shared" si="25"/>
        <v/>
      </c>
      <c r="K187" s="31" t="str">
        <f t="shared" si="26"/>
        <v/>
      </c>
      <c r="L187" s="1"/>
      <c r="M187" s="1"/>
      <c r="N187" s="1"/>
      <c r="O187" s="1"/>
    </row>
    <row r="188" spans="1:15" ht="23" customHeight="1">
      <c r="A188" s="1"/>
      <c r="B188" s="29" t="str">
        <f t="shared" si="27"/>
        <v/>
      </c>
      <c r="C188" s="30" t="str">
        <f>IF(B188="","",EDATE(Simulatie!$C$14,B188-1))</f>
        <v/>
      </c>
      <c r="D188" s="31" t="str">
        <f t="shared" si="28"/>
        <v/>
      </c>
      <c r="E188" s="31" t="str">
        <f t="shared" si="21"/>
        <v/>
      </c>
      <c r="F188" s="31" t="str">
        <f t="shared" si="22"/>
        <v/>
      </c>
      <c r="G188" s="32" t="str">
        <f>IF(B188="","",ROUND(IF(AND(B188=$F$4,$I$5=0),D188-MIN($F$5,D188),IF(Simulatie!$C$13="Lineair",MIN(D188,Simulatie!$C$25),MIN(D188,MAX(0,$I$4-E188)))),2))</f>
        <v/>
      </c>
      <c r="H188" s="31" t="str">
        <f t="shared" si="23"/>
        <v/>
      </c>
      <c r="I188" s="31" t="str">
        <f t="shared" si="24"/>
        <v/>
      </c>
      <c r="J188" s="31" t="str">
        <f t="shared" si="25"/>
        <v/>
      </c>
      <c r="K188" s="31" t="str">
        <f t="shared" si="26"/>
        <v/>
      </c>
      <c r="L188" s="1"/>
      <c r="M188" s="1"/>
      <c r="N188" s="1"/>
      <c r="O188" s="1"/>
    </row>
    <row r="189" spans="1:15" ht="23" customHeight="1">
      <c r="A189" s="1"/>
      <c r="B189" s="29" t="str">
        <f t="shared" si="27"/>
        <v/>
      </c>
      <c r="C189" s="30" t="str">
        <f>IF(B189="","",EDATE(Simulatie!$C$14,B189-1))</f>
        <v/>
      </c>
      <c r="D189" s="31" t="str">
        <f t="shared" si="28"/>
        <v/>
      </c>
      <c r="E189" s="31" t="str">
        <f t="shared" si="21"/>
        <v/>
      </c>
      <c r="F189" s="31" t="str">
        <f t="shared" si="22"/>
        <v/>
      </c>
      <c r="G189" s="32" t="str">
        <f>IF(B189="","",ROUND(IF(AND(B189=$F$4,$I$5=0),D189-MIN($F$5,D189),IF(Simulatie!$C$13="Lineair",MIN(D189,Simulatie!$C$25),MIN(D189,MAX(0,$I$4-E189)))),2))</f>
        <v/>
      </c>
      <c r="H189" s="31" t="str">
        <f t="shared" si="23"/>
        <v/>
      </c>
      <c r="I189" s="31" t="str">
        <f t="shared" si="24"/>
        <v/>
      </c>
      <c r="J189" s="31" t="str">
        <f t="shared" si="25"/>
        <v/>
      </c>
      <c r="K189" s="31" t="str">
        <f t="shared" si="26"/>
        <v/>
      </c>
      <c r="L189" s="1"/>
      <c r="M189" s="1"/>
      <c r="N189" s="1"/>
      <c r="O189" s="1"/>
    </row>
    <row r="190" spans="1:15" ht="23" customHeight="1">
      <c r="A190" s="1"/>
      <c r="B190" s="29" t="str">
        <f t="shared" si="27"/>
        <v/>
      </c>
      <c r="C190" s="30" t="str">
        <f>IF(B190="","",EDATE(Simulatie!$C$14,B190-1))</f>
        <v/>
      </c>
      <c r="D190" s="31" t="str">
        <f t="shared" si="28"/>
        <v/>
      </c>
      <c r="E190" s="31" t="str">
        <f t="shared" si="21"/>
        <v/>
      </c>
      <c r="F190" s="31" t="str">
        <f t="shared" si="22"/>
        <v/>
      </c>
      <c r="G190" s="32" t="str">
        <f>IF(B190="","",ROUND(IF(AND(B190=$F$4,$I$5=0),D190-MIN($F$5,D190),IF(Simulatie!$C$13="Lineair",MIN(D190,Simulatie!$C$25),MIN(D190,MAX(0,$I$4-E190)))),2))</f>
        <v/>
      </c>
      <c r="H190" s="31" t="str">
        <f t="shared" si="23"/>
        <v/>
      </c>
      <c r="I190" s="31" t="str">
        <f t="shared" si="24"/>
        <v/>
      </c>
      <c r="J190" s="31" t="str">
        <f t="shared" si="25"/>
        <v/>
      </c>
      <c r="K190" s="31" t="str">
        <f t="shared" si="26"/>
        <v/>
      </c>
      <c r="L190" s="1"/>
      <c r="M190" s="1"/>
      <c r="N190" s="1"/>
      <c r="O190" s="1"/>
    </row>
    <row r="191" spans="1:15" ht="23" customHeight="1">
      <c r="A191" s="1"/>
      <c r="B191" s="29" t="str">
        <f t="shared" si="27"/>
        <v/>
      </c>
      <c r="C191" s="30" t="str">
        <f>IF(B191="","",EDATE(Simulatie!$C$14,B191-1))</f>
        <v/>
      </c>
      <c r="D191" s="31" t="str">
        <f t="shared" si="28"/>
        <v/>
      </c>
      <c r="E191" s="31" t="str">
        <f t="shared" si="21"/>
        <v/>
      </c>
      <c r="F191" s="31" t="str">
        <f t="shared" si="22"/>
        <v/>
      </c>
      <c r="G191" s="32" t="str">
        <f>IF(B191="","",ROUND(IF(AND(B191=$F$4,$I$5=0),D191-MIN($F$5,D191),IF(Simulatie!$C$13="Lineair",MIN(D191,Simulatie!$C$25),MIN(D191,MAX(0,$I$4-E191)))),2))</f>
        <v/>
      </c>
      <c r="H191" s="31" t="str">
        <f t="shared" si="23"/>
        <v/>
      </c>
      <c r="I191" s="31" t="str">
        <f t="shared" si="24"/>
        <v/>
      </c>
      <c r="J191" s="31" t="str">
        <f t="shared" si="25"/>
        <v/>
      </c>
      <c r="K191" s="31" t="str">
        <f t="shared" si="26"/>
        <v/>
      </c>
      <c r="L191" s="1"/>
      <c r="M191" s="1"/>
      <c r="N191" s="1"/>
      <c r="O191" s="1"/>
    </row>
    <row r="192" spans="1:15" ht="23" customHeight="1">
      <c r="A192" s="1"/>
      <c r="B192" s="29" t="str">
        <f t="shared" si="27"/>
        <v/>
      </c>
      <c r="C192" s="30" t="str">
        <f>IF(B192="","",EDATE(Simulatie!$C$14,B192-1))</f>
        <v/>
      </c>
      <c r="D192" s="31" t="str">
        <f t="shared" si="28"/>
        <v/>
      </c>
      <c r="E192" s="31" t="str">
        <f t="shared" si="21"/>
        <v/>
      </c>
      <c r="F192" s="31" t="str">
        <f t="shared" si="22"/>
        <v/>
      </c>
      <c r="G192" s="32" t="str">
        <f>IF(B192="","",ROUND(IF(AND(B192=$F$4,$I$5=0),D192-MIN($F$5,D192),IF(Simulatie!$C$13="Lineair",MIN(D192,Simulatie!$C$25),MIN(D192,MAX(0,$I$4-E192)))),2))</f>
        <v/>
      </c>
      <c r="H192" s="31" t="str">
        <f t="shared" si="23"/>
        <v/>
      </c>
      <c r="I192" s="31" t="str">
        <f t="shared" si="24"/>
        <v/>
      </c>
      <c r="J192" s="31" t="str">
        <f t="shared" si="25"/>
        <v/>
      </c>
      <c r="K192" s="31" t="str">
        <f t="shared" si="26"/>
        <v/>
      </c>
      <c r="L192" s="1"/>
      <c r="M192" s="1"/>
      <c r="N192" s="1"/>
      <c r="O192" s="1"/>
    </row>
    <row r="193" spans="1:15" ht="23" customHeight="1">
      <c r="A193" s="1"/>
      <c r="B193" s="29" t="str">
        <f t="shared" si="27"/>
        <v/>
      </c>
      <c r="C193" s="30" t="str">
        <f>IF(B193="","",EDATE(Simulatie!$C$14,B193-1))</f>
        <v/>
      </c>
      <c r="D193" s="31" t="str">
        <f t="shared" si="28"/>
        <v/>
      </c>
      <c r="E193" s="31" t="str">
        <f t="shared" si="21"/>
        <v/>
      </c>
      <c r="F193" s="31" t="str">
        <f t="shared" si="22"/>
        <v/>
      </c>
      <c r="G193" s="32" t="str">
        <f>IF(B193="","",ROUND(IF(AND(B193=$F$4,$I$5=0),D193-MIN($F$5,D193),IF(Simulatie!$C$13="Lineair",MIN(D193,Simulatie!$C$25),MIN(D193,MAX(0,$I$4-E193)))),2))</f>
        <v/>
      </c>
      <c r="H193" s="31" t="str">
        <f t="shared" si="23"/>
        <v/>
      </c>
      <c r="I193" s="31" t="str">
        <f t="shared" si="24"/>
        <v/>
      </c>
      <c r="J193" s="31" t="str">
        <f t="shared" si="25"/>
        <v/>
      </c>
      <c r="K193" s="31" t="str">
        <f t="shared" si="26"/>
        <v/>
      </c>
      <c r="L193" s="1"/>
      <c r="M193" s="1"/>
      <c r="N193" s="1"/>
      <c r="O193" s="1"/>
    </row>
    <row r="194" spans="1:15" ht="23" customHeight="1">
      <c r="A194" s="1"/>
      <c r="B194" s="29" t="str">
        <f t="shared" si="27"/>
        <v/>
      </c>
      <c r="C194" s="30" t="str">
        <f>IF(B194="","",EDATE(Simulatie!$C$14,B194-1))</f>
        <v/>
      </c>
      <c r="D194" s="31" t="str">
        <f t="shared" si="28"/>
        <v/>
      </c>
      <c r="E194" s="31" t="str">
        <f t="shared" si="21"/>
        <v/>
      </c>
      <c r="F194" s="31" t="str">
        <f t="shared" si="22"/>
        <v/>
      </c>
      <c r="G194" s="32" t="str">
        <f>IF(B194="","",ROUND(IF(AND(B194=$F$4,$I$5=0),D194-MIN($F$5,D194),IF(Simulatie!$C$13="Lineair",MIN(D194,Simulatie!$C$25),MIN(D194,MAX(0,$I$4-E194)))),2))</f>
        <v/>
      </c>
      <c r="H194" s="31" t="str">
        <f t="shared" si="23"/>
        <v/>
      </c>
      <c r="I194" s="31" t="str">
        <f t="shared" si="24"/>
        <v/>
      </c>
      <c r="J194" s="31" t="str">
        <f t="shared" si="25"/>
        <v/>
      </c>
      <c r="K194" s="31" t="str">
        <f t="shared" si="26"/>
        <v/>
      </c>
      <c r="L194" s="1"/>
      <c r="M194" s="1"/>
      <c r="N194" s="1"/>
      <c r="O194" s="1"/>
    </row>
    <row r="195" spans="1:15" ht="23" customHeight="1">
      <c r="A195" s="1"/>
      <c r="B195" s="29" t="str">
        <f t="shared" si="27"/>
        <v/>
      </c>
      <c r="C195" s="30" t="str">
        <f>IF(B195="","",EDATE(Simulatie!$C$14,B195-1))</f>
        <v/>
      </c>
      <c r="D195" s="31" t="str">
        <f t="shared" si="28"/>
        <v/>
      </c>
      <c r="E195" s="31" t="str">
        <f t="shared" si="21"/>
        <v/>
      </c>
      <c r="F195" s="31" t="str">
        <f t="shared" si="22"/>
        <v/>
      </c>
      <c r="G195" s="32" t="str">
        <f>IF(B195="","",ROUND(IF(AND(B195=$F$4,$I$5=0),D195-MIN($F$5,D195),IF(Simulatie!$C$13="Lineair",MIN(D195,Simulatie!$C$25),MIN(D195,MAX(0,$I$4-E195)))),2))</f>
        <v/>
      </c>
      <c r="H195" s="31" t="str">
        <f t="shared" si="23"/>
        <v/>
      </c>
      <c r="I195" s="31" t="str">
        <f t="shared" si="24"/>
        <v/>
      </c>
      <c r="J195" s="31" t="str">
        <f t="shared" si="25"/>
        <v/>
      </c>
      <c r="K195" s="31" t="str">
        <f t="shared" si="26"/>
        <v/>
      </c>
      <c r="L195" s="1"/>
      <c r="M195" s="1"/>
      <c r="N195" s="1"/>
      <c r="O195" s="1"/>
    </row>
    <row r="196" spans="1:15" ht="23" customHeight="1">
      <c r="A196" s="1"/>
      <c r="B196" s="29" t="str">
        <f t="shared" si="27"/>
        <v/>
      </c>
      <c r="C196" s="30" t="str">
        <f>IF(B196="","",EDATE(Simulatie!$C$14,B196-1))</f>
        <v/>
      </c>
      <c r="D196" s="31" t="str">
        <f t="shared" si="28"/>
        <v/>
      </c>
      <c r="E196" s="31" t="str">
        <f t="shared" si="21"/>
        <v/>
      </c>
      <c r="F196" s="31" t="str">
        <f t="shared" si="22"/>
        <v/>
      </c>
      <c r="G196" s="32" t="str">
        <f>IF(B196="","",ROUND(IF(AND(B196=$F$4,$I$5=0),D196-MIN($F$5,D196),IF(Simulatie!$C$13="Lineair",MIN(D196,Simulatie!$C$25),MIN(D196,MAX(0,$I$4-E196)))),2))</f>
        <v/>
      </c>
      <c r="H196" s="31" t="str">
        <f t="shared" si="23"/>
        <v/>
      </c>
      <c r="I196" s="31" t="str">
        <f t="shared" si="24"/>
        <v/>
      </c>
      <c r="J196" s="31" t="str">
        <f t="shared" si="25"/>
        <v/>
      </c>
      <c r="K196" s="31" t="str">
        <f t="shared" si="26"/>
        <v/>
      </c>
      <c r="L196" s="1"/>
      <c r="M196" s="1"/>
      <c r="N196" s="1"/>
      <c r="O196" s="1"/>
    </row>
    <row r="197" spans="1:15" ht="23" customHeight="1">
      <c r="A197" s="1"/>
      <c r="B197" s="29" t="str">
        <f t="shared" si="27"/>
        <v/>
      </c>
      <c r="C197" s="30" t="str">
        <f>IF(B197="","",EDATE(Simulatie!$C$14,B197-1))</f>
        <v/>
      </c>
      <c r="D197" s="31" t="str">
        <f t="shared" si="28"/>
        <v/>
      </c>
      <c r="E197" s="31" t="str">
        <f t="shared" si="21"/>
        <v/>
      </c>
      <c r="F197" s="31" t="str">
        <f t="shared" si="22"/>
        <v/>
      </c>
      <c r="G197" s="32" t="str">
        <f>IF(B197="","",ROUND(IF(AND(B197=$F$4,$I$5=0),D197-MIN($F$5,D197),IF(Simulatie!$C$13="Lineair",MIN(D197,Simulatie!$C$25),MIN(D197,MAX(0,$I$4-E197)))),2))</f>
        <v/>
      </c>
      <c r="H197" s="31" t="str">
        <f t="shared" si="23"/>
        <v/>
      </c>
      <c r="I197" s="31" t="str">
        <f t="shared" si="24"/>
        <v/>
      </c>
      <c r="J197" s="31" t="str">
        <f t="shared" si="25"/>
        <v/>
      </c>
      <c r="K197" s="31" t="str">
        <f t="shared" si="26"/>
        <v/>
      </c>
      <c r="L197" s="1"/>
      <c r="M197" s="1"/>
      <c r="N197" s="1"/>
      <c r="O197" s="1"/>
    </row>
    <row r="198" spans="1:15" ht="23" customHeight="1">
      <c r="A198" s="1"/>
      <c r="B198" s="29" t="str">
        <f t="shared" si="27"/>
        <v/>
      </c>
      <c r="C198" s="30" t="str">
        <f>IF(B198="","",EDATE(Simulatie!$C$14,B198-1))</f>
        <v/>
      </c>
      <c r="D198" s="31" t="str">
        <f t="shared" si="28"/>
        <v/>
      </c>
      <c r="E198" s="31" t="str">
        <f t="shared" si="21"/>
        <v/>
      </c>
      <c r="F198" s="31" t="str">
        <f t="shared" si="22"/>
        <v/>
      </c>
      <c r="G198" s="32" t="str">
        <f>IF(B198="","",ROUND(IF(AND(B198=$F$4,$I$5=0),D198-MIN($F$5,D198),IF(Simulatie!$C$13="Lineair",MIN(D198,Simulatie!$C$25),MIN(D198,MAX(0,$I$4-E198)))),2))</f>
        <v/>
      </c>
      <c r="H198" s="31" t="str">
        <f t="shared" si="23"/>
        <v/>
      </c>
      <c r="I198" s="31" t="str">
        <f t="shared" si="24"/>
        <v/>
      </c>
      <c r="J198" s="31" t="str">
        <f t="shared" si="25"/>
        <v/>
      </c>
      <c r="K198" s="31" t="str">
        <f t="shared" si="26"/>
        <v/>
      </c>
      <c r="L198" s="1"/>
      <c r="M198" s="1"/>
      <c r="N198" s="1"/>
      <c r="O198" s="1"/>
    </row>
    <row r="199" spans="1:15" ht="23" customHeight="1">
      <c r="A199" s="1"/>
      <c r="B199" s="29" t="str">
        <f t="shared" si="27"/>
        <v/>
      </c>
      <c r="C199" s="30" t="str">
        <f>IF(B199="","",EDATE(Simulatie!$C$14,B199-1))</f>
        <v/>
      </c>
      <c r="D199" s="31" t="str">
        <f t="shared" si="28"/>
        <v/>
      </c>
      <c r="E199" s="31" t="str">
        <f t="shared" si="21"/>
        <v/>
      </c>
      <c r="F199" s="31" t="str">
        <f t="shared" si="22"/>
        <v/>
      </c>
      <c r="G199" s="32" t="str">
        <f>IF(B199="","",ROUND(IF(AND(B199=$F$4,$I$5=0),D199-MIN($F$5,D199),IF(Simulatie!$C$13="Lineair",MIN(D199,Simulatie!$C$25),MIN(D199,MAX(0,$I$4-E199)))),2))</f>
        <v/>
      </c>
      <c r="H199" s="31" t="str">
        <f t="shared" si="23"/>
        <v/>
      </c>
      <c r="I199" s="31" t="str">
        <f t="shared" si="24"/>
        <v/>
      </c>
      <c r="J199" s="31" t="str">
        <f t="shared" si="25"/>
        <v/>
      </c>
      <c r="K199" s="31" t="str">
        <f t="shared" si="26"/>
        <v/>
      </c>
      <c r="L199" s="1"/>
      <c r="M199" s="1"/>
      <c r="N199" s="1"/>
      <c r="O199" s="1"/>
    </row>
    <row r="200" spans="1:15" ht="23" customHeight="1">
      <c r="A200" s="1"/>
      <c r="B200" s="29" t="str">
        <f t="shared" si="27"/>
        <v/>
      </c>
      <c r="C200" s="30" t="str">
        <f>IF(B200="","",EDATE(Simulatie!$C$14,B200-1))</f>
        <v/>
      </c>
      <c r="D200" s="31" t="str">
        <f t="shared" si="28"/>
        <v/>
      </c>
      <c r="E200" s="31" t="str">
        <f t="shared" ref="E200:E263" si="29">IF(B200="","",ROUND(D200*$C$4,2))</f>
        <v/>
      </c>
      <c r="F200" s="31" t="str">
        <f t="shared" ref="F200:F263" si="30">IF(B200="","",ROUND(E200+G200,2))</f>
        <v/>
      </c>
      <c r="G200" s="32" t="str">
        <f>IF(B200="","",ROUND(IF(AND(B200=$F$4,$I$5=0),D200-MIN($F$5,D200),IF(Simulatie!$C$13="Lineair",MIN(D200,Simulatie!$C$25),MIN(D200,MAX(0,$I$4-E200)))),2))</f>
        <v/>
      </c>
      <c r="H200" s="31" t="str">
        <f t="shared" ref="H200:H263" si="31">IF(B200="","",ROUND(MIN($I$5,MAX(0,D200-G200)),2))</f>
        <v/>
      </c>
      <c r="I200" s="31" t="str">
        <f t="shared" ref="I200:I263" si="32">IF(B200="","",IF(B200=$F$4,ROUND(MAX(0,D200-G200-H200),2),0))</f>
        <v/>
      </c>
      <c r="J200" s="31" t="str">
        <f t="shared" ref="J200:J263" si="33">IF(B200="","",SUM(F200,H200:I200))</f>
        <v/>
      </c>
      <c r="K200" s="31" t="str">
        <f t="shared" ref="K200:K263" si="34">IF(B200="","",ROUND(MAX(0,D200-SUM(G200:I200)),2))</f>
        <v/>
      </c>
      <c r="L200" s="1"/>
      <c r="M200" s="1"/>
      <c r="N200" s="1"/>
      <c r="O200" s="1"/>
    </row>
    <row r="201" spans="1:15" ht="23" customHeight="1">
      <c r="A201" s="1"/>
      <c r="B201" s="29" t="str">
        <f t="shared" ref="B201:B264" si="35">IF(B200="","",IF(AND(K200&gt;0,B200&lt;$F$4),B200+1,""))</f>
        <v/>
      </c>
      <c r="C201" s="30" t="str">
        <f>IF(B201="","",EDATE(Simulatie!$C$14,B201-1))</f>
        <v/>
      </c>
      <c r="D201" s="31" t="str">
        <f t="shared" ref="D201:D264" si="36">IF(B201="","",K200)</f>
        <v/>
      </c>
      <c r="E201" s="31" t="str">
        <f t="shared" si="29"/>
        <v/>
      </c>
      <c r="F201" s="31" t="str">
        <f t="shared" si="30"/>
        <v/>
      </c>
      <c r="G201" s="32" t="str">
        <f>IF(B201="","",ROUND(IF(AND(B201=$F$4,$I$5=0),D201-MIN($F$5,D201),IF(Simulatie!$C$13="Lineair",MIN(D201,Simulatie!$C$25),MIN(D201,MAX(0,$I$4-E201)))),2))</f>
        <v/>
      </c>
      <c r="H201" s="31" t="str">
        <f t="shared" si="31"/>
        <v/>
      </c>
      <c r="I201" s="31" t="str">
        <f t="shared" si="32"/>
        <v/>
      </c>
      <c r="J201" s="31" t="str">
        <f t="shared" si="33"/>
        <v/>
      </c>
      <c r="K201" s="31" t="str">
        <f t="shared" si="34"/>
        <v/>
      </c>
      <c r="L201" s="1"/>
      <c r="M201" s="1"/>
      <c r="N201" s="1"/>
      <c r="O201" s="1"/>
    </row>
    <row r="202" spans="1:15" ht="23" customHeight="1">
      <c r="A202" s="1"/>
      <c r="B202" s="29" t="str">
        <f t="shared" si="35"/>
        <v/>
      </c>
      <c r="C202" s="30" t="str">
        <f>IF(B202="","",EDATE(Simulatie!$C$14,B202-1))</f>
        <v/>
      </c>
      <c r="D202" s="31" t="str">
        <f t="shared" si="36"/>
        <v/>
      </c>
      <c r="E202" s="31" t="str">
        <f t="shared" si="29"/>
        <v/>
      </c>
      <c r="F202" s="31" t="str">
        <f t="shared" si="30"/>
        <v/>
      </c>
      <c r="G202" s="32" t="str">
        <f>IF(B202="","",ROUND(IF(AND(B202=$F$4,$I$5=0),D202-MIN($F$5,D202),IF(Simulatie!$C$13="Lineair",MIN(D202,Simulatie!$C$25),MIN(D202,MAX(0,$I$4-E202)))),2))</f>
        <v/>
      </c>
      <c r="H202" s="31" t="str">
        <f t="shared" si="31"/>
        <v/>
      </c>
      <c r="I202" s="31" t="str">
        <f t="shared" si="32"/>
        <v/>
      </c>
      <c r="J202" s="31" t="str">
        <f t="shared" si="33"/>
        <v/>
      </c>
      <c r="K202" s="31" t="str">
        <f t="shared" si="34"/>
        <v/>
      </c>
      <c r="L202" s="1"/>
      <c r="M202" s="1"/>
      <c r="N202" s="1"/>
      <c r="O202" s="1"/>
    </row>
    <row r="203" spans="1:15" ht="23" customHeight="1">
      <c r="A203" s="1"/>
      <c r="B203" s="29" t="str">
        <f t="shared" si="35"/>
        <v/>
      </c>
      <c r="C203" s="30" t="str">
        <f>IF(B203="","",EDATE(Simulatie!$C$14,B203-1))</f>
        <v/>
      </c>
      <c r="D203" s="31" t="str">
        <f t="shared" si="36"/>
        <v/>
      </c>
      <c r="E203" s="31" t="str">
        <f t="shared" si="29"/>
        <v/>
      </c>
      <c r="F203" s="31" t="str">
        <f t="shared" si="30"/>
        <v/>
      </c>
      <c r="G203" s="32" t="str">
        <f>IF(B203="","",ROUND(IF(AND(B203=$F$4,$I$5=0),D203-MIN($F$5,D203),IF(Simulatie!$C$13="Lineair",MIN(D203,Simulatie!$C$25),MIN(D203,MAX(0,$I$4-E203)))),2))</f>
        <v/>
      </c>
      <c r="H203" s="31" t="str">
        <f t="shared" si="31"/>
        <v/>
      </c>
      <c r="I203" s="31" t="str">
        <f t="shared" si="32"/>
        <v/>
      </c>
      <c r="J203" s="31" t="str">
        <f t="shared" si="33"/>
        <v/>
      </c>
      <c r="K203" s="31" t="str">
        <f t="shared" si="34"/>
        <v/>
      </c>
      <c r="L203" s="1"/>
      <c r="M203" s="1"/>
      <c r="N203" s="1"/>
      <c r="O203" s="1"/>
    </row>
    <row r="204" spans="1:15" ht="23" customHeight="1">
      <c r="A204" s="1"/>
      <c r="B204" s="29" t="str">
        <f t="shared" si="35"/>
        <v/>
      </c>
      <c r="C204" s="30" t="str">
        <f>IF(B204="","",EDATE(Simulatie!$C$14,B204-1))</f>
        <v/>
      </c>
      <c r="D204" s="31" t="str">
        <f t="shared" si="36"/>
        <v/>
      </c>
      <c r="E204" s="31" t="str">
        <f t="shared" si="29"/>
        <v/>
      </c>
      <c r="F204" s="31" t="str">
        <f t="shared" si="30"/>
        <v/>
      </c>
      <c r="G204" s="32" t="str">
        <f>IF(B204="","",ROUND(IF(AND(B204=$F$4,$I$5=0),D204-MIN($F$5,D204),IF(Simulatie!$C$13="Lineair",MIN(D204,Simulatie!$C$25),MIN(D204,MAX(0,$I$4-E204)))),2))</f>
        <v/>
      </c>
      <c r="H204" s="31" t="str">
        <f t="shared" si="31"/>
        <v/>
      </c>
      <c r="I204" s="31" t="str">
        <f t="shared" si="32"/>
        <v/>
      </c>
      <c r="J204" s="31" t="str">
        <f t="shared" si="33"/>
        <v/>
      </c>
      <c r="K204" s="31" t="str">
        <f t="shared" si="34"/>
        <v/>
      </c>
      <c r="L204" s="1"/>
      <c r="M204" s="1"/>
      <c r="N204" s="1"/>
      <c r="O204" s="1"/>
    </row>
    <row r="205" spans="1:15" ht="23" customHeight="1">
      <c r="A205" s="1"/>
      <c r="B205" s="29" t="str">
        <f t="shared" si="35"/>
        <v/>
      </c>
      <c r="C205" s="30" t="str">
        <f>IF(B205="","",EDATE(Simulatie!$C$14,B205-1))</f>
        <v/>
      </c>
      <c r="D205" s="31" t="str">
        <f t="shared" si="36"/>
        <v/>
      </c>
      <c r="E205" s="31" t="str">
        <f t="shared" si="29"/>
        <v/>
      </c>
      <c r="F205" s="31" t="str">
        <f t="shared" si="30"/>
        <v/>
      </c>
      <c r="G205" s="32" t="str">
        <f>IF(B205="","",ROUND(IF(AND(B205=$F$4,$I$5=0),D205-MIN($F$5,D205),IF(Simulatie!$C$13="Lineair",MIN(D205,Simulatie!$C$25),MIN(D205,MAX(0,$I$4-E205)))),2))</f>
        <v/>
      </c>
      <c r="H205" s="31" t="str">
        <f t="shared" si="31"/>
        <v/>
      </c>
      <c r="I205" s="31" t="str">
        <f t="shared" si="32"/>
        <v/>
      </c>
      <c r="J205" s="31" t="str">
        <f t="shared" si="33"/>
        <v/>
      </c>
      <c r="K205" s="31" t="str">
        <f t="shared" si="34"/>
        <v/>
      </c>
      <c r="L205" s="1"/>
      <c r="M205" s="1"/>
      <c r="N205" s="1"/>
      <c r="O205" s="1"/>
    </row>
    <row r="206" spans="1:15" ht="23" customHeight="1">
      <c r="A206" s="1"/>
      <c r="B206" s="29" t="str">
        <f t="shared" si="35"/>
        <v/>
      </c>
      <c r="C206" s="30" t="str">
        <f>IF(B206="","",EDATE(Simulatie!$C$14,B206-1))</f>
        <v/>
      </c>
      <c r="D206" s="31" t="str">
        <f t="shared" si="36"/>
        <v/>
      </c>
      <c r="E206" s="31" t="str">
        <f t="shared" si="29"/>
        <v/>
      </c>
      <c r="F206" s="31" t="str">
        <f t="shared" si="30"/>
        <v/>
      </c>
      <c r="G206" s="32" t="str">
        <f>IF(B206="","",ROUND(IF(AND(B206=$F$4,$I$5=0),D206-MIN($F$5,D206),IF(Simulatie!$C$13="Lineair",MIN(D206,Simulatie!$C$25),MIN(D206,MAX(0,$I$4-E206)))),2))</f>
        <v/>
      </c>
      <c r="H206" s="31" t="str">
        <f t="shared" si="31"/>
        <v/>
      </c>
      <c r="I206" s="31" t="str">
        <f t="shared" si="32"/>
        <v/>
      </c>
      <c r="J206" s="31" t="str">
        <f t="shared" si="33"/>
        <v/>
      </c>
      <c r="K206" s="31" t="str">
        <f t="shared" si="34"/>
        <v/>
      </c>
      <c r="L206" s="1"/>
      <c r="M206" s="1"/>
      <c r="N206" s="1"/>
      <c r="O206" s="1"/>
    </row>
    <row r="207" spans="1:15" ht="23" customHeight="1">
      <c r="A207" s="1"/>
      <c r="B207" s="29" t="str">
        <f t="shared" si="35"/>
        <v/>
      </c>
      <c r="C207" s="30" t="str">
        <f>IF(B207="","",EDATE(Simulatie!$C$14,B207-1))</f>
        <v/>
      </c>
      <c r="D207" s="31" t="str">
        <f t="shared" si="36"/>
        <v/>
      </c>
      <c r="E207" s="31" t="str">
        <f t="shared" si="29"/>
        <v/>
      </c>
      <c r="F207" s="31" t="str">
        <f t="shared" si="30"/>
        <v/>
      </c>
      <c r="G207" s="32" t="str">
        <f>IF(B207="","",ROUND(IF(AND(B207=$F$4,$I$5=0),D207-MIN($F$5,D207),IF(Simulatie!$C$13="Lineair",MIN(D207,Simulatie!$C$25),MIN(D207,MAX(0,$I$4-E207)))),2))</f>
        <v/>
      </c>
      <c r="H207" s="31" t="str">
        <f t="shared" si="31"/>
        <v/>
      </c>
      <c r="I207" s="31" t="str">
        <f t="shared" si="32"/>
        <v/>
      </c>
      <c r="J207" s="31" t="str">
        <f t="shared" si="33"/>
        <v/>
      </c>
      <c r="K207" s="31" t="str">
        <f t="shared" si="34"/>
        <v/>
      </c>
      <c r="L207" s="1"/>
      <c r="M207" s="1"/>
      <c r="N207" s="1"/>
      <c r="O207" s="1"/>
    </row>
    <row r="208" spans="1:15" ht="23" customHeight="1">
      <c r="A208" s="1"/>
      <c r="B208" s="29" t="str">
        <f t="shared" si="35"/>
        <v/>
      </c>
      <c r="C208" s="30" t="str">
        <f>IF(B208="","",EDATE(Simulatie!$C$14,B208-1))</f>
        <v/>
      </c>
      <c r="D208" s="31" t="str">
        <f t="shared" si="36"/>
        <v/>
      </c>
      <c r="E208" s="31" t="str">
        <f t="shared" si="29"/>
        <v/>
      </c>
      <c r="F208" s="31" t="str">
        <f t="shared" si="30"/>
        <v/>
      </c>
      <c r="G208" s="32" t="str">
        <f>IF(B208="","",ROUND(IF(AND(B208=$F$4,$I$5=0),D208-MIN($F$5,D208),IF(Simulatie!$C$13="Lineair",MIN(D208,Simulatie!$C$25),MIN(D208,MAX(0,$I$4-E208)))),2))</f>
        <v/>
      </c>
      <c r="H208" s="31" t="str">
        <f t="shared" si="31"/>
        <v/>
      </c>
      <c r="I208" s="31" t="str">
        <f t="shared" si="32"/>
        <v/>
      </c>
      <c r="J208" s="31" t="str">
        <f t="shared" si="33"/>
        <v/>
      </c>
      <c r="K208" s="31" t="str">
        <f t="shared" si="34"/>
        <v/>
      </c>
      <c r="L208" s="1"/>
      <c r="M208" s="1"/>
      <c r="N208" s="1"/>
      <c r="O208" s="1"/>
    </row>
    <row r="209" spans="1:15" ht="23" customHeight="1">
      <c r="A209" s="1"/>
      <c r="B209" s="29" t="str">
        <f t="shared" si="35"/>
        <v/>
      </c>
      <c r="C209" s="30" t="str">
        <f>IF(B209="","",EDATE(Simulatie!$C$14,B209-1))</f>
        <v/>
      </c>
      <c r="D209" s="31" t="str">
        <f t="shared" si="36"/>
        <v/>
      </c>
      <c r="E209" s="31" t="str">
        <f t="shared" si="29"/>
        <v/>
      </c>
      <c r="F209" s="31" t="str">
        <f t="shared" si="30"/>
        <v/>
      </c>
      <c r="G209" s="32" t="str">
        <f>IF(B209="","",ROUND(IF(AND(B209=$F$4,$I$5=0),D209-MIN($F$5,D209),IF(Simulatie!$C$13="Lineair",MIN(D209,Simulatie!$C$25),MIN(D209,MAX(0,$I$4-E209)))),2))</f>
        <v/>
      </c>
      <c r="H209" s="31" t="str">
        <f t="shared" si="31"/>
        <v/>
      </c>
      <c r="I209" s="31" t="str">
        <f t="shared" si="32"/>
        <v/>
      </c>
      <c r="J209" s="31" t="str">
        <f t="shared" si="33"/>
        <v/>
      </c>
      <c r="K209" s="31" t="str">
        <f t="shared" si="34"/>
        <v/>
      </c>
      <c r="L209" s="1"/>
      <c r="M209" s="1"/>
      <c r="N209" s="1"/>
      <c r="O209" s="1"/>
    </row>
    <row r="210" spans="1:15" ht="23" customHeight="1">
      <c r="A210" s="1"/>
      <c r="B210" s="29" t="str">
        <f t="shared" si="35"/>
        <v/>
      </c>
      <c r="C210" s="30" t="str">
        <f>IF(B210="","",EDATE(Simulatie!$C$14,B210-1))</f>
        <v/>
      </c>
      <c r="D210" s="31" t="str">
        <f t="shared" si="36"/>
        <v/>
      </c>
      <c r="E210" s="31" t="str">
        <f t="shared" si="29"/>
        <v/>
      </c>
      <c r="F210" s="31" t="str">
        <f t="shared" si="30"/>
        <v/>
      </c>
      <c r="G210" s="32" t="str">
        <f>IF(B210="","",ROUND(IF(AND(B210=$F$4,$I$5=0),D210-MIN($F$5,D210),IF(Simulatie!$C$13="Lineair",MIN(D210,Simulatie!$C$25),MIN(D210,MAX(0,$I$4-E210)))),2))</f>
        <v/>
      </c>
      <c r="H210" s="31" t="str">
        <f t="shared" si="31"/>
        <v/>
      </c>
      <c r="I210" s="31" t="str">
        <f t="shared" si="32"/>
        <v/>
      </c>
      <c r="J210" s="31" t="str">
        <f t="shared" si="33"/>
        <v/>
      </c>
      <c r="K210" s="31" t="str">
        <f t="shared" si="34"/>
        <v/>
      </c>
      <c r="L210" s="1"/>
      <c r="M210" s="1"/>
      <c r="N210" s="1"/>
      <c r="O210" s="1"/>
    </row>
    <row r="211" spans="1:15" ht="23" customHeight="1">
      <c r="A211" s="1"/>
      <c r="B211" s="29" t="str">
        <f t="shared" si="35"/>
        <v/>
      </c>
      <c r="C211" s="30" t="str">
        <f>IF(B211="","",EDATE(Simulatie!$C$14,B211-1))</f>
        <v/>
      </c>
      <c r="D211" s="31" t="str">
        <f t="shared" si="36"/>
        <v/>
      </c>
      <c r="E211" s="31" t="str">
        <f t="shared" si="29"/>
        <v/>
      </c>
      <c r="F211" s="31" t="str">
        <f t="shared" si="30"/>
        <v/>
      </c>
      <c r="G211" s="32" t="str">
        <f>IF(B211="","",ROUND(IF(AND(B211=$F$4,$I$5=0),D211-MIN($F$5,D211),IF(Simulatie!$C$13="Lineair",MIN(D211,Simulatie!$C$25),MIN(D211,MAX(0,$I$4-E211)))),2))</f>
        <v/>
      </c>
      <c r="H211" s="31" t="str">
        <f t="shared" si="31"/>
        <v/>
      </c>
      <c r="I211" s="31" t="str">
        <f t="shared" si="32"/>
        <v/>
      </c>
      <c r="J211" s="31" t="str">
        <f t="shared" si="33"/>
        <v/>
      </c>
      <c r="K211" s="31" t="str">
        <f t="shared" si="34"/>
        <v/>
      </c>
      <c r="L211" s="1"/>
      <c r="M211" s="1"/>
      <c r="N211" s="1"/>
      <c r="O211" s="1"/>
    </row>
    <row r="212" spans="1:15" ht="23" customHeight="1">
      <c r="A212" s="1"/>
      <c r="B212" s="29" t="str">
        <f t="shared" si="35"/>
        <v/>
      </c>
      <c r="C212" s="30" t="str">
        <f>IF(B212="","",EDATE(Simulatie!$C$14,B212-1))</f>
        <v/>
      </c>
      <c r="D212" s="31" t="str">
        <f t="shared" si="36"/>
        <v/>
      </c>
      <c r="E212" s="31" t="str">
        <f t="shared" si="29"/>
        <v/>
      </c>
      <c r="F212" s="31" t="str">
        <f t="shared" si="30"/>
        <v/>
      </c>
      <c r="G212" s="32" t="str">
        <f>IF(B212="","",ROUND(IF(AND(B212=$F$4,$I$5=0),D212-MIN($F$5,D212),IF(Simulatie!$C$13="Lineair",MIN(D212,Simulatie!$C$25),MIN(D212,MAX(0,$I$4-E212)))),2))</f>
        <v/>
      </c>
      <c r="H212" s="31" t="str">
        <f t="shared" si="31"/>
        <v/>
      </c>
      <c r="I212" s="31" t="str">
        <f t="shared" si="32"/>
        <v/>
      </c>
      <c r="J212" s="31" t="str">
        <f t="shared" si="33"/>
        <v/>
      </c>
      <c r="K212" s="31" t="str">
        <f t="shared" si="34"/>
        <v/>
      </c>
      <c r="L212" s="1"/>
      <c r="M212" s="1"/>
      <c r="N212" s="1"/>
      <c r="O212" s="1"/>
    </row>
    <row r="213" spans="1:15" ht="23" customHeight="1">
      <c r="A213" s="1"/>
      <c r="B213" s="29" t="str">
        <f t="shared" si="35"/>
        <v/>
      </c>
      <c r="C213" s="30" t="str">
        <f>IF(B213="","",EDATE(Simulatie!$C$14,B213-1))</f>
        <v/>
      </c>
      <c r="D213" s="31" t="str">
        <f t="shared" si="36"/>
        <v/>
      </c>
      <c r="E213" s="31" t="str">
        <f t="shared" si="29"/>
        <v/>
      </c>
      <c r="F213" s="31" t="str">
        <f t="shared" si="30"/>
        <v/>
      </c>
      <c r="G213" s="32" t="str">
        <f>IF(B213="","",ROUND(IF(AND(B213=$F$4,$I$5=0),D213-MIN($F$5,D213),IF(Simulatie!$C$13="Lineair",MIN(D213,Simulatie!$C$25),MIN(D213,MAX(0,$I$4-E213)))),2))</f>
        <v/>
      </c>
      <c r="H213" s="31" t="str">
        <f t="shared" si="31"/>
        <v/>
      </c>
      <c r="I213" s="31" t="str">
        <f t="shared" si="32"/>
        <v/>
      </c>
      <c r="J213" s="31" t="str">
        <f t="shared" si="33"/>
        <v/>
      </c>
      <c r="K213" s="31" t="str">
        <f t="shared" si="34"/>
        <v/>
      </c>
      <c r="L213" s="1"/>
      <c r="M213" s="1"/>
      <c r="N213" s="1"/>
      <c r="O213" s="1"/>
    </row>
    <row r="214" spans="1:15" ht="23" customHeight="1">
      <c r="A214" s="1"/>
      <c r="B214" s="29" t="str">
        <f t="shared" si="35"/>
        <v/>
      </c>
      <c r="C214" s="30" t="str">
        <f>IF(B214="","",EDATE(Simulatie!$C$14,B214-1))</f>
        <v/>
      </c>
      <c r="D214" s="31" t="str">
        <f t="shared" si="36"/>
        <v/>
      </c>
      <c r="E214" s="31" t="str">
        <f t="shared" si="29"/>
        <v/>
      </c>
      <c r="F214" s="31" t="str">
        <f t="shared" si="30"/>
        <v/>
      </c>
      <c r="G214" s="32" t="str">
        <f>IF(B214="","",ROUND(IF(AND(B214=$F$4,$I$5=0),D214-MIN($F$5,D214),IF(Simulatie!$C$13="Lineair",MIN(D214,Simulatie!$C$25),MIN(D214,MAX(0,$I$4-E214)))),2))</f>
        <v/>
      </c>
      <c r="H214" s="31" t="str">
        <f t="shared" si="31"/>
        <v/>
      </c>
      <c r="I214" s="31" t="str">
        <f t="shared" si="32"/>
        <v/>
      </c>
      <c r="J214" s="31" t="str">
        <f t="shared" si="33"/>
        <v/>
      </c>
      <c r="K214" s="31" t="str">
        <f t="shared" si="34"/>
        <v/>
      </c>
      <c r="L214" s="1"/>
      <c r="M214" s="1"/>
      <c r="N214" s="1"/>
      <c r="O214" s="1"/>
    </row>
    <row r="215" spans="1:15" ht="23" customHeight="1">
      <c r="A215" s="1"/>
      <c r="B215" s="29" t="str">
        <f t="shared" si="35"/>
        <v/>
      </c>
      <c r="C215" s="30" t="str">
        <f>IF(B215="","",EDATE(Simulatie!$C$14,B215-1))</f>
        <v/>
      </c>
      <c r="D215" s="31" t="str">
        <f t="shared" si="36"/>
        <v/>
      </c>
      <c r="E215" s="31" t="str">
        <f t="shared" si="29"/>
        <v/>
      </c>
      <c r="F215" s="31" t="str">
        <f t="shared" si="30"/>
        <v/>
      </c>
      <c r="G215" s="32" t="str">
        <f>IF(B215="","",ROUND(IF(AND(B215=$F$4,$I$5=0),D215-MIN($F$5,D215),IF(Simulatie!$C$13="Lineair",MIN(D215,Simulatie!$C$25),MIN(D215,MAX(0,$I$4-E215)))),2))</f>
        <v/>
      </c>
      <c r="H215" s="31" t="str">
        <f t="shared" si="31"/>
        <v/>
      </c>
      <c r="I215" s="31" t="str">
        <f t="shared" si="32"/>
        <v/>
      </c>
      <c r="J215" s="31" t="str">
        <f t="shared" si="33"/>
        <v/>
      </c>
      <c r="K215" s="31" t="str">
        <f t="shared" si="34"/>
        <v/>
      </c>
      <c r="L215" s="1"/>
      <c r="M215" s="1"/>
      <c r="N215" s="1"/>
      <c r="O215" s="1"/>
    </row>
    <row r="216" spans="1:15" ht="23" customHeight="1">
      <c r="A216" s="1"/>
      <c r="B216" s="29" t="str">
        <f t="shared" si="35"/>
        <v/>
      </c>
      <c r="C216" s="30" t="str">
        <f>IF(B216="","",EDATE(Simulatie!$C$14,B216-1))</f>
        <v/>
      </c>
      <c r="D216" s="31" t="str">
        <f t="shared" si="36"/>
        <v/>
      </c>
      <c r="E216" s="31" t="str">
        <f t="shared" si="29"/>
        <v/>
      </c>
      <c r="F216" s="31" t="str">
        <f t="shared" si="30"/>
        <v/>
      </c>
      <c r="G216" s="32" t="str">
        <f>IF(B216="","",ROUND(IF(AND(B216=$F$4,$I$5=0),D216-MIN($F$5,D216),IF(Simulatie!$C$13="Lineair",MIN(D216,Simulatie!$C$25),MIN(D216,MAX(0,$I$4-E216)))),2))</f>
        <v/>
      </c>
      <c r="H216" s="31" t="str">
        <f t="shared" si="31"/>
        <v/>
      </c>
      <c r="I216" s="31" t="str">
        <f t="shared" si="32"/>
        <v/>
      </c>
      <c r="J216" s="31" t="str">
        <f t="shared" si="33"/>
        <v/>
      </c>
      <c r="K216" s="31" t="str">
        <f t="shared" si="34"/>
        <v/>
      </c>
      <c r="L216" s="1"/>
      <c r="M216" s="1"/>
      <c r="N216" s="1"/>
      <c r="O216" s="1"/>
    </row>
    <row r="217" spans="1:15" ht="23" customHeight="1">
      <c r="A217" s="1"/>
      <c r="B217" s="29" t="str">
        <f t="shared" si="35"/>
        <v/>
      </c>
      <c r="C217" s="30" t="str">
        <f>IF(B217="","",EDATE(Simulatie!$C$14,B217-1))</f>
        <v/>
      </c>
      <c r="D217" s="31" t="str">
        <f t="shared" si="36"/>
        <v/>
      </c>
      <c r="E217" s="31" t="str">
        <f t="shared" si="29"/>
        <v/>
      </c>
      <c r="F217" s="31" t="str">
        <f t="shared" si="30"/>
        <v/>
      </c>
      <c r="G217" s="32" t="str">
        <f>IF(B217="","",ROUND(IF(AND(B217=$F$4,$I$5=0),D217-MIN($F$5,D217),IF(Simulatie!$C$13="Lineair",MIN(D217,Simulatie!$C$25),MIN(D217,MAX(0,$I$4-E217)))),2))</f>
        <v/>
      </c>
      <c r="H217" s="31" t="str">
        <f t="shared" si="31"/>
        <v/>
      </c>
      <c r="I217" s="31" t="str">
        <f t="shared" si="32"/>
        <v/>
      </c>
      <c r="J217" s="31" t="str">
        <f t="shared" si="33"/>
        <v/>
      </c>
      <c r="K217" s="31" t="str">
        <f t="shared" si="34"/>
        <v/>
      </c>
      <c r="L217" s="1"/>
      <c r="M217" s="1"/>
      <c r="N217" s="1"/>
      <c r="O217" s="1"/>
    </row>
    <row r="218" spans="1:15" ht="23" customHeight="1">
      <c r="A218" s="1"/>
      <c r="B218" s="29" t="str">
        <f t="shared" si="35"/>
        <v/>
      </c>
      <c r="C218" s="30" t="str">
        <f>IF(B218="","",EDATE(Simulatie!$C$14,B218-1))</f>
        <v/>
      </c>
      <c r="D218" s="31" t="str">
        <f t="shared" si="36"/>
        <v/>
      </c>
      <c r="E218" s="31" t="str">
        <f t="shared" si="29"/>
        <v/>
      </c>
      <c r="F218" s="31" t="str">
        <f t="shared" si="30"/>
        <v/>
      </c>
      <c r="G218" s="32" t="str">
        <f>IF(B218="","",ROUND(IF(AND(B218=$F$4,$I$5=0),D218-MIN($F$5,D218),IF(Simulatie!$C$13="Lineair",MIN(D218,Simulatie!$C$25),MIN(D218,MAX(0,$I$4-E218)))),2))</f>
        <v/>
      </c>
      <c r="H218" s="31" t="str">
        <f t="shared" si="31"/>
        <v/>
      </c>
      <c r="I218" s="31" t="str">
        <f t="shared" si="32"/>
        <v/>
      </c>
      <c r="J218" s="31" t="str">
        <f t="shared" si="33"/>
        <v/>
      </c>
      <c r="K218" s="31" t="str">
        <f t="shared" si="34"/>
        <v/>
      </c>
      <c r="L218" s="1"/>
      <c r="M218" s="1"/>
      <c r="N218" s="1"/>
      <c r="O218" s="1"/>
    </row>
    <row r="219" spans="1:15" ht="23" customHeight="1">
      <c r="A219" s="1"/>
      <c r="B219" s="29" t="str">
        <f t="shared" si="35"/>
        <v/>
      </c>
      <c r="C219" s="30" t="str">
        <f>IF(B219="","",EDATE(Simulatie!$C$14,B219-1))</f>
        <v/>
      </c>
      <c r="D219" s="31" t="str">
        <f t="shared" si="36"/>
        <v/>
      </c>
      <c r="E219" s="31" t="str">
        <f t="shared" si="29"/>
        <v/>
      </c>
      <c r="F219" s="31" t="str">
        <f t="shared" si="30"/>
        <v/>
      </c>
      <c r="G219" s="32" t="str">
        <f>IF(B219="","",ROUND(IF(AND(B219=$F$4,$I$5=0),D219-MIN($F$5,D219),IF(Simulatie!$C$13="Lineair",MIN(D219,Simulatie!$C$25),MIN(D219,MAX(0,$I$4-E219)))),2))</f>
        <v/>
      </c>
      <c r="H219" s="31" t="str">
        <f t="shared" si="31"/>
        <v/>
      </c>
      <c r="I219" s="31" t="str">
        <f t="shared" si="32"/>
        <v/>
      </c>
      <c r="J219" s="31" t="str">
        <f t="shared" si="33"/>
        <v/>
      </c>
      <c r="K219" s="31" t="str">
        <f t="shared" si="34"/>
        <v/>
      </c>
      <c r="L219" s="1"/>
      <c r="M219" s="1"/>
      <c r="N219" s="1"/>
      <c r="O219" s="1"/>
    </row>
    <row r="220" spans="1:15" ht="23" customHeight="1">
      <c r="A220" s="1"/>
      <c r="B220" s="29" t="str">
        <f t="shared" si="35"/>
        <v/>
      </c>
      <c r="C220" s="30" t="str">
        <f>IF(B220="","",EDATE(Simulatie!$C$14,B220-1))</f>
        <v/>
      </c>
      <c r="D220" s="31" t="str">
        <f t="shared" si="36"/>
        <v/>
      </c>
      <c r="E220" s="31" t="str">
        <f t="shared" si="29"/>
        <v/>
      </c>
      <c r="F220" s="31" t="str">
        <f t="shared" si="30"/>
        <v/>
      </c>
      <c r="G220" s="32" t="str">
        <f>IF(B220="","",ROUND(IF(AND(B220=$F$4,$I$5=0),D220-MIN($F$5,D220),IF(Simulatie!$C$13="Lineair",MIN(D220,Simulatie!$C$25),MIN(D220,MAX(0,$I$4-E220)))),2))</f>
        <v/>
      </c>
      <c r="H220" s="31" t="str">
        <f t="shared" si="31"/>
        <v/>
      </c>
      <c r="I220" s="31" t="str">
        <f t="shared" si="32"/>
        <v/>
      </c>
      <c r="J220" s="31" t="str">
        <f t="shared" si="33"/>
        <v/>
      </c>
      <c r="K220" s="31" t="str">
        <f t="shared" si="34"/>
        <v/>
      </c>
      <c r="L220" s="1"/>
      <c r="M220" s="1"/>
      <c r="N220" s="1"/>
      <c r="O220" s="1"/>
    </row>
    <row r="221" spans="1:15" ht="23" customHeight="1">
      <c r="A221" s="1"/>
      <c r="B221" s="29" t="str">
        <f t="shared" si="35"/>
        <v/>
      </c>
      <c r="C221" s="30" t="str">
        <f>IF(B221="","",EDATE(Simulatie!$C$14,B221-1))</f>
        <v/>
      </c>
      <c r="D221" s="31" t="str">
        <f t="shared" si="36"/>
        <v/>
      </c>
      <c r="E221" s="31" t="str">
        <f t="shared" si="29"/>
        <v/>
      </c>
      <c r="F221" s="31" t="str">
        <f t="shared" si="30"/>
        <v/>
      </c>
      <c r="G221" s="32" t="str">
        <f>IF(B221="","",ROUND(IF(AND(B221=$F$4,$I$5=0),D221-MIN($F$5,D221),IF(Simulatie!$C$13="Lineair",MIN(D221,Simulatie!$C$25),MIN(D221,MAX(0,$I$4-E221)))),2))</f>
        <v/>
      </c>
      <c r="H221" s="31" t="str">
        <f t="shared" si="31"/>
        <v/>
      </c>
      <c r="I221" s="31" t="str">
        <f t="shared" si="32"/>
        <v/>
      </c>
      <c r="J221" s="31" t="str">
        <f t="shared" si="33"/>
        <v/>
      </c>
      <c r="K221" s="31" t="str">
        <f t="shared" si="34"/>
        <v/>
      </c>
      <c r="L221" s="1"/>
      <c r="M221" s="1"/>
      <c r="N221" s="1"/>
      <c r="O221" s="1"/>
    </row>
    <row r="222" spans="1:15" ht="23" customHeight="1">
      <c r="A222" s="1"/>
      <c r="B222" s="29" t="str">
        <f t="shared" si="35"/>
        <v/>
      </c>
      <c r="C222" s="30" t="str">
        <f>IF(B222="","",EDATE(Simulatie!$C$14,B222-1))</f>
        <v/>
      </c>
      <c r="D222" s="31" t="str">
        <f t="shared" si="36"/>
        <v/>
      </c>
      <c r="E222" s="31" t="str">
        <f t="shared" si="29"/>
        <v/>
      </c>
      <c r="F222" s="31" t="str">
        <f t="shared" si="30"/>
        <v/>
      </c>
      <c r="G222" s="32" t="str">
        <f>IF(B222="","",ROUND(IF(AND(B222=$F$4,$I$5=0),D222-MIN($F$5,D222),IF(Simulatie!$C$13="Lineair",MIN(D222,Simulatie!$C$25),MIN(D222,MAX(0,$I$4-E222)))),2))</f>
        <v/>
      </c>
      <c r="H222" s="31" t="str">
        <f t="shared" si="31"/>
        <v/>
      </c>
      <c r="I222" s="31" t="str">
        <f t="shared" si="32"/>
        <v/>
      </c>
      <c r="J222" s="31" t="str">
        <f t="shared" si="33"/>
        <v/>
      </c>
      <c r="K222" s="31" t="str">
        <f t="shared" si="34"/>
        <v/>
      </c>
      <c r="L222" s="1"/>
      <c r="M222" s="1"/>
      <c r="N222" s="1"/>
      <c r="O222" s="1"/>
    </row>
    <row r="223" spans="1:15" ht="23" customHeight="1">
      <c r="A223" s="1"/>
      <c r="B223" s="29" t="str">
        <f t="shared" si="35"/>
        <v/>
      </c>
      <c r="C223" s="30" t="str">
        <f>IF(B223="","",EDATE(Simulatie!$C$14,B223-1))</f>
        <v/>
      </c>
      <c r="D223" s="31" t="str">
        <f t="shared" si="36"/>
        <v/>
      </c>
      <c r="E223" s="31" t="str">
        <f t="shared" si="29"/>
        <v/>
      </c>
      <c r="F223" s="31" t="str">
        <f t="shared" si="30"/>
        <v/>
      </c>
      <c r="G223" s="32" t="str">
        <f>IF(B223="","",ROUND(IF(AND(B223=$F$4,$I$5=0),D223-MIN($F$5,D223),IF(Simulatie!$C$13="Lineair",MIN(D223,Simulatie!$C$25),MIN(D223,MAX(0,$I$4-E223)))),2))</f>
        <v/>
      </c>
      <c r="H223" s="31" t="str">
        <f t="shared" si="31"/>
        <v/>
      </c>
      <c r="I223" s="31" t="str">
        <f t="shared" si="32"/>
        <v/>
      </c>
      <c r="J223" s="31" t="str">
        <f t="shared" si="33"/>
        <v/>
      </c>
      <c r="K223" s="31" t="str">
        <f t="shared" si="34"/>
        <v/>
      </c>
      <c r="L223" s="1"/>
      <c r="M223" s="1"/>
      <c r="N223" s="1"/>
      <c r="O223" s="1"/>
    </row>
    <row r="224" spans="1:15" ht="23" customHeight="1">
      <c r="A224" s="1"/>
      <c r="B224" s="29" t="str">
        <f t="shared" si="35"/>
        <v/>
      </c>
      <c r="C224" s="30" t="str">
        <f>IF(B224="","",EDATE(Simulatie!$C$14,B224-1))</f>
        <v/>
      </c>
      <c r="D224" s="31" t="str">
        <f t="shared" si="36"/>
        <v/>
      </c>
      <c r="E224" s="31" t="str">
        <f t="shared" si="29"/>
        <v/>
      </c>
      <c r="F224" s="31" t="str">
        <f t="shared" si="30"/>
        <v/>
      </c>
      <c r="G224" s="32" t="str">
        <f>IF(B224="","",ROUND(IF(AND(B224=$F$4,$I$5=0),D224-MIN($F$5,D224),IF(Simulatie!$C$13="Lineair",MIN(D224,Simulatie!$C$25),MIN(D224,MAX(0,$I$4-E224)))),2))</f>
        <v/>
      </c>
      <c r="H224" s="31" t="str">
        <f t="shared" si="31"/>
        <v/>
      </c>
      <c r="I224" s="31" t="str">
        <f t="shared" si="32"/>
        <v/>
      </c>
      <c r="J224" s="31" t="str">
        <f t="shared" si="33"/>
        <v/>
      </c>
      <c r="K224" s="31" t="str">
        <f t="shared" si="34"/>
        <v/>
      </c>
      <c r="L224" s="1"/>
      <c r="M224" s="1"/>
      <c r="N224" s="1"/>
      <c r="O224" s="1"/>
    </row>
    <row r="225" spans="1:15" ht="23" customHeight="1">
      <c r="A225" s="1"/>
      <c r="B225" s="29" t="str">
        <f t="shared" si="35"/>
        <v/>
      </c>
      <c r="C225" s="30" t="str">
        <f>IF(B225="","",EDATE(Simulatie!$C$14,B225-1))</f>
        <v/>
      </c>
      <c r="D225" s="31" t="str">
        <f t="shared" si="36"/>
        <v/>
      </c>
      <c r="E225" s="31" t="str">
        <f t="shared" si="29"/>
        <v/>
      </c>
      <c r="F225" s="31" t="str">
        <f t="shared" si="30"/>
        <v/>
      </c>
      <c r="G225" s="32" t="str">
        <f>IF(B225="","",ROUND(IF(AND(B225=$F$4,$I$5=0),D225-MIN($F$5,D225),IF(Simulatie!$C$13="Lineair",MIN(D225,Simulatie!$C$25),MIN(D225,MAX(0,$I$4-E225)))),2))</f>
        <v/>
      </c>
      <c r="H225" s="31" t="str">
        <f t="shared" si="31"/>
        <v/>
      </c>
      <c r="I225" s="31" t="str">
        <f t="shared" si="32"/>
        <v/>
      </c>
      <c r="J225" s="31" t="str">
        <f t="shared" si="33"/>
        <v/>
      </c>
      <c r="K225" s="31" t="str">
        <f t="shared" si="34"/>
        <v/>
      </c>
      <c r="L225" s="1"/>
      <c r="M225" s="1"/>
      <c r="N225" s="1"/>
      <c r="O225" s="1"/>
    </row>
    <row r="226" spans="1:15" ht="23" customHeight="1">
      <c r="A226" s="1"/>
      <c r="B226" s="29" t="str">
        <f t="shared" si="35"/>
        <v/>
      </c>
      <c r="C226" s="30" t="str">
        <f>IF(B226="","",EDATE(Simulatie!$C$14,B226-1))</f>
        <v/>
      </c>
      <c r="D226" s="31" t="str">
        <f t="shared" si="36"/>
        <v/>
      </c>
      <c r="E226" s="31" t="str">
        <f t="shared" si="29"/>
        <v/>
      </c>
      <c r="F226" s="31" t="str">
        <f t="shared" si="30"/>
        <v/>
      </c>
      <c r="G226" s="32" t="str">
        <f>IF(B226="","",ROUND(IF(AND(B226=$F$4,$I$5=0),D226-MIN($F$5,D226),IF(Simulatie!$C$13="Lineair",MIN(D226,Simulatie!$C$25),MIN(D226,MAX(0,$I$4-E226)))),2))</f>
        <v/>
      </c>
      <c r="H226" s="31" t="str">
        <f t="shared" si="31"/>
        <v/>
      </c>
      <c r="I226" s="31" t="str">
        <f t="shared" si="32"/>
        <v/>
      </c>
      <c r="J226" s="31" t="str">
        <f t="shared" si="33"/>
        <v/>
      </c>
      <c r="K226" s="31" t="str">
        <f t="shared" si="34"/>
        <v/>
      </c>
      <c r="L226" s="1"/>
      <c r="M226" s="1"/>
      <c r="N226" s="1"/>
      <c r="O226" s="1"/>
    </row>
    <row r="227" spans="1:15" ht="23" customHeight="1">
      <c r="A227" s="1"/>
      <c r="B227" s="29" t="str">
        <f t="shared" si="35"/>
        <v/>
      </c>
      <c r="C227" s="30" t="str">
        <f>IF(B227="","",EDATE(Simulatie!$C$14,B227-1))</f>
        <v/>
      </c>
      <c r="D227" s="31" t="str">
        <f t="shared" si="36"/>
        <v/>
      </c>
      <c r="E227" s="31" t="str">
        <f t="shared" si="29"/>
        <v/>
      </c>
      <c r="F227" s="31" t="str">
        <f t="shared" si="30"/>
        <v/>
      </c>
      <c r="G227" s="32" t="str">
        <f>IF(B227="","",ROUND(IF(AND(B227=$F$4,$I$5=0),D227-MIN($F$5,D227),IF(Simulatie!$C$13="Lineair",MIN(D227,Simulatie!$C$25),MIN(D227,MAX(0,$I$4-E227)))),2))</f>
        <v/>
      </c>
      <c r="H227" s="31" t="str">
        <f t="shared" si="31"/>
        <v/>
      </c>
      <c r="I227" s="31" t="str">
        <f t="shared" si="32"/>
        <v/>
      </c>
      <c r="J227" s="31" t="str">
        <f t="shared" si="33"/>
        <v/>
      </c>
      <c r="K227" s="31" t="str">
        <f t="shared" si="34"/>
        <v/>
      </c>
      <c r="L227" s="1"/>
      <c r="M227" s="1"/>
      <c r="N227" s="1"/>
      <c r="O227" s="1"/>
    </row>
    <row r="228" spans="1:15" ht="23" customHeight="1">
      <c r="A228" s="1"/>
      <c r="B228" s="29" t="str">
        <f t="shared" si="35"/>
        <v/>
      </c>
      <c r="C228" s="30" t="str">
        <f>IF(B228="","",EDATE(Simulatie!$C$14,B228-1))</f>
        <v/>
      </c>
      <c r="D228" s="31" t="str">
        <f t="shared" si="36"/>
        <v/>
      </c>
      <c r="E228" s="31" t="str">
        <f t="shared" si="29"/>
        <v/>
      </c>
      <c r="F228" s="31" t="str">
        <f t="shared" si="30"/>
        <v/>
      </c>
      <c r="G228" s="32" t="str">
        <f>IF(B228="","",ROUND(IF(AND(B228=$F$4,$I$5=0),D228-MIN($F$5,D228),IF(Simulatie!$C$13="Lineair",MIN(D228,Simulatie!$C$25),MIN(D228,MAX(0,$I$4-E228)))),2))</f>
        <v/>
      </c>
      <c r="H228" s="31" t="str">
        <f t="shared" si="31"/>
        <v/>
      </c>
      <c r="I228" s="31" t="str">
        <f t="shared" si="32"/>
        <v/>
      </c>
      <c r="J228" s="31" t="str">
        <f t="shared" si="33"/>
        <v/>
      </c>
      <c r="K228" s="31" t="str">
        <f t="shared" si="34"/>
        <v/>
      </c>
      <c r="L228" s="1"/>
      <c r="M228" s="1"/>
      <c r="N228" s="1"/>
      <c r="O228" s="1"/>
    </row>
    <row r="229" spans="1:15" ht="23" customHeight="1">
      <c r="A229" s="1"/>
      <c r="B229" s="29" t="str">
        <f t="shared" si="35"/>
        <v/>
      </c>
      <c r="C229" s="30" t="str">
        <f>IF(B229="","",EDATE(Simulatie!$C$14,B229-1))</f>
        <v/>
      </c>
      <c r="D229" s="31" t="str">
        <f t="shared" si="36"/>
        <v/>
      </c>
      <c r="E229" s="31" t="str">
        <f t="shared" si="29"/>
        <v/>
      </c>
      <c r="F229" s="31" t="str">
        <f t="shared" si="30"/>
        <v/>
      </c>
      <c r="G229" s="32" t="str">
        <f>IF(B229="","",ROUND(IF(AND(B229=$F$4,$I$5=0),D229-MIN($F$5,D229),IF(Simulatie!$C$13="Lineair",MIN(D229,Simulatie!$C$25),MIN(D229,MAX(0,$I$4-E229)))),2))</f>
        <v/>
      </c>
      <c r="H229" s="31" t="str">
        <f t="shared" si="31"/>
        <v/>
      </c>
      <c r="I229" s="31" t="str">
        <f t="shared" si="32"/>
        <v/>
      </c>
      <c r="J229" s="31" t="str">
        <f t="shared" si="33"/>
        <v/>
      </c>
      <c r="K229" s="31" t="str">
        <f t="shared" si="34"/>
        <v/>
      </c>
      <c r="L229" s="1"/>
      <c r="M229" s="1"/>
      <c r="N229" s="1"/>
      <c r="O229" s="1"/>
    </row>
    <row r="230" spans="1:15" ht="23" customHeight="1">
      <c r="A230" s="1"/>
      <c r="B230" s="29" t="str">
        <f t="shared" si="35"/>
        <v/>
      </c>
      <c r="C230" s="30" t="str">
        <f>IF(B230="","",EDATE(Simulatie!$C$14,B230-1))</f>
        <v/>
      </c>
      <c r="D230" s="31" t="str">
        <f t="shared" si="36"/>
        <v/>
      </c>
      <c r="E230" s="31" t="str">
        <f t="shared" si="29"/>
        <v/>
      </c>
      <c r="F230" s="31" t="str">
        <f t="shared" si="30"/>
        <v/>
      </c>
      <c r="G230" s="32" t="str">
        <f>IF(B230="","",ROUND(IF(AND(B230=$F$4,$I$5=0),D230-MIN($F$5,D230),IF(Simulatie!$C$13="Lineair",MIN(D230,Simulatie!$C$25),MIN(D230,MAX(0,$I$4-E230)))),2))</f>
        <v/>
      </c>
      <c r="H230" s="31" t="str">
        <f t="shared" si="31"/>
        <v/>
      </c>
      <c r="I230" s="31" t="str">
        <f t="shared" si="32"/>
        <v/>
      </c>
      <c r="J230" s="31" t="str">
        <f t="shared" si="33"/>
        <v/>
      </c>
      <c r="K230" s="31" t="str">
        <f t="shared" si="34"/>
        <v/>
      </c>
      <c r="L230" s="1"/>
      <c r="M230" s="1"/>
      <c r="N230" s="1"/>
      <c r="O230" s="1"/>
    </row>
    <row r="231" spans="1:15" ht="23" customHeight="1">
      <c r="A231" s="1"/>
      <c r="B231" s="29" t="str">
        <f t="shared" si="35"/>
        <v/>
      </c>
      <c r="C231" s="30" t="str">
        <f>IF(B231="","",EDATE(Simulatie!$C$14,B231-1))</f>
        <v/>
      </c>
      <c r="D231" s="31" t="str">
        <f t="shared" si="36"/>
        <v/>
      </c>
      <c r="E231" s="31" t="str">
        <f t="shared" si="29"/>
        <v/>
      </c>
      <c r="F231" s="31" t="str">
        <f t="shared" si="30"/>
        <v/>
      </c>
      <c r="G231" s="32" t="str">
        <f>IF(B231="","",ROUND(IF(AND(B231=$F$4,$I$5=0),D231-MIN($F$5,D231),IF(Simulatie!$C$13="Lineair",MIN(D231,Simulatie!$C$25),MIN(D231,MAX(0,$I$4-E231)))),2))</f>
        <v/>
      </c>
      <c r="H231" s="31" t="str">
        <f t="shared" si="31"/>
        <v/>
      </c>
      <c r="I231" s="31" t="str">
        <f t="shared" si="32"/>
        <v/>
      </c>
      <c r="J231" s="31" t="str">
        <f t="shared" si="33"/>
        <v/>
      </c>
      <c r="K231" s="31" t="str">
        <f t="shared" si="34"/>
        <v/>
      </c>
      <c r="L231" s="1"/>
      <c r="M231" s="1"/>
      <c r="N231" s="1"/>
      <c r="O231" s="1"/>
    </row>
    <row r="232" spans="1:15" ht="23" customHeight="1">
      <c r="A232" s="1"/>
      <c r="B232" s="29" t="str">
        <f t="shared" si="35"/>
        <v/>
      </c>
      <c r="C232" s="30" t="str">
        <f>IF(B232="","",EDATE(Simulatie!$C$14,B232-1))</f>
        <v/>
      </c>
      <c r="D232" s="31" t="str">
        <f t="shared" si="36"/>
        <v/>
      </c>
      <c r="E232" s="31" t="str">
        <f t="shared" si="29"/>
        <v/>
      </c>
      <c r="F232" s="31" t="str">
        <f t="shared" si="30"/>
        <v/>
      </c>
      <c r="G232" s="32" t="str">
        <f>IF(B232="","",ROUND(IF(AND(B232=$F$4,$I$5=0),D232-MIN($F$5,D232),IF(Simulatie!$C$13="Lineair",MIN(D232,Simulatie!$C$25),MIN(D232,MAX(0,$I$4-E232)))),2))</f>
        <v/>
      </c>
      <c r="H232" s="31" t="str">
        <f t="shared" si="31"/>
        <v/>
      </c>
      <c r="I232" s="31" t="str">
        <f t="shared" si="32"/>
        <v/>
      </c>
      <c r="J232" s="31" t="str">
        <f t="shared" si="33"/>
        <v/>
      </c>
      <c r="K232" s="31" t="str">
        <f t="shared" si="34"/>
        <v/>
      </c>
      <c r="L232" s="1"/>
      <c r="M232" s="1"/>
      <c r="N232" s="1"/>
      <c r="O232" s="1"/>
    </row>
    <row r="233" spans="1:15" ht="23" customHeight="1">
      <c r="A233" s="1"/>
      <c r="B233" s="29" t="str">
        <f t="shared" si="35"/>
        <v/>
      </c>
      <c r="C233" s="30" t="str">
        <f>IF(B233="","",EDATE(Simulatie!$C$14,B233-1))</f>
        <v/>
      </c>
      <c r="D233" s="31" t="str">
        <f t="shared" si="36"/>
        <v/>
      </c>
      <c r="E233" s="31" t="str">
        <f t="shared" si="29"/>
        <v/>
      </c>
      <c r="F233" s="31" t="str">
        <f t="shared" si="30"/>
        <v/>
      </c>
      <c r="G233" s="32" t="str">
        <f>IF(B233="","",ROUND(IF(AND(B233=$F$4,$I$5=0),D233-MIN($F$5,D233),IF(Simulatie!$C$13="Lineair",MIN(D233,Simulatie!$C$25),MIN(D233,MAX(0,$I$4-E233)))),2))</f>
        <v/>
      </c>
      <c r="H233" s="31" t="str">
        <f t="shared" si="31"/>
        <v/>
      </c>
      <c r="I233" s="31" t="str">
        <f t="shared" si="32"/>
        <v/>
      </c>
      <c r="J233" s="31" t="str">
        <f t="shared" si="33"/>
        <v/>
      </c>
      <c r="K233" s="31" t="str">
        <f t="shared" si="34"/>
        <v/>
      </c>
      <c r="L233" s="1"/>
      <c r="M233" s="1"/>
      <c r="N233" s="1"/>
      <c r="O233" s="1"/>
    </row>
    <row r="234" spans="1:15" ht="23" customHeight="1">
      <c r="A234" s="1"/>
      <c r="B234" s="29" t="str">
        <f t="shared" si="35"/>
        <v/>
      </c>
      <c r="C234" s="30" t="str">
        <f>IF(B234="","",EDATE(Simulatie!$C$14,B234-1))</f>
        <v/>
      </c>
      <c r="D234" s="31" t="str">
        <f t="shared" si="36"/>
        <v/>
      </c>
      <c r="E234" s="31" t="str">
        <f t="shared" si="29"/>
        <v/>
      </c>
      <c r="F234" s="31" t="str">
        <f t="shared" si="30"/>
        <v/>
      </c>
      <c r="G234" s="32" t="str">
        <f>IF(B234="","",ROUND(IF(AND(B234=$F$4,$I$5=0),D234-MIN($F$5,D234),IF(Simulatie!$C$13="Lineair",MIN(D234,Simulatie!$C$25),MIN(D234,MAX(0,$I$4-E234)))),2))</f>
        <v/>
      </c>
      <c r="H234" s="31" t="str">
        <f t="shared" si="31"/>
        <v/>
      </c>
      <c r="I234" s="31" t="str">
        <f t="shared" si="32"/>
        <v/>
      </c>
      <c r="J234" s="31" t="str">
        <f t="shared" si="33"/>
        <v/>
      </c>
      <c r="K234" s="31" t="str">
        <f t="shared" si="34"/>
        <v/>
      </c>
      <c r="L234" s="1"/>
      <c r="M234" s="1"/>
      <c r="N234" s="1"/>
      <c r="O234" s="1"/>
    </row>
    <row r="235" spans="1:15" ht="23" customHeight="1">
      <c r="A235" s="1"/>
      <c r="B235" s="29" t="str">
        <f t="shared" si="35"/>
        <v/>
      </c>
      <c r="C235" s="30" t="str">
        <f>IF(B235="","",EDATE(Simulatie!$C$14,B235-1))</f>
        <v/>
      </c>
      <c r="D235" s="31" t="str">
        <f t="shared" si="36"/>
        <v/>
      </c>
      <c r="E235" s="31" t="str">
        <f t="shared" si="29"/>
        <v/>
      </c>
      <c r="F235" s="31" t="str">
        <f t="shared" si="30"/>
        <v/>
      </c>
      <c r="G235" s="32" t="str">
        <f>IF(B235="","",ROUND(IF(AND(B235=$F$4,$I$5=0),D235-MIN($F$5,D235),IF(Simulatie!$C$13="Lineair",MIN(D235,Simulatie!$C$25),MIN(D235,MAX(0,$I$4-E235)))),2))</f>
        <v/>
      </c>
      <c r="H235" s="31" t="str">
        <f t="shared" si="31"/>
        <v/>
      </c>
      <c r="I235" s="31" t="str">
        <f t="shared" si="32"/>
        <v/>
      </c>
      <c r="J235" s="31" t="str">
        <f t="shared" si="33"/>
        <v/>
      </c>
      <c r="K235" s="31" t="str">
        <f t="shared" si="34"/>
        <v/>
      </c>
      <c r="L235" s="1"/>
      <c r="M235" s="1"/>
      <c r="N235" s="1"/>
      <c r="O235" s="1"/>
    </row>
    <row r="236" spans="1:15" ht="23" customHeight="1">
      <c r="A236" s="1"/>
      <c r="B236" s="29" t="str">
        <f t="shared" si="35"/>
        <v/>
      </c>
      <c r="C236" s="30" t="str">
        <f>IF(B236="","",EDATE(Simulatie!$C$14,B236-1))</f>
        <v/>
      </c>
      <c r="D236" s="31" t="str">
        <f t="shared" si="36"/>
        <v/>
      </c>
      <c r="E236" s="31" t="str">
        <f t="shared" si="29"/>
        <v/>
      </c>
      <c r="F236" s="31" t="str">
        <f t="shared" si="30"/>
        <v/>
      </c>
      <c r="G236" s="32" t="str">
        <f>IF(B236="","",ROUND(IF(AND(B236=$F$4,$I$5=0),D236-MIN($F$5,D236),IF(Simulatie!$C$13="Lineair",MIN(D236,Simulatie!$C$25),MIN(D236,MAX(0,$I$4-E236)))),2))</f>
        <v/>
      </c>
      <c r="H236" s="31" t="str">
        <f t="shared" si="31"/>
        <v/>
      </c>
      <c r="I236" s="31" t="str">
        <f t="shared" si="32"/>
        <v/>
      </c>
      <c r="J236" s="31" t="str">
        <f t="shared" si="33"/>
        <v/>
      </c>
      <c r="K236" s="31" t="str">
        <f t="shared" si="34"/>
        <v/>
      </c>
      <c r="L236" s="1"/>
      <c r="M236" s="1"/>
      <c r="N236" s="1"/>
      <c r="O236" s="1"/>
    </row>
    <row r="237" spans="1:15" ht="23" customHeight="1">
      <c r="A237" s="1"/>
      <c r="B237" s="29" t="str">
        <f t="shared" si="35"/>
        <v/>
      </c>
      <c r="C237" s="30" t="str">
        <f>IF(B237="","",EDATE(Simulatie!$C$14,B237-1))</f>
        <v/>
      </c>
      <c r="D237" s="31" t="str">
        <f t="shared" si="36"/>
        <v/>
      </c>
      <c r="E237" s="31" t="str">
        <f t="shared" si="29"/>
        <v/>
      </c>
      <c r="F237" s="31" t="str">
        <f t="shared" si="30"/>
        <v/>
      </c>
      <c r="G237" s="32" t="str">
        <f>IF(B237="","",ROUND(IF(AND(B237=$F$4,$I$5=0),D237-MIN($F$5,D237),IF(Simulatie!$C$13="Lineair",MIN(D237,Simulatie!$C$25),MIN(D237,MAX(0,$I$4-E237)))),2))</f>
        <v/>
      </c>
      <c r="H237" s="31" t="str">
        <f t="shared" si="31"/>
        <v/>
      </c>
      <c r="I237" s="31" t="str">
        <f t="shared" si="32"/>
        <v/>
      </c>
      <c r="J237" s="31" t="str">
        <f t="shared" si="33"/>
        <v/>
      </c>
      <c r="K237" s="31" t="str">
        <f t="shared" si="34"/>
        <v/>
      </c>
      <c r="L237" s="1"/>
      <c r="M237" s="1"/>
      <c r="N237" s="1"/>
      <c r="O237" s="1"/>
    </row>
    <row r="238" spans="1:15" ht="23" customHeight="1">
      <c r="A238" s="1"/>
      <c r="B238" s="29" t="str">
        <f t="shared" si="35"/>
        <v/>
      </c>
      <c r="C238" s="30" t="str">
        <f>IF(B238="","",EDATE(Simulatie!$C$14,B238-1))</f>
        <v/>
      </c>
      <c r="D238" s="31" t="str">
        <f t="shared" si="36"/>
        <v/>
      </c>
      <c r="E238" s="31" t="str">
        <f t="shared" si="29"/>
        <v/>
      </c>
      <c r="F238" s="31" t="str">
        <f t="shared" si="30"/>
        <v/>
      </c>
      <c r="G238" s="32" t="str">
        <f>IF(B238="","",ROUND(IF(AND(B238=$F$4,$I$5=0),D238-MIN($F$5,D238),IF(Simulatie!$C$13="Lineair",MIN(D238,Simulatie!$C$25),MIN(D238,MAX(0,$I$4-E238)))),2))</f>
        <v/>
      </c>
      <c r="H238" s="31" t="str">
        <f t="shared" si="31"/>
        <v/>
      </c>
      <c r="I238" s="31" t="str">
        <f t="shared" si="32"/>
        <v/>
      </c>
      <c r="J238" s="31" t="str">
        <f t="shared" si="33"/>
        <v/>
      </c>
      <c r="K238" s="31" t="str">
        <f t="shared" si="34"/>
        <v/>
      </c>
      <c r="L238" s="1"/>
      <c r="M238" s="1"/>
      <c r="N238" s="1"/>
      <c r="O238" s="1"/>
    </row>
    <row r="239" spans="1:15" ht="23" customHeight="1">
      <c r="A239" s="1"/>
      <c r="B239" s="29" t="str">
        <f t="shared" si="35"/>
        <v/>
      </c>
      <c r="C239" s="30" t="str">
        <f>IF(B239="","",EDATE(Simulatie!$C$14,B239-1))</f>
        <v/>
      </c>
      <c r="D239" s="31" t="str">
        <f t="shared" si="36"/>
        <v/>
      </c>
      <c r="E239" s="31" t="str">
        <f t="shared" si="29"/>
        <v/>
      </c>
      <c r="F239" s="31" t="str">
        <f t="shared" si="30"/>
        <v/>
      </c>
      <c r="G239" s="32" t="str">
        <f>IF(B239="","",ROUND(IF(AND(B239=$F$4,$I$5=0),D239-MIN($F$5,D239),IF(Simulatie!$C$13="Lineair",MIN(D239,Simulatie!$C$25),MIN(D239,MAX(0,$I$4-E239)))),2))</f>
        <v/>
      </c>
      <c r="H239" s="31" t="str">
        <f t="shared" si="31"/>
        <v/>
      </c>
      <c r="I239" s="31" t="str">
        <f t="shared" si="32"/>
        <v/>
      </c>
      <c r="J239" s="31" t="str">
        <f t="shared" si="33"/>
        <v/>
      </c>
      <c r="K239" s="31" t="str">
        <f t="shared" si="34"/>
        <v/>
      </c>
      <c r="L239" s="1"/>
      <c r="M239" s="1"/>
      <c r="N239" s="1"/>
      <c r="O239" s="1"/>
    </row>
    <row r="240" spans="1:15" ht="23" customHeight="1">
      <c r="A240" s="1"/>
      <c r="B240" s="29" t="str">
        <f t="shared" si="35"/>
        <v/>
      </c>
      <c r="C240" s="30" t="str">
        <f>IF(B240="","",EDATE(Simulatie!$C$14,B240-1))</f>
        <v/>
      </c>
      <c r="D240" s="31" t="str">
        <f t="shared" si="36"/>
        <v/>
      </c>
      <c r="E240" s="31" t="str">
        <f t="shared" si="29"/>
        <v/>
      </c>
      <c r="F240" s="31" t="str">
        <f t="shared" si="30"/>
        <v/>
      </c>
      <c r="G240" s="32" t="str">
        <f>IF(B240="","",ROUND(IF(AND(B240=$F$4,$I$5=0),D240-MIN($F$5,D240),IF(Simulatie!$C$13="Lineair",MIN(D240,Simulatie!$C$25),MIN(D240,MAX(0,$I$4-E240)))),2))</f>
        <v/>
      </c>
      <c r="H240" s="31" t="str">
        <f t="shared" si="31"/>
        <v/>
      </c>
      <c r="I240" s="31" t="str">
        <f t="shared" si="32"/>
        <v/>
      </c>
      <c r="J240" s="31" t="str">
        <f t="shared" si="33"/>
        <v/>
      </c>
      <c r="K240" s="31" t="str">
        <f t="shared" si="34"/>
        <v/>
      </c>
      <c r="L240" s="1"/>
      <c r="M240" s="1"/>
      <c r="N240" s="1"/>
      <c r="O240" s="1"/>
    </row>
    <row r="241" spans="1:15" ht="23" customHeight="1">
      <c r="A241" s="1"/>
      <c r="B241" s="29" t="str">
        <f t="shared" si="35"/>
        <v/>
      </c>
      <c r="C241" s="30" t="str">
        <f>IF(B241="","",EDATE(Simulatie!$C$14,B241-1))</f>
        <v/>
      </c>
      <c r="D241" s="31" t="str">
        <f t="shared" si="36"/>
        <v/>
      </c>
      <c r="E241" s="31" t="str">
        <f t="shared" si="29"/>
        <v/>
      </c>
      <c r="F241" s="31" t="str">
        <f t="shared" si="30"/>
        <v/>
      </c>
      <c r="G241" s="32" t="str">
        <f>IF(B241="","",ROUND(IF(AND(B241=$F$4,$I$5=0),D241-MIN($F$5,D241),IF(Simulatie!$C$13="Lineair",MIN(D241,Simulatie!$C$25),MIN(D241,MAX(0,$I$4-E241)))),2))</f>
        <v/>
      </c>
      <c r="H241" s="31" t="str">
        <f t="shared" si="31"/>
        <v/>
      </c>
      <c r="I241" s="31" t="str">
        <f t="shared" si="32"/>
        <v/>
      </c>
      <c r="J241" s="31" t="str">
        <f t="shared" si="33"/>
        <v/>
      </c>
      <c r="K241" s="31" t="str">
        <f t="shared" si="34"/>
        <v/>
      </c>
      <c r="L241" s="1"/>
      <c r="M241" s="1"/>
      <c r="N241" s="1"/>
      <c r="O241" s="1"/>
    </row>
    <row r="242" spans="1:15" ht="23" customHeight="1">
      <c r="A242" s="1"/>
      <c r="B242" s="29" t="str">
        <f t="shared" si="35"/>
        <v/>
      </c>
      <c r="C242" s="30" t="str">
        <f>IF(B242="","",EDATE(Simulatie!$C$14,B242-1))</f>
        <v/>
      </c>
      <c r="D242" s="31" t="str">
        <f t="shared" si="36"/>
        <v/>
      </c>
      <c r="E242" s="31" t="str">
        <f t="shared" si="29"/>
        <v/>
      </c>
      <c r="F242" s="31" t="str">
        <f t="shared" si="30"/>
        <v/>
      </c>
      <c r="G242" s="32" t="str">
        <f>IF(B242="","",ROUND(IF(AND(B242=$F$4,$I$5=0),D242-MIN($F$5,D242),IF(Simulatie!$C$13="Lineair",MIN(D242,Simulatie!$C$25),MIN(D242,MAX(0,$I$4-E242)))),2))</f>
        <v/>
      </c>
      <c r="H242" s="31" t="str">
        <f t="shared" si="31"/>
        <v/>
      </c>
      <c r="I242" s="31" t="str">
        <f t="shared" si="32"/>
        <v/>
      </c>
      <c r="J242" s="31" t="str">
        <f t="shared" si="33"/>
        <v/>
      </c>
      <c r="K242" s="31" t="str">
        <f t="shared" si="34"/>
        <v/>
      </c>
      <c r="L242" s="1"/>
      <c r="M242" s="1"/>
      <c r="N242" s="1"/>
      <c r="O242" s="1"/>
    </row>
    <row r="243" spans="1:15" ht="23" customHeight="1">
      <c r="A243" s="1"/>
      <c r="B243" s="29" t="str">
        <f t="shared" si="35"/>
        <v/>
      </c>
      <c r="C243" s="30" t="str">
        <f>IF(B243="","",EDATE(Simulatie!$C$14,B243-1))</f>
        <v/>
      </c>
      <c r="D243" s="31" t="str">
        <f t="shared" si="36"/>
        <v/>
      </c>
      <c r="E243" s="31" t="str">
        <f t="shared" si="29"/>
        <v/>
      </c>
      <c r="F243" s="31" t="str">
        <f t="shared" si="30"/>
        <v/>
      </c>
      <c r="G243" s="32" t="str">
        <f>IF(B243="","",ROUND(IF(AND(B243=$F$4,$I$5=0),D243-MIN($F$5,D243),IF(Simulatie!$C$13="Lineair",MIN(D243,Simulatie!$C$25),MIN(D243,MAX(0,$I$4-E243)))),2))</f>
        <v/>
      </c>
      <c r="H243" s="31" t="str">
        <f t="shared" si="31"/>
        <v/>
      </c>
      <c r="I243" s="31" t="str">
        <f t="shared" si="32"/>
        <v/>
      </c>
      <c r="J243" s="31" t="str">
        <f t="shared" si="33"/>
        <v/>
      </c>
      <c r="K243" s="31" t="str">
        <f t="shared" si="34"/>
        <v/>
      </c>
      <c r="L243" s="1"/>
      <c r="M243" s="1"/>
      <c r="N243" s="1"/>
      <c r="O243" s="1"/>
    </row>
    <row r="244" spans="1:15" ht="23" customHeight="1">
      <c r="A244" s="1"/>
      <c r="B244" s="29" t="str">
        <f t="shared" si="35"/>
        <v/>
      </c>
      <c r="C244" s="30" t="str">
        <f>IF(B244="","",EDATE(Simulatie!$C$14,B244-1))</f>
        <v/>
      </c>
      <c r="D244" s="31" t="str">
        <f t="shared" si="36"/>
        <v/>
      </c>
      <c r="E244" s="31" t="str">
        <f t="shared" si="29"/>
        <v/>
      </c>
      <c r="F244" s="31" t="str">
        <f t="shared" si="30"/>
        <v/>
      </c>
      <c r="G244" s="32" t="str">
        <f>IF(B244="","",ROUND(IF(AND(B244=$F$4,$I$5=0),D244-MIN($F$5,D244),IF(Simulatie!$C$13="Lineair",MIN(D244,Simulatie!$C$25),MIN(D244,MAX(0,$I$4-E244)))),2))</f>
        <v/>
      </c>
      <c r="H244" s="31" t="str">
        <f t="shared" si="31"/>
        <v/>
      </c>
      <c r="I244" s="31" t="str">
        <f t="shared" si="32"/>
        <v/>
      </c>
      <c r="J244" s="31" t="str">
        <f t="shared" si="33"/>
        <v/>
      </c>
      <c r="K244" s="31" t="str">
        <f t="shared" si="34"/>
        <v/>
      </c>
      <c r="L244" s="1"/>
      <c r="M244" s="1"/>
      <c r="N244" s="1"/>
      <c r="O244" s="1"/>
    </row>
    <row r="245" spans="1:15" ht="23" customHeight="1">
      <c r="A245" s="1"/>
      <c r="B245" s="29" t="str">
        <f t="shared" si="35"/>
        <v/>
      </c>
      <c r="C245" s="30" t="str">
        <f>IF(B245="","",EDATE(Simulatie!$C$14,B245-1))</f>
        <v/>
      </c>
      <c r="D245" s="31" t="str">
        <f t="shared" si="36"/>
        <v/>
      </c>
      <c r="E245" s="31" t="str">
        <f t="shared" si="29"/>
        <v/>
      </c>
      <c r="F245" s="31" t="str">
        <f t="shared" si="30"/>
        <v/>
      </c>
      <c r="G245" s="32" t="str">
        <f>IF(B245="","",ROUND(IF(AND(B245=$F$4,$I$5=0),D245-MIN($F$5,D245),IF(Simulatie!$C$13="Lineair",MIN(D245,Simulatie!$C$25),MIN(D245,MAX(0,$I$4-E245)))),2))</f>
        <v/>
      </c>
      <c r="H245" s="31" t="str">
        <f t="shared" si="31"/>
        <v/>
      </c>
      <c r="I245" s="31" t="str">
        <f t="shared" si="32"/>
        <v/>
      </c>
      <c r="J245" s="31" t="str">
        <f t="shared" si="33"/>
        <v/>
      </c>
      <c r="K245" s="31" t="str">
        <f t="shared" si="34"/>
        <v/>
      </c>
      <c r="L245" s="1"/>
      <c r="M245" s="1"/>
      <c r="N245" s="1"/>
      <c r="O245" s="1"/>
    </row>
    <row r="246" spans="1:15" ht="23" customHeight="1">
      <c r="A246" s="1"/>
      <c r="B246" s="29" t="str">
        <f t="shared" si="35"/>
        <v/>
      </c>
      <c r="C246" s="30" t="str">
        <f>IF(B246="","",EDATE(Simulatie!$C$14,B246-1))</f>
        <v/>
      </c>
      <c r="D246" s="31" t="str">
        <f t="shared" si="36"/>
        <v/>
      </c>
      <c r="E246" s="31" t="str">
        <f t="shared" si="29"/>
        <v/>
      </c>
      <c r="F246" s="31" t="str">
        <f t="shared" si="30"/>
        <v/>
      </c>
      <c r="G246" s="32" t="str">
        <f>IF(B246="","",ROUND(IF(AND(B246=$F$4,$I$5=0),D246-MIN($F$5,D246),IF(Simulatie!$C$13="Lineair",MIN(D246,Simulatie!$C$25),MIN(D246,MAX(0,$I$4-E246)))),2))</f>
        <v/>
      </c>
      <c r="H246" s="31" t="str">
        <f t="shared" si="31"/>
        <v/>
      </c>
      <c r="I246" s="31" t="str">
        <f t="shared" si="32"/>
        <v/>
      </c>
      <c r="J246" s="31" t="str">
        <f t="shared" si="33"/>
        <v/>
      </c>
      <c r="K246" s="31" t="str">
        <f t="shared" si="34"/>
        <v/>
      </c>
      <c r="L246" s="1"/>
      <c r="M246" s="1"/>
      <c r="N246" s="1"/>
      <c r="O246" s="1"/>
    </row>
    <row r="247" spans="1:15" ht="23" customHeight="1">
      <c r="A247" s="1"/>
      <c r="B247" s="29" t="str">
        <f t="shared" si="35"/>
        <v/>
      </c>
      <c r="C247" s="30" t="str">
        <f>IF(B247="","",EDATE(Simulatie!$C$14,B247-1))</f>
        <v/>
      </c>
      <c r="D247" s="31" t="str">
        <f t="shared" si="36"/>
        <v/>
      </c>
      <c r="E247" s="31" t="str">
        <f t="shared" si="29"/>
        <v/>
      </c>
      <c r="F247" s="31" t="str">
        <f t="shared" si="30"/>
        <v/>
      </c>
      <c r="G247" s="32" t="str">
        <f>IF(B247="","",ROUND(IF(AND(B247=$F$4,$I$5=0),D247-MIN($F$5,D247),IF(Simulatie!$C$13="Lineair",MIN(D247,Simulatie!$C$25),MIN(D247,MAX(0,$I$4-E247)))),2))</f>
        <v/>
      </c>
      <c r="H247" s="31" t="str">
        <f t="shared" si="31"/>
        <v/>
      </c>
      <c r="I247" s="31" t="str">
        <f t="shared" si="32"/>
        <v/>
      </c>
      <c r="J247" s="31" t="str">
        <f t="shared" si="33"/>
        <v/>
      </c>
      <c r="K247" s="31" t="str">
        <f t="shared" si="34"/>
        <v/>
      </c>
      <c r="L247" s="1"/>
      <c r="M247" s="1"/>
      <c r="N247" s="1"/>
      <c r="O247" s="1"/>
    </row>
    <row r="248" spans="1:15" ht="23" customHeight="1">
      <c r="A248" s="1"/>
      <c r="B248" s="29" t="str">
        <f t="shared" si="35"/>
        <v/>
      </c>
      <c r="C248" s="30" t="str">
        <f>IF(B248="","",EDATE(Simulatie!$C$14,B248-1))</f>
        <v/>
      </c>
      <c r="D248" s="31" t="str">
        <f t="shared" si="36"/>
        <v/>
      </c>
      <c r="E248" s="31" t="str">
        <f t="shared" si="29"/>
        <v/>
      </c>
      <c r="F248" s="31" t="str">
        <f t="shared" si="30"/>
        <v/>
      </c>
      <c r="G248" s="32" t="str">
        <f>IF(B248="","",ROUND(IF(AND(B248=$F$4,$I$5=0),D248-MIN($F$5,D248),IF(Simulatie!$C$13="Lineair",MIN(D248,Simulatie!$C$25),MIN(D248,MAX(0,$I$4-E248)))),2))</f>
        <v/>
      </c>
      <c r="H248" s="31" t="str">
        <f t="shared" si="31"/>
        <v/>
      </c>
      <c r="I248" s="31" t="str">
        <f t="shared" si="32"/>
        <v/>
      </c>
      <c r="J248" s="31" t="str">
        <f t="shared" si="33"/>
        <v/>
      </c>
      <c r="K248" s="31" t="str">
        <f t="shared" si="34"/>
        <v/>
      </c>
      <c r="L248" s="1"/>
      <c r="M248" s="1"/>
      <c r="N248" s="1"/>
      <c r="O248" s="1"/>
    </row>
    <row r="249" spans="1:15" ht="23" customHeight="1">
      <c r="A249" s="1"/>
      <c r="B249" s="29" t="str">
        <f t="shared" si="35"/>
        <v/>
      </c>
      <c r="C249" s="30" t="str">
        <f>IF(B249="","",EDATE(Simulatie!$C$14,B249-1))</f>
        <v/>
      </c>
      <c r="D249" s="31" t="str">
        <f t="shared" si="36"/>
        <v/>
      </c>
      <c r="E249" s="31" t="str">
        <f t="shared" si="29"/>
        <v/>
      </c>
      <c r="F249" s="31" t="str">
        <f t="shared" si="30"/>
        <v/>
      </c>
      <c r="G249" s="32" t="str">
        <f>IF(B249="","",ROUND(IF(AND(B249=$F$4,$I$5=0),D249-MIN($F$5,D249),IF(Simulatie!$C$13="Lineair",MIN(D249,Simulatie!$C$25),MIN(D249,MAX(0,$I$4-E249)))),2))</f>
        <v/>
      </c>
      <c r="H249" s="31" t="str">
        <f t="shared" si="31"/>
        <v/>
      </c>
      <c r="I249" s="31" t="str">
        <f t="shared" si="32"/>
        <v/>
      </c>
      <c r="J249" s="31" t="str">
        <f t="shared" si="33"/>
        <v/>
      </c>
      <c r="K249" s="31" t="str">
        <f t="shared" si="34"/>
        <v/>
      </c>
      <c r="L249" s="1"/>
      <c r="M249" s="1"/>
      <c r="N249" s="1"/>
      <c r="O249" s="1"/>
    </row>
    <row r="250" spans="1:15" ht="23" customHeight="1">
      <c r="A250" s="1"/>
      <c r="B250" s="29" t="str">
        <f t="shared" si="35"/>
        <v/>
      </c>
      <c r="C250" s="30" t="str">
        <f>IF(B250="","",EDATE(Simulatie!$C$14,B250-1))</f>
        <v/>
      </c>
      <c r="D250" s="31" t="str">
        <f t="shared" si="36"/>
        <v/>
      </c>
      <c r="E250" s="31" t="str">
        <f t="shared" si="29"/>
        <v/>
      </c>
      <c r="F250" s="31" t="str">
        <f t="shared" si="30"/>
        <v/>
      </c>
      <c r="G250" s="32" t="str">
        <f>IF(B250="","",ROUND(IF(AND(B250=$F$4,$I$5=0),D250-MIN($F$5,D250),IF(Simulatie!$C$13="Lineair",MIN(D250,Simulatie!$C$25),MIN(D250,MAX(0,$I$4-E250)))),2))</f>
        <v/>
      </c>
      <c r="H250" s="31" t="str">
        <f t="shared" si="31"/>
        <v/>
      </c>
      <c r="I250" s="31" t="str">
        <f t="shared" si="32"/>
        <v/>
      </c>
      <c r="J250" s="31" t="str">
        <f t="shared" si="33"/>
        <v/>
      </c>
      <c r="K250" s="31" t="str">
        <f t="shared" si="34"/>
        <v/>
      </c>
      <c r="L250" s="1"/>
      <c r="M250" s="1"/>
      <c r="N250" s="1"/>
      <c r="O250" s="1"/>
    </row>
    <row r="251" spans="1:15" ht="23" customHeight="1">
      <c r="A251" s="1"/>
      <c r="B251" s="29" t="str">
        <f t="shared" si="35"/>
        <v/>
      </c>
      <c r="C251" s="30" t="str">
        <f>IF(B251="","",EDATE(Simulatie!$C$14,B251-1))</f>
        <v/>
      </c>
      <c r="D251" s="31" t="str">
        <f t="shared" si="36"/>
        <v/>
      </c>
      <c r="E251" s="31" t="str">
        <f t="shared" si="29"/>
        <v/>
      </c>
      <c r="F251" s="31" t="str">
        <f t="shared" si="30"/>
        <v/>
      </c>
      <c r="G251" s="32" t="str">
        <f>IF(B251="","",ROUND(IF(AND(B251=$F$4,$I$5=0),D251-MIN($F$5,D251),IF(Simulatie!$C$13="Lineair",MIN(D251,Simulatie!$C$25),MIN(D251,MAX(0,$I$4-E251)))),2))</f>
        <v/>
      </c>
      <c r="H251" s="31" t="str">
        <f t="shared" si="31"/>
        <v/>
      </c>
      <c r="I251" s="31" t="str">
        <f t="shared" si="32"/>
        <v/>
      </c>
      <c r="J251" s="31" t="str">
        <f t="shared" si="33"/>
        <v/>
      </c>
      <c r="K251" s="31" t="str">
        <f t="shared" si="34"/>
        <v/>
      </c>
      <c r="L251" s="1"/>
      <c r="M251" s="1"/>
      <c r="N251" s="1"/>
      <c r="O251" s="1"/>
    </row>
    <row r="252" spans="1:15" ht="23" customHeight="1">
      <c r="A252" s="1"/>
      <c r="B252" s="29" t="str">
        <f t="shared" si="35"/>
        <v/>
      </c>
      <c r="C252" s="30" t="str">
        <f>IF(B252="","",EDATE(Simulatie!$C$14,B252-1))</f>
        <v/>
      </c>
      <c r="D252" s="31" t="str">
        <f t="shared" si="36"/>
        <v/>
      </c>
      <c r="E252" s="31" t="str">
        <f t="shared" si="29"/>
        <v/>
      </c>
      <c r="F252" s="31" t="str">
        <f t="shared" si="30"/>
        <v/>
      </c>
      <c r="G252" s="32" t="str">
        <f>IF(B252="","",ROUND(IF(AND(B252=$F$4,$I$5=0),D252-MIN($F$5,D252),IF(Simulatie!$C$13="Lineair",MIN(D252,Simulatie!$C$25),MIN(D252,MAX(0,$I$4-E252)))),2))</f>
        <v/>
      </c>
      <c r="H252" s="31" t="str">
        <f t="shared" si="31"/>
        <v/>
      </c>
      <c r="I252" s="31" t="str">
        <f t="shared" si="32"/>
        <v/>
      </c>
      <c r="J252" s="31" t="str">
        <f t="shared" si="33"/>
        <v/>
      </c>
      <c r="K252" s="31" t="str">
        <f t="shared" si="34"/>
        <v/>
      </c>
      <c r="L252" s="1"/>
      <c r="M252" s="1"/>
      <c r="N252" s="1"/>
      <c r="O252" s="1"/>
    </row>
    <row r="253" spans="1:15" ht="23" customHeight="1">
      <c r="A253" s="1"/>
      <c r="B253" s="29" t="str">
        <f t="shared" si="35"/>
        <v/>
      </c>
      <c r="C253" s="30" t="str">
        <f>IF(B253="","",EDATE(Simulatie!$C$14,B253-1))</f>
        <v/>
      </c>
      <c r="D253" s="31" t="str">
        <f t="shared" si="36"/>
        <v/>
      </c>
      <c r="E253" s="31" t="str">
        <f t="shared" si="29"/>
        <v/>
      </c>
      <c r="F253" s="31" t="str">
        <f t="shared" si="30"/>
        <v/>
      </c>
      <c r="G253" s="32" t="str">
        <f>IF(B253="","",ROUND(IF(AND(B253=$F$4,$I$5=0),D253-MIN($F$5,D253),IF(Simulatie!$C$13="Lineair",MIN(D253,Simulatie!$C$25),MIN(D253,MAX(0,$I$4-E253)))),2))</f>
        <v/>
      </c>
      <c r="H253" s="31" t="str">
        <f t="shared" si="31"/>
        <v/>
      </c>
      <c r="I253" s="31" t="str">
        <f t="shared" si="32"/>
        <v/>
      </c>
      <c r="J253" s="31" t="str">
        <f t="shared" si="33"/>
        <v/>
      </c>
      <c r="K253" s="31" t="str">
        <f t="shared" si="34"/>
        <v/>
      </c>
      <c r="L253" s="1"/>
      <c r="M253" s="1"/>
      <c r="N253" s="1"/>
      <c r="O253" s="1"/>
    </row>
    <row r="254" spans="1:15" ht="23" customHeight="1">
      <c r="A254" s="1"/>
      <c r="B254" s="29" t="str">
        <f t="shared" si="35"/>
        <v/>
      </c>
      <c r="C254" s="30" t="str">
        <f>IF(B254="","",EDATE(Simulatie!$C$14,B254-1))</f>
        <v/>
      </c>
      <c r="D254" s="31" t="str">
        <f t="shared" si="36"/>
        <v/>
      </c>
      <c r="E254" s="31" t="str">
        <f t="shared" si="29"/>
        <v/>
      </c>
      <c r="F254" s="31" t="str">
        <f t="shared" si="30"/>
        <v/>
      </c>
      <c r="G254" s="32" t="str">
        <f>IF(B254="","",ROUND(IF(AND(B254=$F$4,$I$5=0),D254-MIN($F$5,D254),IF(Simulatie!$C$13="Lineair",MIN(D254,Simulatie!$C$25),MIN(D254,MAX(0,$I$4-E254)))),2))</f>
        <v/>
      </c>
      <c r="H254" s="31" t="str">
        <f t="shared" si="31"/>
        <v/>
      </c>
      <c r="I254" s="31" t="str">
        <f t="shared" si="32"/>
        <v/>
      </c>
      <c r="J254" s="31" t="str">
        <f t="shared" si="33"/>
        <v/>
      </c>
      <c r="K254" s="31" t="str">
        <f t="shared" si="34"/>
        <v/>
      </c>
      <c r="L254" s="1"/>
      <c r="M254" s="1"/>
      <c r="N254" s="1"/>
      <c r="O254" s="1"/>
    </row>
    <row r="255" spans="1:15" ht="23" customHeight="1">
      <c r="A255" s="1"/>
      <c r="B255" s="29" t="str">
        <f t="shared" si="35"/>
        <v/>
      </c>
      <c r="C255" s="30" t="str">
        <f>IF(B255="","",EDATE(Simulatie!$C$14,B255-1))</f>
        <v/>
      </c>
      <c r="D255" s="31" t="str">
        <f t="shared" si="36"/>
        <v/>
      </c>
      <c r="E255" s="31" t="str">
        <f t="shared" si="29"/>
        <v/>
      </c>
      <c r="F255" s="31" t="str">
        <f t="shared" si="30"/>
        <v/>
      </c>
      <c r="G255" s="32" t="str">
        <f>IF(B255="","",ROUND(IF(AND(B255=$F$4,$I$5=0),D255-MIN($F$5,D255),IF(Simulatie!$C$13="Lineair",MIN(D255,Simulatie!$C$25),MIN(D255,MAX(0,$I$4-E255)))),2))</f>
        <v/>
      </c>
      <c r="H255" s="31" t="str">
        <f t="shared" si="31"/>
        <v/>
      </c>
      <c r="I255" s="31" t="str">
        <f t="shared" si="32"/>
        <v/>
      </c>
      <c r="J255" s="31" t="str">
        <f t="shared" si="33"/>
        <v/>
      </c>
      <c r="K255" s="31" t="str">
        <f t="shared" si="34"/>
        <v/>
      </c>
      <c r="L255" s="1"/>
      <c r="M255" s="1"/>
      <c r="N255" s="1"/>
      <c r="O255" s="1"/>
    </row>
    <row r="256" spans="1:15" ht="23" customHeight="1">
      <c r="A256" s="1"/>
      <c r="B256" s="29" t="str">
        <f t="shared" si="35"/>
        <v/>
      </c>
      <c r="C256" s="30" t="str">
        <f>IF(B256="","",EDATE(Simulatie!$C$14,B256-1))</f>
        <v/>
      </c>
      <c r="D256" s="31" t="str">
        <f t="shared" si="36"/>
        <v/>
      </c>
      <c r="E256" s="31" t="str">
        <f t="shared" si="29"/>
        <v/>
      </c>
      <c r="F256" s="31" t="str">
        <f t="shared" si="30"/>
        <v/>
      </c>
      <c r="G256" s="32" t="str">
        <f>IF(B256="","",ROUND(IF(AND(B256=$F$4,$I$5=0),D256-MIN($F$5,D256),IF(Simulatie!$C$13="Lineair",MIN(D256,Simulatie!$C$25),MIN(D256,MAX(0,$I$4-E256)))),2))</f>
        <v/>
      </c>
      <c r="H256" s="31" t="str">
        <f t="shared" si="31"/>
        <v/>
      </c>
      <c r="I256" s="31" t="str">
        <f t="shared" si="32"/>
        <v/>
      </c>
      <c r="J256" s="31" t="str">
        <f t="shared" si="33"/>
        <v/>
      </c>
      <c r="K256" s="31" t="str">
        <f t="shared" si="34"/>
        <v/>
      </c>
      <c r="L256" s="1"/>
      <c r="M256" s="1"/>
      <c r="N256" s="1"/>
      <c r="O256" s="1"/>
    </row>
    <row r="257" spans="1:15" ht="23" customHeight="1">
      <c r="A257" s="1"/>
      <c r="B257" s="29" t="str">
        <f t="shared" si="35"/>
        <v/>
      </c>
      <c r="C257" s="30" t="str">
        <f>IF(B257="","",EDATE(Simulatie!$C$14,B257-1))</f>
        <v/>
      </c>
      <c r="D257" s="31" t="str">
        <f t="shared" si="36"/>
        <v/>
      </c>
      <c r="E257" s="31" t="str">
        <f t="shared" si="29"/>
        <v/>
      </c>
      <c r="F257" s="31" t="str">
        <f t="shared" si="30"/>
        <v/>
      </c>
      <c r="G257" s="32" t="str">
        <f>IF(B257="","",ROUND(IF(AND(B257=$F$4,$I$5=0),D257-MIN($F$5,D257),IF(Simulatie!$C$13="Lineair",MIN(D257,Simulatie!$C$25),MIN(D257,MAX(0,$I$4-E257)))),2))</f>
        <v/>
      </c>
      <c r="H257" s="31" t="str">
        <f t="shared" si="31"/>
        <v/>
      </c>
      <c r="I257" s="31" t="str">
        <f t="shared" si="32"/>
        <v/>
      </c>
      <c r="J257" s="31" t="str">
        <f t="shared" si="33"/>
        <v/>
      </c>
      <c r="K257" s="31" t="str">
        <f t="shared" si="34"/>
        <v/>
      </c>
      <c r="L257" s="1"/>
      <c r="M257" s="1"/>
      <c r="N257" s="1"/>
      <c r="O257" s="1"/>
    </row>
    <row r="258" spans="1:15" ht="23" customHeight="1">
      <c r="A258" s="1"/>
      <c r="B258" s="29" t="str">
        <f t="shared" si="35"/>
        <v/>
      </c>
      <c r="C258" s="30" t="str">
        <f>IF(B258="","",EDATE(Simulatie!$C$14,B258-1))</f>
        <v/>
      </c>
      <c r="D258" s="31" t="str">
        <f t="shared" si="36"/>
        <v/>
      </c>
      <c r="E258" s="31" t="str">
        <f t="shared" si="29"/>
        <v/>
      </c>
      <c r="F258" s="31" t="str">
        <f t="shared" si="30"/>
        <v/>
      </c>
      <c r="G258" s="32" t="str">
        <f>IF(B258="","",ROUND(IF(AND(B258=$F$4,$I$5=0),D258-MIN($F$5,D258),IF(Simulatie!$C$13="Lineair",MIN(D258,Simulatie!$C$25),MIN(D258,MAX(0,$I$4-E258)))),2))</f>
        <v/>
      </c>
      <c r="H258" s="31" t="str">
        <f t="shared" si="31"/>
        <v/>
      </c>
      <c r="I258" s="31" t="str">
        <f t="shared" si="32"/>
        <v/>
      </c>
      <c r="J258" s="31" t="str">
        <f t="shared" si="33"/>
        <v/>
      </c>
      <c r="K258" s="31" t="str">
        <f t="shared" si="34"/>
        <v/>
      </c>
      <c r="L258" s="1"/>
      <c r="M258" s="1"/>
      <c r="N258" s="1"/>
      <c r="O258" s="1"/>
    </row>
    <row r="259" spans="1:15" ht="23" customHeight="1">
      <c r="A259" s="1"/>
      <c r="B259" s="29" t="str">
        <f t="shared" si="35"/>
        <v/>
      </c>
      <c r="C259" s="30" t="str">
        <f>IF(B259="","",EDATE(Simulatie!$C$14,B259-1))</f>
        <v/>
      </c>
      <c r="D259" s="31" t="str">
        <f t="shared" si="36"/>
        <v/>
      </c>
      <c r="E259" s="31" t="str">
        <f t="shared" si="29"/>
        <v/>
      </c>
      <c r="F259" s="31" t="str">
        <f t="shared" si="30"/>
        <v/>
      </c>
      <c r="G259" s="32" t="str">
        <f>IF(B259="","",ROUND(IF(AND(B259=$F$4,$I$5=0),D259-MIN($F$5,D259),IF(Simulatie!$C$13="Lineair",MIN(D259,Simulatie!$C$25),MIN(D259,MAX(0,$I$4-E259)))),2))</f>
        <v/>
      </c>
      <c r="H259" s="31" t="str">
        <f t="shared" si="31"/>
        <v/>
      </c>
      <c r="I259" s="31" t="str">
        <f t="shared" si="32"/>
        <v/>
      </c>
      <c r="J259" s="31" t="str">
        <f t="shared" si="33"/>
        <v/>
      </c>
      <c r="K259" s="31" t="str">
        <f t="shared" si="34"/>
        <v/>
      </c>
      <c r="L259" s="1"/>
      <c r="M259" s="1"/>
      <c r="N259" s="1"/>
      <c r="O259" s="1"/>
    </row>
    <row r="260" spans="1:15" ht="23" customHeight="1">
      <c r="A260" s="1"/>
      <c r="B260" s="29" t="str">
        <f t="shared" si="35"/>
        <v/>
      </c>
      <c r="C260" s="30" t="str">
        <f>IF(B260="","",EDATE(Simulatie!$C$14,B260-1))</f>
        <v/>
      </c>
      <c r="D260" s="31" t="str">
        <f t="shared" si="36"/>
        <v/>
      </c>
      <c r="E260" s="31" t="str">
        <f t="shared" si="29"/>
        <v/>
      </c>
      <c r="F260" s="31" t="str">
        <f t="shared" si="30"/>
        <v/>
      </c>
      <c r="G260" s="32" t="str">
        <f>IF(B260="","",ROUND(IF(AND(B260=$F$4,$I$5=0),D260-MIN($F$5,D260),IF(Simulatie!$C$13="Lineair",MIN(D260,Simulatie!$C$25),MIN(D260,MAX(0,$I$4-E260)))),2))</f>
        <v/>
      </c>
      <c r="H260" s="31" t="str">
        <f t="shared" si="31"/>
        <v/>
      </c>
      <c r="I260" s="31" t="str">
        <f t="shared" si="32"/>
        <v/>
      </c>
      <c r="J260" s="31" t="str">
        <f t="shared" si="33"/>
        <v/>
      </c>
      <c r="K260" s="31" t="str">
        <f t="shared" si="34"/>
        <v/>
      </c>
      <c r="L260" s="1"/>
      <c r="M260" s="1"/>
      <c r="N260" s="1"/>
      <c r="O260" s="1"/>
    </row>
    <row r="261" spans="1:15" ht="23" customHeight="1">
      <c r="A261" s="1"/>
      <c r="B261" s="29" t="str">
        <f t="shared" si="35"/>
        <v/>
      </c>
      <c r="C261" s="30" t="str">
        <f>IF(B261="","",EDATE(Simulatie!$C$14,B261-1))</f>
        <v/>
      </c>
      <c r="D261" s="31" t="str">
        <f t="shared" si="36"/>
        <v/>
      </c>
      <c r="E261" s="31" t="str">
        <f t="shared" si="29"/>
        <v/>
      </c>
      <c r="F261" s="31" t="str">
        <f t="shared" si="30"/>
        <v/>
      </c>
      <c r="G261" s="32" t="str">
        <f>IF(B261="","",ROUND(IF(AND(B261=$F$4,$I$5=0),D261-MIN($F$5,D261),IF(Simulatie!$C$13="Lineair",MIN(D261,Simulatie!$C$25),MIN(D261,MAX(0,$I$4-E261)))),2))</f>
        <v/>
      </c>
      <c r="H261" s="31" t="str">
        <f t="shared" si="31"/>
        <v/>
      </c>
      <c r="I261" s="31" t="str">
        <f t="shared" si="32"/>
        <v/>
      </c>
      <c r="J261" s="31" t="str">
        <f t="shared" si="33"/>
        <v/>
      </c>
      <c r="K261" s="31" t="str">
        <f t="shared" si="34"/>
        <v/>
      </c>
      <c r="L261" s="1"/>
      <c r="M261" s="1"/>
      <c r="N261" s="1"/>
      <c r="O261" s="1"/>
    </row>
    <row r="262" spans="1:15" ht="23" customHeight="1">
      <c r="A262" s="1"/>
      <c r="B262" s="29" t="str">
        <f t="shared" si="35"/>
        <v/>
      </c>
      <c r="C262" s="30" t="str">
        <f>IF(B262="","",EDATE(Simulatie!$C$14,B262-1))</f>
        <v/>
      </c>
      <c r="D262" s="31" t="str">
        <f t="shared" si="36"/>
        <v/>
      </c>
      <c r="E262" s="31" t="str">
        <f t="shared" si="29"/>
        <v/>
      </c>
      <c r="F262" s="31" t="str">
        <f t="shared" si="30"/>
        <v/>
      </c>
      <c r="G262" s="32" t="str">
        <f>IF(B262="","",ROUND(IF(AND(B262=$F$4,$I$5=0),D262-MIN($F$5,D262),IF(Simulatie!$C$13="Lineair",MIN(D262,Simulatie!$C$25),MIN(D262,MAX(0,$I$4-E262)))),2))</f>
        <v/>
      </c>
      <c r="H262" s="31" t="str">
        <f t="shared" si="31"/>
        <v/>
      </c>
      <c r="I262" s="31" t="str">
        <f t="shared" si="32"/>
        <v/>
      </c>
      <c r="J262" s="31" t="str">
        <f t="shared" si="33"/>
        <v/>
      </c>
      <c r="K262" s="31" t="str">
        <f t="shared" si="34"/>
        <v/>
      </c>
      <c r="L262" s="1"/>
      <c r="M262" s="1"/>
      <c r="N262" s="1"/>
      <c r="O262" s="1"/>
    </row>
    <row r="263" spans="1:15" ht="23" customHeight="1">
      <c r="A263" s="1"/>
      <c r="B263" s="29" t="str">
        <f t="shared" si="35"/>
        <v/>
      </c>
      <c r="C263" s="30" t="str">
        <f>IF(B263="","",EDATE(Simulatie!$C$14,B263-1))</f>
        <v/>
      </c>
      <c r="D263" s="31" t="str">
        <f t="shared" si="36"/>
        <v/>
      </c>
      <c r="E263" s="31" t="str">
        <f t="shared" si="29"/>
        <v/>
      </c>
      <c r="F263" s="31" t="str">
        <f t="shared" si="30"/>
        <v/>
      </c>
      <c r="G263" s="32" t="str">
        <f>IF(B263="","",ROUND(IF(AND(B263=$F$4,$I$5=0),D263-MIN($F$5,D263),IF(Simulatie!$C$13="Lineair",MIN(D263,Simulatie!$C$25),MIN(D263,MAX(0,$I$4-E263)))),2))</f>
        <v/>
      </c>
      <c r="H263" s="31" t="str">
        <f t="shared" si="31"/>
        <v/>
      </c>
      <c r="I263" s="31" t="str">
        <f t="shared" si="32"/>
        <v/>
      </c>
      <c r="J263" s="31" t="str">
        <f t="shared" si="33"/>
        <v/>
      </c>
      <c r="K263" s="31" t="str">
        <f t="shared" si="34"/>
        <v/>
      </c>
      <c r="L263" s="1"/>
      <c r="M263" s="1"/>
      <c r="N263" s="1"/>
      <c r="O263" s="1"/>
    </row>
    <row r="264" spans="1:15" ht="23" customHeight="1">
      <c r="A264" s="1"/>
      <c r="B264" s="29" t="str">
        <f t="shared" si="35"/>
        <v/>
      </c>
      <c r="C264" s="30" t="str">
        <f>IF(B264="","",EDATE(Simulatie!$C$14,B264-1))</f>
        <v/>
      </c>
      <c r="D264" s="31" t="str">
        <f t="shared" si="36"/>
        <v/>
      </c>
      <c r="E264" s="31" t="str">
        <f t="shared" ref="E264:E327" si="37">IF(B264="","",ROUND(D264*$C$4,2))</f>
        <v/>
      </c>
      <c r="F264" s="31" t="str">
        <f t="shared" ref="F264:F327" si="38">IF(B264="","",ROUND(E264+G264,2))</f>
        <v/>
      </c>
      <c r="G264" s="32" t="str">
        <f>IF(B264="","",ROUND(IF(AND(B264=$F$4,$I$5=0),D264-MIN($F$5,D264),IF(Simulatie!$C$13="Lineair",MIN(D264,Simulatie!$C$25),MIN(D264,MAX(0,$I$4-E264)))),2))</f>
        <v/>
      </c>
      <c r="H264" s="31" t="str">
        <f t="shared" ref="H264:H327" si="39">IF(B264="","",ROUND(MIN($I$5,MAX(0,D264-G264)),2))</f>
        <v/>
      </c>
      <c r="I264" s="31" t="str">
        <f t="shared" ref="I264:I327" si="40">IF(B264="","",IF(B264=$F$4,ROUND(MAX(0,D264-G264-H264),2),0))</f>
        <v/>
      </c>
      <c r="J264" s="31" t="str">
        <f t="shared" ref="J264:J327" si="41">IF(B264="","",SUM(F264,H264:I264))</f>
        <v/>
      </c>
      <c r="K264" s="31" t="str">
        <f t="shared" ref="K264:K327" si="42">IF(B264="","",ROUND(MAX(0,D264-SUM(G264:I264)),2))</f>
        <v/>
      </c>
      <c r="L264" s="1"/>
      <c r="M264" s="1"/>
      <c r="N264" s="1"/>
      <c r="O264" s="1"/>
    </row>
    <row r="265" spans="1:15" ht="23" customHeight="1">
      <c r="A265" s="1"/>
      <c r="B265" s="29" t="str">
        <f t="shared" ref="B265:B328" si="43">IF(B264="","",IF(AND(K264&gt;0,B264&lt;$F$4),B264+1,""))</f>
        <v/>
      </c>
      <c r="C265" s="30" t="str">
        <f>IF(B265="","",EDATE(Simulatie!$C$14,B265-1))</f>
        <v/>
      </c>
      <c r="D265" s="31" t="str">
        <f t="shared" ref="D265:D328" si="44">IF(B265="","",K264)</f>
        <v/>
      </c>
      <c r="E265" s="31" t="str">
        <f t="shared" si="37"/>
        <v/>
      </c>
      <c r="F265" s="31" t="str">
        <f t="shared" si="38"/>
        <v/>
      </c>
      <c r="G265" s="32" t="str">
        <f>IF(B265="","",ROUND(IF(AND(B265=$F$4,$I$5=0),D265-MIN($F$5,D265),IF(Simulatie!$C$13="Lineair",MIN(D265,Simulatie!$C$25),MIN(D265,MAX(0,$I$4-E265)))),2))</f>
        <v/>
      </c>
      <c r="H265" s="31" t="str">
        <f t="shared" si="39"/>
        <v/>
      </c>
      <c r="I265" s="31" t="str">
        <f t="shared" si="40"/>
        <v/>
      </c>
      <c r="J265" s="31" t="str">
        <f t="shared" si="41"/>
        <v/>
      </c>
      <c r="K265" s="31" t="str">
        <f t="shared" si="42"/>
        <v/>
      </c>
      <c r="L265" s="1"/>
      <c r="M265" s="1"/>
      <c r="N265" s="1"/>
      <c r="O265" s="1"/>
    </row>
    <row r="266" spans="1:15" ht="23" customHeight="1">
      <c r="A266" s="1"/>
      <c r="B266" s="29" t="str">
        <f t="shared" si="43"/>
        <v/>
      </c>
      <c r="C266" s="30" t="str">
        <f>IF(B266="","",EDATE(Simulatie!$C$14,B266-1))</f>
        <v/>
      </c>
      <c r="D266" s="31" t="str">
        <f t="shared" si="44"/>
        <v/>
      </c>
      <c r="E266" s="31" t="str">
        <f t="shared" si="37"/>
        <v/>
      </c>
      <c r="F266" s="31" t="str">
        <f t="shared" si="38"/>
        <v/>
      </c>
      <c r="G266" s="32" t="str">
        <f>IF(B266="","",ROUND(IF(AND(B266=$F$4,$I$5=0),D266-MIN($F$5,D266),IF(Simulatie!$C$13="Lineair",MIN(D266,Simulatie!$C$25),MIN(D266,MAX(0,$I$4-E266)))),2))</f>
        <v/>
      </c>
      <c r="H266" s="31" t="str">
        <f t="shared" si="39"/>
        <v/>
      </c>
      <c r="I266" s="31" t="str">
        <f t="shared" si="40"/>
        <v/>
      </c>
      <c r="J266" s="31" t="str">
        <f t="shared" si="41"/>
        <v/>
      </c>
      <c r="K266" s="31" t="str">
        <f t="shared" si="42"/>
        <v/>
      </c>
      <c r="L266" s="1"/>
      <c r="M266" s="1"/>
      <c r="N266" s="1"/>
      <c r="O266" s="1"/>
    </row>
    <row r="267" spans="1:15" ht="23" customHeight="1">
      <c r="A267" s="1"/>
      <c r="B267" s="29" t="str">
        <f t="shared" si="43"/>
        <v/>
      </c>
      <c r="C267" s="30" t="str">
        <f>IF(B267="","",EDATE(Simulatie!$C$14,B267-1))</f>
        <v/>
      </c>
      <c r="D267" s="31" t="str">
        <f t="shared" si="44"/>
        <v/>
      </c>
      <c r="E267" s="31" t="str">
        <f t="shared" si="37"/>
        <v/>
      </c>
      <c r="F267" s="31" t="str">
        <f t="shared" si="38"/>
        <v/>
      </c>
      <c r="G267" s="32" t="str">
        <f>IF(B267="","",ROUND(IF(AND(B267=$F$4,$I$5=0),D267-MIN($F$5,D267),IF(Simulatie!$C$13="Lineair",MIN(D267,Simulatie!$C$25),MIN(D267,MAX(0,$I$4-E267)))),2))</f>
        <v/>
      </c>
      <c r="H267" s="31" t="str">
        <f t="shared" si="39"/>
        <v/>
      </c>
      <c r="I267" s="31" t="str">
        <f t="shared" si="40"/>
        <v/>
      </c>
      <c r="J267" s="31" t="str">
        <f t="shared" si="41"/>
        <v/>
      </c>
      <c r="K267" s="31" t="str">
        <f t="shared" si="42"/>
        <v/>
      </c>
      <c r="L267" s="1"/>
      <c r="M267" s="1"/>
      <c r="N267" s="1"/>
      <c r="O267" s="1"/>
    </row>
    <row r="268" spans="1:15" ht="23" customHeight="1">
      <c r="A268" s="1"/>
      <c r="B268" s="29" t="str">
        <f t="shared" si="43"/>
        <v/>
      </c>
      <c r="C268" s="30" t="str">
        <f>IF(B268="","",EDATE(Simulatie!$C$14,B268-1))</f>
        <v/>
      </c>
      <c r="D268" s="31" t="str">
        <f t="shared" si="44"/>
        <v/>
      </c>
      <c r="E268" s="31" t="str">
        <f t="shared" si="37"/>
        <v/>
      </c>
      <c r="F268" s="31" t="str">
        <f t="shared" si="38"/>
        <v/>
      </c>
      <c r="G268" s="32" t="str">
        <f>IF(B268="","",ROUND(IF(AND(B268=$F$4,$I$5=0),D268-MIN($F$5,D268),IF(Simulatie!$C$13="Lineair",MIN(D268,Simulatie!$C$25),MIN(D268,MAX(0,$I$4-E268)))),2))</f>
        <v/>
      </c>
      <c r="H268" s="31" t="str">
        <f t="shared" si="39"/>
        <v/>
      </c>
      <c r="I268" s="31" t="str">
        <f t="shared" si="40"/>
        <v/>
      </c>
      <c r="J268" s="31" t="str">
        <f t="shared" si="41"/>
        <v/>
      </c>
      <c r="K268" s="31" t="str">
        <f t="shared" si="42"/>
        <v/>
      </c>
      <c r="L268" s="1"/>
      <c r="M268" s="1"/>
      <c r="N268" s="1"/>
      <c r="O268" s="1"/>
    </row>
    <row r="269" spans="1:15" ht="23" customHeight="1">
      <c r="A269" s="1"/>
      <c r="B269" s="29" t="str">
        <f t="shared" si="43"/>
        <v/>
      </c>
      <c r="C269" s="30" t="str">
        <f>IF(B269="","",EDATE(Simulatie!$C$14,B269-1))</f>
        <v/>
      </c>
      <c r="D269" s="31" t="str">
        <f t="shared" si="44"/>
        <v/>
      </c>
      <c r="E269" s="31" t="str">
        <f t="shared" si="37"/>
        <v/>
      </c>
      <c r="F269" s="31" t="str">
        <f t="shared" si="38"/>
        <v/>
      </c>
      <c r="G269" s="32" t="str">
        <f>IF(B269="","",ROUND(IF(AND(B269=$F$4,$I$5=0),D269-MIN($F$5,D269),IF(Simulatie!$C$13="Lineair",MIN(D269,Simulatie!$C$25),MIN(D269,MAX(0,$I$4-E269)))),2))</f>
        <v/>
      </c>
      <c r="H269" s="31" t="str">
        <f t="shared" si="39"/>
        <v/>
      </c>
      <c r="I269" s="31" t="str">
        <f t="shared" si="40"/>
        <v/>
      </c>
      <c r="J269" s="31" t="str">
        <f t="shared" si="41"/>
        <v/>
      </c>
      <c r="K269" s="31" t="str">
        <f t="shared" si="42"/>
        <v/>
      </c>
      <c r="L269" s="1"/>
      <c r="M269" s="1"/>
      <c r="N269" s="1"/>
      <c r="O269" s="1"/>
    </row>
    <row r="270" spans="1:15" ht="23" customHeight="1">
      <c r="A270" s="1"/>
      <c r="B270" s="29" t="str">
        <f t="shared" si="43"/>
        <v/>
      </c>
      <c r="C270" s="30" t="str">
        <f>IF(B270="","",EDATE(Simulatie!$C$14,B270-1))</f>
        <v/>
      </c>
      <c r="D270" s="31" t="str">
        <f t="shared" si="44"/>
        <v/>
      </c>
      <c r="E270" s="31" t="str">
        <f t="shared" si="37"/>
        <v/>
      </c>
      <c r="F270" s="31" t="str">
        <f t="shared" si="38"/>
        <v/>
      </c>
      <c r="G270" s="32" t="str">
        <f>IF(B270="","",ROUND(IF(AND(B270=$F$4,$I$5=0),D270-MIN($F$5,D270),IF(Simulatie!$C$13="Lineair",MIN(D270,Simulatie!$C$25),MIN(D270,MAX(0,$I$4-E270)))),2))</f>
        <v/>
      </c>
      <c r="H270" s="31" t="str">
        <f t="shared" si="39"/>
        <v/>
      </c>
      <c r="I270" s="31" t="str">
        <f t="shared" si="40"/>
        <v/>
      </c>
      <c r="J270" s="31" t="str">
        <f t="shared" si="41"/>
        <v/>
      </c>
      <c r="K270" s="31" t="str">
        <f t="shared" si="42"/>
        <v/>
      </c>
      <c r="L270" s="1"/>
      <c r="M270" s="1"/>
      <c r="N270" s="1"/>
      <c r="O270" s="1"/>
    </row>
    <row r="271" spans="1:15" ht="23" customHeight="1">
      <c r="A271" s="1"/>
      <c r="B271" s="29" t="str">
        <f t="shared" si="43"/>
        <v/>
      </c>
      <c r="C271" s="30" t="str">
        <f>IF(B271="","",EDATE(Simulatie!$C$14,B271-1))</f>
        <v/>
      </c>
      <c r="D271" s="31" t="str">
        <f t="shared" si="44"/>
        <v/>
      </c>
      <c r="E271" s="31" t="str">
        <f t="shared" si="37"/>
        <v/>
      </c>
      <c r="F271" s="31" t="str">
        <f t="shared" si="38"/>
        <v/>
      </c>
      <c r="G271" s="32" t="str">
        <f>IF(B271="","",ROUND(IF(AND(B271=$F$4,$I$5=0),D271-MIN($F$5,D271),IF(Simulatie!$C$13="Lineair",MIN(D271,Simulatie!$C$25),MIN(D271,MAX(0,$I$4-E271)))),2))</f>
        <v/>
      </c>
      <c r="H271" s="31" t="str">
        <f t="shared" si="39"/>
        <v/>
      </c>
      <c r="I271" s="31" t="str">
        <f t="shared" si="40"/>
        <v/>
      </c>
      <c r="J271" s="31" t="str">
        <f t="shared" si="41"/>
        <v/>
      </c>
      <c r="K271" s="31" t="str">
        <f t="shared" si="42"/>
        <v/>
      </c>
      <c r="L271" s="1"/>
      <c r="M271" s="1"/>
      <c r="N271" s="1"/>
      <c r="O271" s="1"/>
    </row>
    <row r="272" spans="1:15" ht="23" customHeight="1">
      <c r="A272" s="1"/>
      <c r="B272" s="29" t="str">
        <f t="shared" si="43"/>
        <v/>
      </c>
      <c r="C272" s="30" t="str">
        <f>IF(B272="","",EDATE(Simulatie!$C$14,B272-1))</f>
        <v/>
      </c>
      <c r="D272" s="31" t="str">
        <f t="shared" si="44"/>
        <v/>
      </c>
      <c r="E272" s="31" t="str">
        <f t="shared" si="37"/>
        <v/>
      </c>
      <c r="F272" s="31" t="str">
        <f t="shared" si="38"/>
        <v/>
      </c>
      <c r="G272" s="32" t="str">
        <f>IF(B272="","",ROUND(IF(AND(B272=$F$4,$I$5=0),D272-MIN($F$5,D272),IF(Simulatie!$C$13="Lineair",MIN(D272,Simulatie!$C$25),MIN(D272,MAX(0,$I$4-E272)))),2))</f>
        <v/>
      </c>
      <c r="H272" s="31" t="str">
        <f t="shared" si="39"/>
        <v/>
      </c>
      <c r="I272" s="31" t="str">
        <f t="shared" si="40"/>
        <v/>
      </c>
      <c r="J272" s="31" t="str">
        <f t="shared" si="41"/>
        <v/>
      </c>
      <c r="K272" s="31" t="str">
        <f t="shared" si="42"/>
        <v/>
      </c>
      <c r="L272" s="1"/>
      <c r="M272" s="1"/>
      <c r="N272" s="1"/>
      <c r="O272" s="1"/>
    </row>
    <row r="273" spans="1:15" ht="23" customHeight="1">
      <c r="A273" s="1"/>
      <c r="B273" s="29" t="str">
        <f t="shared" si="43"/>
        <v/>
      </c>
      <c r="C273" s="30" t="str">
        <f>IF(B273="","",EDATE(Simulatie!$C$14,B273-1))</f>
        <v/>
      </c>
      <c r="D273" s="31" t="str">
        <f t="shared" si="44"/>
        <v/>
      </c>
      <c r="E273" s="31" t="str">
        <f t="shared" si="37"/>
        <v/>
      </c>
      <c r="F273" s="31" t="str">
        <f t="shared" si="38"/>
        <v/>
      </c>
      <c r="G273" s="32" t="str">
        <f>IF(B273="","",ROUND(IF(AND(B273=$F$4,$I$5=0),D273-MIN($F$5,D273),IF(Simulatie!$C$13="Lineair",MIN(D273,Simulatie!$C$25),MIN(D273,MAX(0,$I$4-E273)))),2))</f>
        <v/>
      </c>
      <c r="H273" s="31" t="str">
        <f t="shared" si="39"/>
        <v/>
      </c>
      <c r="I273" s="31" t="str">
        <f t="shared" si="40"/>
        <v/>
      </c>
      <c r="J273" s="31" t="str">
        <f t="shared" si="41"/>
        <v/>
      </c>
      <c r="K273" s="31" t="str">
        <f t="shared" si="42"/>
        <v/>
      </c>
      <c r="L273" s="1"/>
      <c r="M273" s="1"/>
      <c r="N273" s="1"/>
      <c r="O273" s="1"/>
    </row>
    <row r="274" spans="1:15" ht="23" customHeight="1">
      <c r="A274" s="1"/>
      <c r="B274" s="29" t="str">
        <f t="shared" si="43"/>
        <v/>
      </c>
      <c r="C274" s="30" t="str">
        <f>IF(B274="","",EDATE(Simulatie!$C$14,B274-1))</f>
        <v/>
      </c>
      <c r="D274" s="31" t="str">
        <f t="shared" si="44"/>
        <v/>
      </c>
      <c r="E274" s="31" t="str">
        <f t="shared" si="37"/>
        <v/>
      </c>
      <c r="F274" s="31" t="str">
        <f t="shared" si="38"/>
        <v/>
      </c>
      <c r="G274" s="32" t="str">
        <f>IF(B274="","",ROUND(IF(AND(B274=$F$4,$I$5=0),D274-MIN($F$5,D274),IF(Simulatie!$C$13="Lineair",MIN(D274,Simulatie!$C$25),MIN(D274,MAX(0,$I$4-E274)))),2))</f>
        <v/>
      </c>
      <c r="H274" s="31" t="str">
        <f t="shared" si="39"/>
        <v/>
      </c>
      <c r="I274" s="31" t="str">
        <f t="shared" si="40"/>
        <v/>
      </c>
      <c r="J274" s="31" t="str">
        <f t="shared" si="41"/>
        <v/>
      </c>
      <c r="K274" s="31" t="str">
        <f t="shared" si="42"/>
        <v/>
      </c>
      <c r="L274" s="1"/>
      <c r="M274" s="1"/>
      <c r="N274" s="1"/>
      <c r="O274" s="1"/>
    </row>
    <row r="275" spans="1:15" ht="23" customHeight="1">
      <c r="A275" s="1"/>
      <c r="B275" s="29" t="str">
        <f t="shared" si="43"/>
        <v/>
      </c>
      <c r="C275" s="30" t="str">
        <f>IF(B275="","",EDATE(Simulatie!$C$14,B275-1))</f>
        <v/>
      </c>
      <c r="D275" s="31" t="str">
        <f t="shared" si="44"/>
        <v/>
      </c>
      <c r="E275" s="31" t="str">
        <f t="shared" si="37"/>
        <v/>
      </c>
      <c r="F275" s="31" t="str">
        <f t="shared" si="38"/>
        <v/>
      </c>
      <c r="G275" s="32" t="str">
        <f>IF(B275="","",ROUND(IF(AND(B275=$F$4,$I$5=0),D275-MIN($F$5,D275),IF(Simulatie!$C$13="Lineair",MIN(D275,Simulatie!$C$25),MIN(D275,MAX(0,$I$4-E275)))),2))</f>
        <v/>
      </c>
      <c r="H275" s="31" t="str">
        <f t="shared" si="39"/>
        <v/>
      </c>
      <c r="I275" s="31" t="str">
        <f t="shared" si="40"/>
        <v/>
      </c>
      <c r="J275" s="31" t="str">
        <f t="shared" si="41"/>
        <v/>
      </c>
      <c r="K275" s="31" t="str">
        <f t="shared" si="42"/>
        <v/>
      </c>
      <c r="L275" s="1"/>
      <c r="M275" s="1"/>
      <c r="N275" s="1"/>
      <c r="O275" s="1"/>
    </row>
    <row r="276" spans="1:15" ht="23" customHeight="1">
      <c r="A276" s="1"/>
      <c r="B276" s="29" t="str">
        <f t="shared" si="43"/>
        <v/>
      </c>
      <c r="C276" s="30" t="str">
        <f>IF(B276="","",EDATE(Simulatie!$C$14,B276-1))</f>
        <v/>
      </c>
      <c r="D276" s="31" t="str">
        <f t="shared" si="44"/>
        <v/>
      </c>
      <c r="E276" s="31" t="str">
        <f t="shared" si="37"/>
        <v/>
      </c>
      <c r="F276" s="31" t="str">
        <f t="shared" si="38"/>
        <v/>
      </c>
      <c r="G276" s="32" t="str">
        <f>IF(B276="","",ROUND(IF(AND(B276=$F$4,$I$5=0),D276-MIN($F$5,D276),IF(Simulatie!$C$13="Lineair",MIN(D276,Simulatie!$C$25),MIN(D276,MAX(0,$I$4-E276)))),2))</f>
        <v/>
      </c>
      <c r="H276" s="31" t="str">
        <f t="shared" si="39"/>
        <v/>
      </c>
      <c r="I276" s="31" t="str">
        <f t="shared" si="40"/>
        <v/>
      </c>
      <c r="J276" s="31" t="str">
        <f t="shared" si="41"/>
        <v/>
      </c>
      <c r="K276" s="31" t="str">
        <f t="shared" si="42"/>
        <v/>
      </c>
      <c r="L276" s="1"/>
      <c r="M276" s="1"/>
      <c r="N276" s="1"/>
      <c r="O276" s="1"/>
    </row>
    <row r="277" spans="1:15" ht="23" customHeight="1">
      <c r="A277" s="1"/>
      <c r="B277" s="29" t="str">
        <f t="shared" si="43"/>
        <v/>
      </c>
      <c r="C277" s="30" t="str">
        <f>IF(B277="","",EDATE(Simulatie!$C$14,B277-1))</f>
        <v/>
      </c>
      <c r="D277" s="31" t="str">
        <f t="shared" si="44"/>
        <v/>
      </c>
      <c r="E277" s="31" t="str">
        <f t="shared" si="37"/>
        <v/>
      </c>
      <c r="F277" s="31" t="str">
        <f t="shared" si="38"/>
        <v/>
      </c>
      <c r="G277" s="32" t="str">
        <f>IF(B277="","",ROUND(IF(AND(B277=$F$4,$I$5=0),D277-MIN($F$5,D277),IF(Simulatie!$C$13="Lineair",MIN(D277,Simulatie!$C$25),MIN(D277,MAX(0,$I$4-E277)))),2))</f>
        <v/>
      </c>
      <c r="H277" s="31" t="str">
        <f t="shared" si="39"/>
        <v/>
      </c>
      <c r="I277" s="31" t="str">
        <f t="shared" si="40"/>
        <v/>
      </c>
      <c r="J277" s="31" t="str">
        <f t="shared" si="41"/>
        <v/>
      </c>
      <c r="K277" s="31" t="str">
        <f t="shared" si="42"/>
        <v/>
      </c>
      <c r="L277" s="1"/>
      <c r="M277" s="1"/>
      <c r="N277" s="1"/>
      <c r="O277" s="1"/>
    </row>
    <row r="278" spans="1:15" ht="23" customHeight="1">
      <c r="A278" s="1"/>
      <c r="B278" s="29" t="str">
        <f t="shared" si="43"/>
        <v/>
      </c>
      <c r="C278" s="30" t="str">
        <f>IF(B278="","",EDATE(Simulatie!$C$14,B278-1))</f>
        <v/>
      </c>
      <c r="D278" s="31" t="str">
        <f t="shared" si="44"/>
        <v/>
      </c>
      <c r="E278" s="31" t="str">
        <f t="shared" si="37"/>
        <v/>
      </c>
      <c r="F278" s="31" t="str">
        <f t="shared" si="38"/>
        <v/>
      </c>
      <c r="G278" s="32" t="str">
        <f>IF(B278="","",ROUND(IF(AND(B278=$F$4,$I$5=0),D278-MIN($F$5,D278),IF(Simulatie!$C$13="Lineair",MIN(D278,Simulatie!$C$25),MIN(D278,MAX(0,$I$4-E278)))),2))</f>
        <v/>
      </c>
      <c r="H278" s="31" t="str">
        <f t="shared" si="39"/>
        <v/>
      </c>
      <c r="I278" s="31" t="str">
        <f t="shared" si="40"/>
        <v/>
      </c>
      <c r="J278" s="31" t="str">
        <f t="shared" si="41"/>
        <v/>
      </c>
      <c r="K278" s="31" t="str">
        <f t="shared" si="42"/>
        <v/>
      </c>
      <c r="L278" s="1"/>
      <c r="M278" s="1"/>
      <c r="N278" s="1"/>
      <c r="O278" s="1"/>
    </row>
    <row r="279" spans="1:15" ht="23" customHeight="1">
      <c r="A279" s="1"/>
      <c r="B279" s="29" t="str">
        <f t="shared" si="43"/>
        <v/>
      </c>
      <c r="C279" s="30" t="str">
        <f>IF(B279="","",EDATE(Simulatie!$C$14,B279-1))</f>
        <v/>
      </c>
      <c r="D279" s="31" t="str">
        <f t="shared" si="44"/>
        <v/>
      </c>
      <c r="E279" s="31" t="str">
        <f t="shared" si="37"/>
        <v/>
      </c>
      <c r="F279" s="31" t="str">
        <f t="shared" si="38"/>
        <v/>
      </c>
      <c r="G279" s="32" t="str">
        <f>IF(B279="","",ROUND(IF(AND(B279=$F$4,$I$5=0),D279-MIN($F$5,D279),IF(Simulatie!$C$13="Lineair",MIN(D279,Simulatie!$C$25),MIN(D279,MAX(0,$I$4-E279)))),2))</f>
        <v/>
      </c>
      <c r="H279" s="31" t="str">
        <f t="shared" si="39"/>
        <v/>
      </c>
      <c r="I279" s="31" t="str">
        <f t="shared" si="40"/>
        <v/>
      </c>
      <c r="J279" s="31" t="str">
        <f t="shared" si="41"/>
        <v/>
      </c>
      <c r="K279" s="31" t="str">
        <f t="shared" si="42"/>
        <v/>
      </c>
      <c r="L279" s="1"/>
      <c r="M279" s="1"/>
      <c r="N279" s="1"/>
      <c r="O279" s="1"/>
    </row>
    <row r="280" spans="1:15" ht="23" customHeight="1">
      <c r="A280" s="1"/>
      <c r="B280" s="29" t="str">
        <f t="shared" si="43"/>
        <v/>
      </c>
      <c r="C280" s="30" t="str">
        <f>IF(B280="","",EDATE(Simulatie!$C$14,B280-1))</f>
        <v/>
      </c>
      <c r="D280" s="31" t="str">
        <f t="shared" si="44"/>
        <v/>
      </c>
      <c r="E280" s="31" t="str">
        <f t="shared" si="37"/>
        <v/>
      </c>
      <c r="F280" s="31" t="str">
        <f t="shared" si="38"/>
        <v/>
      </c>
      <c r="G280" s="32" t="str">
        <f>IF(B280="","",ROUND(IF(AND(B280=$F$4,$I$5=0),D280-MIN($F$5,D280),IF(Simulatie!$C$13="Lineair",MIN(D280,Simulatie!$C$25),MIN(D280,MAX(0,$I$4-E280)))),2))</f>
        <v/>
      </c>
      <c r="H280" s="31" t="str">
        <f t="shared" si="39"/>
        <v/>
      </c>
      <c r="I280" s="31" t="str">
        <f t="shared" si="40"/>
        <v/>
      </c>
      <c r="J280" s="31" t="str">
        <f t="shared" si="41"/>
        <v/>
      </c>
      <c r="K280" s="31" t="str">
        <f t="shared" si="42"/>
        <v/>
      </c>
      <c r="L280" s="1"/>
      <c r="M280" s="1"/>
      <c r="N280" s="1"/>
      <c r="O280" s="1"/>
    </row>
    <row r="281" spans="1:15" ht="23" customHeight="1">
      <c r="A281" s="1"/>
      <c r="B281" s="29" t="str">
        <f t="shared" si="43"/>
        <v/>
      </c>
      <c r="C281" s="30" t="str">
        <f>IF(B281="","",EDATE(Simulatie!$C$14,B281-1))</f>
        <v/>
      </c>
      <c r="D281" s="31" t="str">
        <f t="shared" si="44"/>
        <v/>
      </c>
      <c r="E281" s="31" t="str">
        <f t="shared" si="37"/>
        <v/>
      </c>
      <c r="F281" s="31" t="str">
        <f t="shared" si="38"/>
        <v/>
      </c>
      <c r="G281" s="32" t="str">
        <f>IF(B281="","",ROUND(IF(AND(B281=$F$4,$I$5=0),D281-MIN($F$5,D281),IF(Simulatie!$C$13="Lineair",MIN(D281,Simulatie!$C$25),MIN(D281,MAX(0,$I$4-E281)))),2))</f>
        <v/>
      </c>
      <c r="H281" s="31" t="str">
        <f t="shared" si="39"/>
        <v/>
      </c>
      <c r="I281" s="31" t="str">
        <f t="shared" si="40"/>
        <v/>
      </c>
      <c r="J281" s="31" t="str">
        <f t="shared" si="41"/>
        <v/>
      </c>
      <c r="K281" s="31" t="str">
        <f t="shared" si="42"/>
        <v/>
      </c>
      <c r="L281" s="1"/>
      <c r="M281" s="1"/>
      <c r="N281" s="1"/>
      <c r="O281" s="1"/>
    </row>
    <row r="282" spans="1:15" ht="23" customHeight="1">
      <c r="A282" s="1"/>
      <c r="B282" s="29" t="str">
        <f t="shared" si="43"/>
        <v/>
      </c>
      <c r="C282" s="30" t="str">
        <f>IF(B282="","",EDATE(Simulatie!$C$14,B282-1))</f>
        <v/>
      </c>
      <c r="D282" s="31" t="str">
        <f t="shared" si="44"/>
        <v/>
      </c>
      <c r="E282" s="31" t="str">
        <f t="shared" si="37"/>
        <v/>
      </c>
      <c r="F282" s="31" t="str">
        <f t="shared" si="38"/>
        <v/>
      </c>
      <c r="G282" s="32" t="str">
        <f>IF(B282="","",ROUND(IF(AND(B282=$F$4,$I$5=0),D282-MIN($F$5,D282),IF(Simulatie!$C$13="Lineair",MIN(D282,Simulatie!$C$25),MIN(D282,MAX(0,$I$4-E282)))),2))</f>
        <v/>
      </c>
      <c r="H282" s="31" t="str">
        <f t="shared" si="39"/>
        <v/>
      </c>
      <c r="I282" s="31" t="str">
        <f t="shared" si="40"/>
        <v/>
      </c>
      <c r="J282" s="31" t="str">
        <f t="shared" si="41"/>
        <v/>
      </c>
      <c r="K282" s="31" t="str">
        <f t="shared" si="42"/>
        <v/>
      </c>
      <c r="L282" s="1"/>
      <c r="M282" s="1"/>
      <c r="N282" s="1"/>
      <c r="O282" s="1"/>
    </row>
    <row r="283" spans="1:15" ht="23" customHeight="1">
      <c r="A283" s="1"/>
      <c r="B283" s="29" t="str">
        <f t="shared" si="43"/>
        <v/>
      </c>
      <c r="C283" s="30" t="str">
        <f>IF(B283="","",EDATE(Simulatie!$C$14,B283-1))</f>
        <v/>
      </c>
      <c r="D283" s="31" t="str">
        <f t="shared" si="44"/>
        <v/>
      </c>
      <c r="E283" s="31" t="str">
        <f t="shared" si="37"/>
        <v/>
      </c>
      <c r="F283" s="31" t="str">
        <f t="shared" si="38"/>
        <v/>
      </c>
      <c r="G283" s="32" t="str">
        <f>IF(B283="","",ROUND(IF(AND(B283=$F$4,$I$5=0),D283-MIN($F$5,D283),IF(Simulatie!$C$13="Lineair",MIN(D283,Simulatie!$C$25),MIN(D283,MAX(0,$I$4-E283)))),2))</f>
        <v/>
      </c>
      <c r="H283" s="31" t="str">
        <f t="shared" si="39"/>
        <v/>
      </c>
      <c r="I283" s="31" t="str">
        <f t="shared" si="40"/>
        <v/>
      </c>
      <c r="J283" s="31" t="str">
        <f t="shared" si="41"/>
        <v/>
      </c>
      <c r="K283" s="31" t="str">
        <f t="shared" si="42"/>
        <v/>
      </c>
      <c r="L283" s="1"/>
      <c r="M283" s="1"/>
      <c r="N283" s="1"/>
      <c r="O283" s="1"/>
    </row>
    <row r="284" spans="1:15" ht="23" customHeight="1">
      <c r="A284" s="1"/>
      <c r="B284" s="29" t="str">
        <f t="shared" si="43"/>
        <v/>
      </c>
      <c r="C284" s="30" t="str">
        <f>IF(B284="","",EDATE(Simulatie!$C$14,B284-1))</f>
        <v/>
      </c>
      <c r="D284" s="31" t="str">
        <f t="shared" si="44"/>
        <v/>
      </c>
      <c r="E284" s="31" t="str">
        <f t="shared" si="37"/>
        <v/>
      </c>
      <c r="F284" s="31" t="str">
        <f t="shared" si="38"/>
        <v/>
      </c>
      <c r="G284" s="32" t="str">
        <f>IF(B284="","",ROUND(IF(AND(B284=$F$4,$I$5=0),D284-MIN($F$5,D284),IF(Simulatie!$C$13="Lineair",MIN(D284,Simulatie!$C$25),MIN(D284,MAX(0,$I$4-E284)))),2))</f>
        <v/>
      </c>
      <c r="H284" s="31" t="str">
        <f t="shared" si="39"/>
        <v/>
      </c>
      <c r="I284" s="31" t="str">
        <f t="shared" si="40"/>
        <v/>
      </c>
      <c r="J284" s="31" t="str">
        <f t="shared" si="41"/>
        <v/>
      </c>
      <c r="K284" s="31" t="str">
        <f t="shared" si="42"/>
        <v/>
      </c>
      <c r="L284" s="1"/>
      <c r="M284" s="1"/>
      <c r="N284" s="1"/>
      <c r="O284" s="1"/>
    </row>
    <row r="285" spans="1:15" ht="23" customHeight="1">
      <c r="A285" s="1"/>
      <c r="B285" s="29" t="str">
        <f t="shared" si="43"/>
        <v/>
      </c>
      <c r="C285" s="30" t="str">
        <f>IF(B285="","",EDATE(Simulatie!$C$14,B285-1))</f>
        <v/>
      </c>
      <c r="D285" s="31" t="str">
        <f t="shared" si="44"/>
        <v/>
      </c>
      <c r="E285" s="31" t="str">
        <f t="shared" si="37"/>
        <v/>
      </c>
      <c r="F285" s="31" t="str">
        <f t="shared" si="38"/>
        <v/>
      </c>
      <c r="G285" s="32" t="str">
        <f>IF(B285="","",ROUND(IF(AND(B285=$F$4,$I$5=0),D285-MIN($F$5,D285),IF(Simulatie!$C$13="Lineair",MIN(D285,Simulatie!$C$25),MIN(D285,MAX(0,$I$4-E285)))),2))</f>
        <v/>
      </c>
      <c r="H285" s="31" t="str">
        <f t="shared" si="39"/>
        <v/>
      </c>
      <c r="I285" s="31" t="str">
        <f t="shared" si="40"/>
        <v/>
      </c>
      <c r="J285" s="31" t="str">
        <f t="shared" si="41"/>
        <v/>
      </c>
      <c r="K285" s="31" t="str">
        <f t="shared" si="42"/>
        <v/>
      </c>
      <c r="L285" s="1"/>
      <c r="M285" s="1"/>
      <c r="N285" s="1"/>
      <c r="O285" s="1"/>
    </row>
    <row r="286" spans="1:15" ht="23" customHeight="1">
      <c r="A286" s="1"/>
      <c r="B286" s="29" t="str">
        <f t="shared" si="43"/>
        <v/>
      </c>
      <c r="C286" s="30" t="str">
        <f>IF(B286="","",EDATE(Simulatie!$C$14,B286-1))</f>
        <v/>
      </c>
      <c r="D286" s="31" t="str">
        <f t="shared" si="44"/>
        <v/>
      </c>
      <c r="E286" s="31" t="str">
        <f t="shared" si="37"/>
        <v/>
      </c>
      <c r="F286" s="31" t="str">
        <f t="shared" si="38"/>
        <v/>
      </c>
      <c r="G286" s="32" t="str">
        <f>IF(B286="","",ROUND(IF(AND(B286=$F$4,$I$5=0),D286-MIN($F$5,D286),IF(Simulatie!$C$13="Lineair",MIN(D286,Simulatie!$C$25),MIN(D286,MAX(0,$I$4-E286)))),2))</f>
        <v/>
      </c>
      <c r="H286" s="31" t="str">
        <f t="shared" si="39"/>
        <v/>
      </c>
      <c r="I286" s="31" t="str">
        <f t="shared" si="40"/>
        <v/>
      </c>
      <c r="J286" s="31" t="str">
        <f t="shared" si="41"/>
        <v/>
      </c>
      <c r="K286" s="31" t="str">
        <f t="shared" si="42"/>
        <v/>
      </c>
      <c r="L286" s="1"/>
      <c r="M286" s="1"/>
      <c r="N286" s="1"/>
      <c r="O286" s="1"/>
    </row>
    <row r="287" spans="1:15" ht="23" customHeight="1">
      <c r="A287" s="1"/>
      <c r="B287" s="29" t="str">
        <f t="shared" si="43"/>
        <v/>
      </c>
      <c r="C287" s="30" t="str">
        <f>IF(B287="","",EDATE(Simulatie!$C$14,B287-1))</f>
        <v/>
      </c>
      <c r="D287" s="31" t="str">
        <f t="shared" si="44"/>
        <v/>
      </c>
      <c r="E287" s="31" t="str">
        <f t="shared" si="37"/>
        <v/>
      </c>
      <c r="F287" s="31" t="str">
        <f t="shared" si="38"/>
        <v/>
      </c>
      <c r="G287" s="32" t="str">
        <f>IF(B287="","",ROUND(IF(AND(B287=$F$4,$I$5=0),D287-MIN($F$5,D287),IF(Simulatie!$C$13="Lineair",MIN(D287,Simulatie!$C$25),MIN(D287,MAX(0,$I$4-E287)))),2))</f>
        <v/>
      </c>
      <c r="H287" s="31" t="str">
        <f t="shared" si="39"/>
        <v/>
      </c>
      <c r="I287" s="31" t="str">
        <f t="shared" si="40"/>
        <v/>
      </c>
      <c r="J287" s="31" t="str">
        <f t="shared" si="41"/>
        <v/>
      </c>
      <c r="K287" s="31" t="str">
        <f t="shared" si="42"/>
        <v/>
      </c>
      <c r="L287" s="1"/>
      <c r="M287" s="1"/>
      <c r="N287" s="1"/>
      <c r="O287" s="1"/>
    </row>
    <row r="288" spans="1:15" ht="23" customHeight="1">
      <c r="A288" s="1"/>
      <c r="B288" s="29" t="str">
        <f t="shared" si="43"/>
        <v/>
      </c>
      <c r="C288" s="30" t="str">
        <f>IF(B288="","",EDATE(Simulatie!$C$14,B288-1))</f>
        <v/>
      </c>
      <c r="D288" s="31" t="str">
        <f t="shared" si="44"/>
        <v/>
      </c>
      <c r="E288" s="31" t="str">
        <f t="shared" si="37"/>
        <v/>
      </c>
      <c r="F288" s="31" t="str">
        <f t="shared" si="38"/>
        <v/>
      </c>
      <c r="G288" s="32" t="str">
        <f>IF(B288="","",ROUND(IF(AND(B288=$F$4,$I$5=0),D288-MIN($F$5,D288),IF(Simulatie!$C$13="Lineair",MIN(D288,Simulatie!$C$25),MIN(D288,MAX(0,$I$4-E288)))),2))</f>
        <v/>
      </c>
      <c r="H288" s="31" t="str">
        <f t="shared" si="39"/>
        <v/>
      </c>
      <c r="I288" s="31" t="str">
        <f t="shared" si="40"/>
        <v/>
      </c>
      <c r="J288" s="31" t="str">
        <f t="shared" si="41"/>
        <v/>
      </c>
      <c r="K288" s="31" t="str">
        <f t="shared" si="42"/>
        <v/>
      </c>
      <c r="L288" s="1"/>
      <c r="M288" s="1"/>
      <c r="N288" s="1"/>
      <c r="O288" s="1"/>
    </row>
    <row r="289" spans="1:15" ht="23" customHeight="1">
      <c r="A289" s="1"/>
      <c r="B289" s="29" t="str">
        <f t="shared" si="43"/>
        <v/>
      </c>
      <c r="C289" s="30" t="str">
        <f>IF(B289="","",EDATE(Simulatie!$C$14,B289-1))</f>
        <v/>
      </c>
      <c r="D289" s="31" t="str">
        <f t="shared" si="44"/>
        <v/>
      </c>
      <c r="E289" s="31" t="str">
        <f t="shared" si="37"/>
        <v/>
      </c>
      <c r="F289" s="31" t="str">
        <f t="shared" si="38"/>
        <v/>
      </c>
      <c r="G289" s="32" t="str">
        <f>IF(B289="","",ROUND(IF(AND(B289=$F$4,$I$5=0),D289-MIN($F$5,D289),IF(Simulatie!$C$13="Lineair",MIN(D289,Simulatie!$C$25),MIN(D289,MAX(0,$I$4-E289)))),2))</f>
        <v/>
      </c>
      <c r="H289" s="31" t="str">
        <f t="shared" si="39"/>
        <v/>
      </c>
      <c r="I289" s="31" t="str">
        <f t="shared" si="40"/>
        <v/>
      </c>
      <c r="J289" s="31" t="str">
        <f t="shared" si="41"/>
        <v/>
      </c>
      <c r="K289" s="31" t="str">
        <f t="shared" si="42"/>
        <v/>
      </c>
      <c r="L289" s="1"/>
      <c r="M289" s="1"/>
      <c r="N289" s="1"/>
      <c r="O289" s="1"/>
    </row>
    <row r="290" spans="1:15" ht="23" customHeight="1">
      <c r="A290" s="1"/>
      <c r="B290" s="29" t="str">
        <f t="shared" si="43"/>
        <v/>
      </c>
      <c r="C290" s="30" t="str">
        <f>IF(B290="","",EDATE(Simulatie!$C$14,B290-1))</f>
        <v/>
      </c>
      <c r="D290" s="31" t="str">
        <f t="shared" si="44"/>
        <v/>
      </c>
      <c r="E290" s="31" t="str">
        <f t="shared" si="37"/>
        <v/>
      </c>
      <c r="F290" s="31" t="str">
        <f t="shared" si="38"/>
        <v/>
      </c>
      <c r="G290" s="32" t="str">
        <f>IF(B290="","",ROUND(IF(AND(B290=$F$4,$I$5=0),D290-MIN($F$5,D290),IF(Simulatie!$C$13="Lineair",MIN(D290,Simulatie!$C$25),MIN(D290,MAX(0,$I$4-E290)))),2))</f>
        <v/>
      </c>
      <c r="H290" s="31" t="str">
        <f t="shared" si="39"/>
        <v/>
      </c>
      <c r="I290" s="31" t="str">
        <f t="shared" si="40"/>
        <v/>
      </c>
      <c r="J290" s="31" t="str">
        <f t="shared" si="41"/>
        <v/>
      </c>
      <c r="K290" s="31" t="str">
        <f t="shared" si="42"/>
        <v/>
      </c>
      <c r="L290" s="1"/>
      <c r="M290" s="1"/>
      <c r="N290" s="1"/>
      <c r="O290" s="1"/>
    </row>
    <row r="291" spans="1:15" ht="23" customHeight="1">
      <c r="A291" s="1"/>
      <c r="B291" s="29" t="str">
        <f t="shared" si="43"/>
        <v/>
      </c>
      <c r="C291" s="30" t="str">
        <f>IF(B291="","",EDATE(Simulatie!$C$14,B291-1))</f>
        <v/>
      </c>
      <c r="D291" s="31" t="str">
        <f t="shared" si="44"/>
        <v/>
      </c>
      <c r="E291" s="31" t="str">
        <f t="shared" si="37"/>
        <v/>
      </c>
      <c r="F291" s="31" t="str">
        <f t="shared" si="38"/>
        <v/>
      </c>
      <c r="G291" s="32" t="str">
        <f>IF(B291="","",ROUND(IF(AND(B291=$F$4,$I$5=0),D291-MIN($F$5,D291),IF(Simulatie!$C$13="Lineair",MIN(D291,Simulatie!$C$25),MIN(D291,MAX(0,$I$4-E291)))),2))</f>
        <v/>
      </c>
      <c r="H291" s="31" t="str">
        <f t="shared" si="39"/>
        <v/>
      </c>
      <c r="I291" s="31" t="str">
        <f t="shared" si="40"/>
        <v/>
      </c>
      <c r="J291" s="31" t="str">
        <f t="shared" si="41"/>
        <v/>
      </c>
      <c r="K291" s="31" t="str">
        <f t="shared" si="42"/>
        <v/>
      </c>
      <c r="L291" s="1"/>
      <c r="M291" s="1"/>
      <c r="N291" s="1"/>
      <c r="O291" s="1"/>
    </row>
    <row r="292" spans="1:15" ht="23" customHeight="1">
      <c r="A292" s="1"/>
      <c r="B292" s="29" t="str">
        <f t="shared" si="43"/>
        <v/>
      </c>
      <c r="C292" s="30" t="str">
        <f>IF(B292="","",EDATE(Simulatie!$C$14,B292-1))</f>
        <v/>
      </c>
      <c r="D292" s="31" t="str">
        <f t="shared" si="44"/>
        <v/>
      </c>
      <c r="E292" s="31" t="str">
        <f t="shared" si="37"/>
        <v/>
      </c>
      <c r="F292" s="31" t="str">
        <f t="shared" si="38"/>
        <v/>
      </c>
      <c r="G292" s="32" t="str">
        <f>IF(B292="","",ROUND(IF(AND(B292=$F$4,$I$5=0),D292-MIN($F$5,D292),IF(Simulatie!$C$13="Lineair",MIN(D292,Simulatie!$C$25),MIN(D292,MAX(0,$I$4-E292)))),2))</f>
        <v/>
      </c>
      <c r="H292" s="31" t="str">
        <f t="shared" si="39"/>
        <v/>
      </c>
      <c r="I292" s="31" t="str">
        <f t="shared" si="40"/>
        <v/>
      </c>
      <c r="J292" s="31" t="str">
        <f t="shared" si="41"/>
        <v/>
      </c>
      <c r="K292" s="31" t="str">
        <f t="shared" si="42"/>
        <v/>
      </c>
      <c r="L292" s="1"/>
      <c r="M292" s="1"/>
      <c r="N292" s="1"/>
      <c r="O292" s="1"/>
    </row>
    <row r="293" spans="1:15" ht="23" customHeight="1">
      <c r="A293" s="1"/>
      <c r="B293" s="29" t="str">
        <f t="shared" si="43"/>
        <v/>
      </c>
      <c r="C293" s="30" t="str">
        <f>IF(B293="","",EDATE(Simulatie!$C$14,B293-1))</f>
        <v/>
      </c>
      <c r="D293" s="31" t="str">
        <f t="shared" si="44"/>
        <v/>
      </c>
      <c r="E293" s="31" t="str">
        <f t="shared" si="37"/>
        <v/>
      </c>
      <c r="F293" s="31" t="str">
        <f t="shared" si="38"/>
        <v/>
      </c>
      <c r="G293" s="32" t="str">
        <f>IF(B293="","",ROUND(IF(AND(B293=$F$4,$I$5=0),D293-MIN($F$5,D293),IF(Simulatie!$C$13="Lineair",MIN(D293,Simulatie!$C$25),MIN(D293,MAX(0,$I$4-E293)))),2))</f>
        <v/>
      </c>
      <c r="H293" s="31" t="str">
        <f t="shared" si="39"/>
        <v/>
      </c>
      <c r="I293" s="31" t="str">
        <f t="shared" si="40"/>
        <v/>
      </c>
      <c r="J293" s="31" t="str">
        <f t="shared" si="41"/>
        <v/>
      </c>
      <c r="K293" s="31" t="str">
        <f t="shared" si="42"/>
        <v/>
      </c>
      <c r="L293" s="1"/>
      <c r="M293" s="1"/>
      <c r="N293" s="1"/>
      <c r="O293" s="1"/>
    </row>
    <row r="294" spans="1:15" ht="23" customHeight="1">
      <c r="A294" s="1"/>
      <c r="B294" s="29" t="str">
        <f t="shared" si="43"/>
        <v/>
      </c>
      <c r="C294" s="30" t="str">
        <f>IF(B294="","",EDATE(Simulatie!$C$14,B294-1))</f>
        <v/>
      </c>
      <c r="D294" s="31" t="str">
        <f t="shared" si="44"/>
        <v/>
      </c>
      <c r="E294" s="31" t="str">
        <f t="shared" si="37"/>
        <v/>
      </c>
      <c r="F294" s="31" t="str">
        <f t="shared" si="38"/>
        <v/>
      </c>
      <c r="G294" s="32" t="str">
        <f>IF(B294="","",ROUND(IF(AND(B294=$F$4,$I$5=0),D294-MIN($F$5,D294),IF(Simulatie!$C$13="Lineair",MIN(D294,Simulatie!$C$25),MIN(D294,MAX(0,$I$4-E294)))),2))</f>
        <v/>
      </c>
      <c r="H294" s="31" t="str">
        <f t="shared" si="39"/>
        <v/>
      </c>
      <c r="I294" s="31" t="str">
        <f t="shared" si="40"/>
        <v/>
      </c>
      <c r="J294" s="31" t="str">
        <f t="shared" si="41"/>
        <v/>
      </c>
      <c r="K294" s="31" t="str">
        <f t="shared" si="42"/>
        <v/>
      </c>
      <c r="L294" s="1"/>
      <c r="M294" s="1"/>
      <c r="N294" s="1"/>
      <c r="O294" s="1"/>
    </row>
    <row r="295" spans="1:15" ht="23" customHeight="1">
      <c r="A295" s="1"/>
      <c r="B295" s="29" t="str">
        <f t="shared" si="43"/>
        <v/>
      </c>
      <c r="C295" s="30" t="str">
        <f>IF(B295="","",EDATE(Simulatie!$C$14,B295-1))</f>
        <v/>
      </c>
      <c r="D295" s="31" t="str">
        <f t="shared" si="44"/>
        <v/>
      </c>
      <c r="E295" s="31" t="str">
        <f t="shared" si="37"/>
        <v/>
      </c>
      <c r="F295" s="31" t="str">
        <f t="shared" si="38"/>
        <v/>
      </c>
      <c r="G295" s="32" t="str">
        <f>IF(B295="","",ROUND(IF(AND(B295=$F$4,$I$5=0),D295-MIN($F$5,D295),IF(Simulatie!$C$13="Lineair",MIN(D295,Simulatie!$C$25),MIN(D295,MAX(0,$I$4-E295)))),2))</f>
        <v/>
      </c>
      <c r="H295" s="31" t="str">
        <f t="shared" si="39"/>
        <v/>
      </c>
      <c r="I295" s="31" t="str">
        <f t="shared" si="40"/>
        <v/>
      </c>
      <c r="J295" s="31" t="str">
        <f t="shared" si="41"/>
        <v/>
      </c>
      <c r="K295" s="31" t="str">
        <f t="shared" si="42"/>
        <v/>
      </c>
      <c r="L295" s="1"/>
      <c r="M295" s="1"/>
      <c r="N295" s="1"/>
      <c r="O295" s="1"/>
    </row>
    <row r="296" spans="1:15" ht="23" customHeight="1">
      <c r="A296" s="1"/>
      <c r="B296" s="29" t="str">
        <f t="shared" si="43"/>
        <v/>
      </c>
      <c r="C296" s="30" t="str">
        <f>IF(B296="","",EDATE(Simulatie!$C$14,B296-1))</f>
        <v/>
      </c>
      <c r="D296" s="31" t="str">
        <f t="shared" si="44"/>
        <v/>
      </c>
      <c r="E296" s="31" t="str">
        <f t="shared" si="37"/>
        <v/>
      </c>
      <c r="F296" s="31" t="str">
        <f t="shared" si="38"/>
        <v/>
      </c>
      <c r="G296" s="32" t="str">
        <f>IF(B296="","",ROUND(IF(AND(B296=$F$4,$I$5=0),D296-MIN($F$5,D296),IF(Simulatie!$C$13="Lineair",MIN(D296,Simulatie!$C$25),MIN(D296,MAX(0,$I$4-E296)))),2))</f>
        <v/>
      </c>
      <c r="H296" s="31" t="str">
        <f t="shared" si="39"/>
        <v/>
      </c>
      <c r="I296" s="31" t="str">
        <f t="shared" si="40"/>
        <v/>
      </c>
      <c r="J296" s="31" t="str">
        <f t="shared" si="41"/>
        <v/>
      </c>
      <c r="K296" s="31" t="str">
        <f t="shared" si="42"/>
        <v/>
      </c>
      <c r="L296" s="1"/>
      <c r="M296" s="1"/>
      <c r="N296" s="1"/>
      <c r="O296" s="1"/>
    </row>
    <row r="297" spans="1:15" ht="23" customHeight="1">
      <c r="A297" s="1"/>
      <c r="B297" s="29" t="str">
        <f t="shared" si="43"/>
        <v/>
      </c>
      <c r="C297" s="30" t="str">
        <f>IF(B297="","",EDATE(Simulatie!$C$14,B297-1))</f>
        <v/>
      </c>
      <c r="D297" s="31" t="str">
        <f t="shared" si="44"/>
        <v/>
      </c>
      <c r="E297" s="31" t="str">
        <f t="shared" si="37"/>
        <v/>
      </c>
      <c r="F297" s="31" t="str">
        <f t="shared" si="38"/>
        <v/>
      </c>
      <c r="G297" s="32" t="str">
        <f>IF(B297="","",ROUND(IF(AND(B297=$F$4,$I$5=0),D297-MIN($F$5,D297),IF(Simulatie!$C$13="Lineair",MIN(D297,Simulatie!$C$25),MIN(D297,MAX(0,$I$4-E297)))),2))</f>
        <v/>
      </c>
      <c r="H297" s="31" t="str">
        <f t="shared" si="39"/>
        <v/>
      </c>
      <c r="I297" s="31" t="str">
        <f t="shared" si="40"/>
        <v/>
      </c>
      <c r="J297" s="31" t="str">
        <f t="shared" si="41"/>
        <v/>
      </c>
      <c r="K297" s="31" t="str">
        <f t="shared" si="42"/>
        <v/>
      </c>
      <c r="L297" s="1"/>
      <c r="M297" s="1"/>
      <c r="N297" s="1"/>
      <c r="O297" s="1"/>
    </row>
    <row r="298" spans="1:15" ht="23" customHeight="1">
      <c r="A298" s="1"/>
      <c r="B298" s="29" t="str">
        <f t="shared" si="43"/>
        <v/>
      </c>
      <c r="C298" s="30" t="str">
        <f>IF(B298="","",EDATE(Simulatie!$C$14,B298-1))</f>
        <v/>
      </c>
      <c r="D298" s="31" t="str">
        <f t="shared" si="44"/>
        <v/>
      </c>
      <c r="E298" s="31" t="str">
        <f t="shared" si="37"/>
        <v/>
      </c>
      <c r="F298" s="31" t="str">
        <f t="shared" si="38"/>
        <v/>
      </c>
      <c r="G298" s="32" t="str">
        <f>IF(B298="","",ROUND(IF(AND(B298=$F$4,$I$5=0),D298-MIN($F$5,D298),IF(Simulatie!$C$13="Lineair",MIN(D298,Simulatie!$C$25),MIN(D298,MAX(0,$I$4-E298)))),2))</f>
        <v/>
      </c>
      <c r="H298" s="31" t="str">
        <f t="shared" si="39"/>
        <v/>
      </c>
      <c r="I298" s="31" t="str">
        <f t="shared" si="40"/>
        <v/>
      </c>
      <c r="J298" s="31" t="str">
        <f t="shared" si="41"/>
        <v/>
      </c>
      <c r="K298" s="31" t="str">
        <f t="shared" si="42"/>
        <v/>
      </c>
      <c r="L298" s="1"/>
      <c r="M298" s="1"/>
      <c r="N298" s="1"/>
      <c r="O298" s="1"/>
    </row>
    <row r="299" spans="1:15" ht="23" customHeight="1">
      <c r="A299" s="1"/>
      <c r="B299" s="29" t="str">
        <f t="shared" si="43"/>
        <v/>
      </c>
      <c r="C299" s="30" t="str">
        <f>IF(B299="","",EDATE(Simulatie!$C$14,B299-1))</f>
        <v/>
      </c>
      <c r="D299" s="31" t="str">
        <f t="shared" si="44"/>
        <v/>
      </c>
      <c r="E299" s="31" t="str">
        <f t="shared" si="37"/>
        <v/>
      </c>
      <c r="F299" s="31" t="str">
        <f t="shared" si="38"/>
        <v/>
      </c>
      <c r="G299" s="32" t="str">
        <f>IF(B299="","",ROUND(IF(AND(B299=$F$4,$I$5=0),D299-MIN($F$5,D299),IF(Simulatie!$C$13="Lineair",MIN(D299,Simulatie!$C$25),MIN(D299,MAX(0,$I$4-E299)))),2))</f>
        <v/>
      </c>
      <c r="H299" s="31" t="str">
        <f t="shared" si="39"/>
        <v/>
      </c>
      <c r="I299" s="31" t="str">
        <f t="shared" si="40"/>
        <v/>
      </c>
      <c r="J299" s="31" t="str">
        <f t="shared" si="41"/>
        <v/>
      </c>
      <c r="K299" s="31" t="str">
        <f t="shared" si="42"/>
        <v/>
      </c>
      <c r="L299" s="1"/>
      <c r="M299" s="1"/>
      <c r="N299" s="1"/>
      <c r="O299" s="1"/>
    </row>
    <row r="300" spans="1:15" ht="23" customHeight="1">
      <c r="A300" s="1"/>
      <c r="B300" s="29" t="str">
        <f t="shared" si="43"/>
        <v/>
      </c>
      <c r="C300" s="30" t="str">
        <f>IF(B300="","",EDATE(Simulatie!$C$14,B300-1))</f>
        <v/>
      </c>
      <c r="D300" s="31" t="str">
        <f t="shared" si="44"/>
        <v/>
      </c>
      <c r="E300" s="31" t="str">
        <f t="shared" si="37"/>
        <v/>
      </c>
      <c r="F300" s="31" t="str">
        <f t="shared" si="38"/>
        <v/>
      </c>
      <c r="G300" s="32" t="str">
        <f>IF(B300="","",ROUND(IF(AND(B300=$F$4,$I$5=0),D300-MIN($F$5,D300),IF(Simulatie!$C$13="Lineair",MIN(D300,Simulatie!$C$25),MIN(D300,MAX(0,$I$4-E300)))),2))</f>
        <v/>
      </c>
      <c r="H300" s="31" t="str">
        <f t="shared" si="39"/>
        <v/>
      </c>
      <c r="I300" s="31" t="str">
        <f t="shared" si="40"/>
        <v/>
      </c>
      <c r="J300" s="31" t="str">
        <f t="shared" si="41"/>
        <v/>
      </c>
      <c r="K300" s="31" t="str">
        <f t="shared" si="42"/>
        <v/>
      </c>
      <c r="L300" s="1"/>
      <c r="M300" s="1"/>
      <c r="N300" s="1"/>
      <c r="O300" s="1"/>
    </row>
    <row r="301" spans="1:15" ht="23" customHeight="1">
      <c r="A301" s="1"/>
      <c r="B301" s="29" t="str">
        <f t="shared" si="43"/>
        <v/>
      </c>
      <c r="C301" s="30" t="str">
        <f>IF(B301="","",EDATE(Simulatie!$C$14,B301-1))</f>
        <v/>
      </c>
      <c r="D301" s="31" t="str">
        <f t="shared" si="44"/>
        <v/>
      </c>
      <c r="E301" s="31" t="str">
        <f t="shared" si="37"/>
        <v/>
      </c>
      <c r="F301" s="31" t="str">
        <f t="shared" si="38"/>
        <v/>
      </c>
      <c r="G301" s="32" t="str">
        <f>IF(B301="","",ROUND(IF(AND(B301=$F$4,$I$5=0),D301-MIN($F$5,D301),IF(Simulatie!$C$13="Lineair",MIN(D301,Simulatie!$C$25),MIN(D301,MAX(0,$I$4-E301)))),2))</f>
        <v/>
      </c>
      <c r="H301" s="31" t="str">
        <f t="shared" si="39"/>
        <v/>
      </c>
      <c r="I301" s="31" t="str">
        <f t="shared" si="40"/>
        <v/>
      </c>
      <c r="J301" s="31" t="str">
        <f t="shared" si="41"/>
        <v/>
      </c>
      <c r="K301" s="31" t="str">
        <f t="shared" si="42"/>
        <v/>
      </c>
      <c r="L301" s="1"/>
      <c r="M301" s="1"/>
      <c r="N301" s="1"/>
      <c r="O301" s="1"/>
    </row>
    <row r="302" spans="1:15" ht="23" customHeight="1">
      <c r="A302" s="1"/>
      <c r="B302" s="29" t="str">
        <f t="shared" si="43"/>
        <v/>
      </c>
      <c r="C302" s="30" t="str">
        <f>IF(B302="","",EDATE(Simulatie!$C$14,B302-1))</f>
        <v/>
      </c>
      <c r="D302" s="31" t="str">
        <f t="shared" si="44"/>
        <v/>
      </c>
      <c r="E302" s="31" t="str">
        <f t="shared" si="37"/>
        <v/>
      </c>
      <c r="F302" s="31" t="str">
        <f t="shared" si="38"/>
        <v/>
      </c>
      <c r="G302" s="32" t="str">
        <f>IF(B302="","",ROUND(IF(AND(B302=$F$4,$I$5=0),D302-MIN($F$5,D302),IF(Simulatie!$C$13="Lineair",MIN(D302,Simulatie!$C$25),MIN(D302,MAX(0,$I$4-E302)))),2))</f>
        <v/>
      </c>
      <c r="H302" s="31" t="str">
        <f t="shared" si="39"/>
        <v/>
      </c>
      <c r="I302" s="31" t="str">
        <f t="shared" si="40"/>
        <v/>
      </c>
      <c r="J302" s="31" t="str">
        <f t="shared" si="41"/>
        <v/>
      </c>
      <c r="K302" s="31" t="str">
        <f t="shared" si="42"/>
        <v/>
      </c>
      <c r="L302" s="1"/>
      <c r="M302" s="1"/>
      <c r="N302" s="1"/>
      <c r="O302" s="1"/>
    </row>
    <row r="303" spans="1:15" ht="23" customHeight="1">
      <c r="A303" s="1"/>
      <c r="B303" s="29" t="str">
        <f t="shared" si="43"/>
        <v/>
      </c>
      <c r="C303" s="30" t="str">
        <f>IF(B303="","",EDATE(Simulatie!$C$14,B303-1))</f>
        <v/>
      </c>
      <c r="D303" s="31" t="str">
        <f t="shared" si="44"/>
        <v/>
      </c>
      <c r="E303" s="31" t="str">
        <f t="shared" si="37"/>
        <v/>
      </c>
      <c r="F303" s="31" t="str">
        <f t="shared" si="38"/>
        <v/>
      </c>
      <c r="G303" s="32" t="str">
        <f>IF(B303="","",ROUND(IF(AND(B303=$F$4,$I$5=0),D303-MIN($F$5,D303),IF(Simulatie!$C$13="Lineair",MIN(D303,Simulatie!$C$25),MIN(D303,MAX(0,$I$4-E303)))),2))</f>
        <v/>
      </c>
      <c r="H303" s="31" t="str">
        <f t="shared" si="39"/>
        <v/>
      </c>
      <c r="I303" s="31" t="str">
        <f t="shared" si="40"/>
        <v/>
      </c>
      <c r="J303" s="31" t="str">
        <f t="shared" si="41"/>
        <v/>
      </c>
      <c r="K303" s="31" t="str">
        <f t="shared" si="42"/>
        <v/>
      </c>
      <c r="L303" s="1"/>
      <c r="M303" s="1"/>
      <c r="N303" s="1"/>
      <c r="O303" s="1"/>
    </row>
    <row r="304" spans="1:15" ht="23" customHeight="1">
      <c r="A304" s="1"/>
      <c r="B304" s="29" t="str">
        <f t="shared" si="43"/>
        <v/>
      </c>
      <c r="C304" s="30" t="str">
        <f>IF(B304="","",EDATE(Simulatie!$C$14,B304-1))</f>
        <v/>
      </c>
      <c r="D304" s="31" t="str">
        <f t="shared" si="44"/>
        <v/>
      </c>
      <c r="E304" s="31" t="str">
        <f t="shared" si="37"/>
        <v/>
      </c>
      <c r="F304" s="31" t="str">
        <f t="shared" si="38"/>
        <v/>
      </c>
      <c r="G304" s="32" t="str">
        <f>IF(B304="","",ROUND(IF(AND(B304=$F$4,$I$5=0),D304-MIN($F$5,D304),IF(Simulatie!$C$13="Lineair",MIN(D304,Simulatie!$C$25),MIN(D304,MAX(0,$I$4-E304)))),2))</f>
        <v/>
      </c>
      <c r="H304" s="31" t="str">
        <f t="shared" si="39"/>
        <v/>
      </c>
      <c r="I304" s="31" t="str">
        <f t="shared" si="40"/>
        <v/>
      </c>
      <c r="J304" s="31" t="str">
        <f t="shared" si="41"/>
        <v/>
      </c>
      <c r="K304" s="31" t="str">
        <f t="shared" si="42"/>
        <v/>
      </c>
      <c r="L304" s="1"/>
      <c r="M304" s="1"/>
      <c r="N304" s="1"/>
      <c r="O304" s="1"/>
    </row>
    <row r="305" spans="1:15" ht="23" customHeight="1">
      <c r="A305" s="1"/>
      <c r="B305" s="29" t="str">
        <f t="shared" si="43"/>
        <v/>
      </c>
      <c r="C305" s="30" t="str">
        <f>IF(B305="","",EDATE(Simulatie!$C$14,B305-1))</f>
        <v/>
      </c>
      <c r="D305" s="31" t="str">
        <f t="shared" si="44"/>
        <v/>
      </c>
      <c r="E305" s="31" t="str">
        <f t="shared" si="37"/>
        <v/>
      </c>
      <c r="F305" s="31" t="str">
        <f t="shared" si="38"/>
        <v/>
      </c>
      <c r="G305" s="32" t="str">
        <f>IF(B305="","",ROUND(IF(AND(B305=$F$4,$I$5=0),D305-MIN($F$5,D305),IF(Simulatie!$C$13="Lineair",MIN(D305,Simulatie!$C$25),MIN(D305,MAX(0,$I$4-E305)))),2))</f>
        <v/>
      </c>
      <c r="H305" s="31" t="str">
        <f t="shared" si="39"/>
        <v/>
      </c>
      <c r="I305" s="31" t="str">
        <f t="shared" si="40"/>
        <v/>
      </c>
      <c r="J305" s="31" t="str">
        <f t="shared" si="41"/>
        <v/>
      </c>
      <c r="K305" s="31" t="str">
        <f t="shared" si="42"/>
        <v/>
      </c>
      <c r="L305" s="1"/>
      <c r="M305" s="1"/>
      <c r="N305" s="1"/>
      <c r="O305" s="1"/>
    </row>
    <row r="306" spans="1:15" ht="23" customHeight="1">
      <c r="A306" s="1"/>
      <c r="B306" s="29" t="str">
        <f t="shared" si="43"/>
        <v/>
      </c>
      <c r="C306" s="30" t="str">
        <f>IF(B306="","",EDATE(Simulatie!$C$14,B306-1))</f>
        <v/>
      </c>
      <c r="D306" s="31" t="str">
        <f t="shared" si="44"/>
        <v/>
      </c>
      <c r="E306" s="31" t="str">
        <f t="shared" si="37"/>
        <v/>
      </c>
      <c r="F306" s="31" t="str">
        <f t="shared" si="38"/>
        <v/>
      </c>
      <c r="G306" s="32" t="str">
        <f>IF(B306="","",ROUND(IF(AND(B306=$F$4,$I$5=0),D306-MIN($F$5,D306),IF(Simulatie!$C$13="Lineair",MIN(D306,Simulatie!$C$25),MIN(D306,MAX(0,$I$4-E306)))),2))</f>
        <v/>
      </c>
      <c r="H306" s="31" t="str">
        <f t="shared" si="39"/>
        <v/>
      </c>
      <c r="I306" s="31" t="str">
        <f t="shared" si="40"/>
        <v/>
      </c>
      <c r="J306" s="31" t="str">
        <f t="shared" si="41"/>
        <v/>
      </c>
      <c r="K306" s="31" t="str">
        <f t="shared" si="42"/>
        <v/>
      </c>
      <c r="L306" s="1"/>
      <c r="M306" s="1"/>
      <c r="N306" s="1"/>
      <c r="O306" s="1"/>
    </row>
    <row r="307" spans="1:15" ht="23" customHeight="1">
      <c r="A307" s="1"/>
      <c r="B307" s="29" t="str">
        <f t="shared" si="43"/>
        <v/>
      </c>
      <c r="C307" s="30" t="str">
        <f>IF(B307="","",EDATE(Simulatie!$C$14,B307-1))</f>
        <v/>
      </c>
      <c r="D307" s="31" t="str">
        <f t="shared" si="44"/>
        <v/>
      </c>
      <c r="E307" s="31" t="str">
        <f t="shared" si="37"/>
        <v/>
      </c>
      <c r="F307" s="31" t="str">
        <f t="shared" si="38"/>
        <v/>
      </c>
      <c r="G307" s="32" t="str">
        <f>IF(B307="","",ROUND(IF(AND(B307=$F$4,$I$5=0),D307-MIN($F$5,D307),IF(Simulatie!$C$13="Lineair",MIN(D307,Simulatie!$C$25),MIN(D307,MAX(0,$I$4-E307)))),2))</f>
        <v/>
      </c>
      <c r="H307" s="31" t="str">
        <f t="shared" si="39"/>
        <v/>
      </c>
      <c r="I307" s="31" t="str">
        <f t="shared" si="40"/>
        <v/>
      </c>
      <c r="J307" s="31" t="str">
        <f t="shared" si="41"/>
        <v/>
      </c>
      <c r="K307" s="31" t="str">
        <f t="shared" si="42"/>
        <v/>
      </c>
      <c r="L307" s="1"/>
      <c r="M307" s="1"/>
      <c r="N307" s="1"/>
      <c r="O307" s="1"/>
    </row>
    <row r="308" spans="1:15" ht="23" customHeight="1">
      <c r="A308" s="1"/>
      <c r="B308" s="29" t="str">
        <f t="shared" si="43"/>
        <v/>
      </c>
      <c r="C308" s="30" t="str">
        <f>IF(B308="","",EDATE(Simulatie!$C$14,B308-1))</f>
        <v/>
      </c>
      <c r="D308" s="31" t="str">
        <f t="shared" si="44"/>
        <v/>
      </c>
      <c r="E308" s="31" t="str">
        <f t="shared" si="37"/>
        <v/>
      </c>
      <c r="F308" s="31" t="str">
        <f t="shared" si="38"/>
        <v/>
      </c>
      <c r="G308" s="32" t="str">
        <f>IF(B308="","",ROUND(IF(AND(B308=$F$4,$I$5=0),D308-MIN($F$5,D308),IF(Simulatie!$C$13="Lineair",MIN(D308,Simulatie!$C$25),MIN(D308,MAX(0,$I$4-E308)))),2))</f>
        <v/>
      </c>
      <c r="H308" s="31" t="str">
        <f t="shared" si="39"/>
        <v/>
      </c>
      <c r="I308" s="31" t="str">
        <f t="shared" si="40"/>
        <v/>
      </c>
      <c r="J308" s="31" t="str">
        <f t="shared" si="41"/>
        <v/>
      </c>
      <c r="K308" s="31" t="str">
        <f t="shared" si="42"/>
        <v/>
      </c>
      <c r="L308" s="1"/>
      <c r="M308" s="1"/>
      <c r="N308" s="1"/>
      <c r="O308" s="1"/>
    </row>
    <row r="309" spans="1:15" ht="23" customHeight="1">
      <c r="A309" s="1"/>
      <c r="B309" s="29" t="str">
        <f t="shared" si="43"/>
        <v/>
      </c>
      <c r="C309" s="30" t="str">
        <f>IF(B309="","",EDATE(Simulatie!$C$14,B309-1))</f>
        <v/>
      </c>
      <c r="D309" s="31" t="str">
        <f t="shared" si="44"/>
        <v/>
      </c>
      <c r="E309" s="31" t="str">
        <f t="shared" si="37"/>
        <v/>
      </c>
      <c r="F309" s="31" t="str">
        <f t="shared" si="38"/>
        <v/>
      </c>
      <c r="G309" s="32" t="str">
        <f>IF(B309="","",ROUND(IF(AND(B309=$F$4,$I$5=0),D309-MIN($F$5,D309),IF(Simulatie!$C$13="Lineair",MIN(D309,Simulatie!$C$25),MIN(D309,MAX(0,$I$4-E309)))),2))</f>
        <v/>
      </c>
      <c r="H309" s="31" t="str">
        <f t="shared" si="39"/>
        <v/>
      </c>
      <c r="I309" s="31" t="str">
        <f t="shared" si="40"/>
        <v/>
      </c>
      <c r="J309" s="31" t="str">
        <f t="shared" si="41"/>
        <v/>
      </c>
      <c r="K309" s="31" t="str">
        <f t="shared" si="42"/>
        <v/>
      </c>
      <c r="L309" s="1"/>
      <c r="M309" s="1"/>
      <c r="N309" s="1"/>
      <c r="O309" s="1"/>
    </row>
    <row r="310" spans="1:15" ht="23" customHeight="1">
      <c r="A310" s="1"/>
      <c r="B310" s="29" t="str">
        <f t="shared" si="43"/>
        <v/>
      </c>
      <c r="C310" s="30" t="str">
        <f>IF(B310="","",EDATE(Simulatie!$C$14,B310-1))</f>
        <v/>
      </c>
      <c r="D310" s="31" t="str">
        <f t="shared" si="44"/>
        <v/>
      </c>
      <c r="E310" s="31" t="str">
        <f t="shared" si="37"/>
        <v/>
      </c>
      <c r="F310" s="31" t="str">
        <f t="shared" si="38"/>
        <v/>
      </c>
      <c r="G310" s="32" t="str">
        <f>IF(B310="","",ROUND(IF(AND(B310=$F$4,$I$5=0),D310-MIN($F$5,D310),IF(Simulatie!$C$13="Lineair",MIN(D310,Simulatie!$C$25),MIN(D310,MAX(0,$I$4-E310)))),2))</f>
        <v/>
      </c>
      <c r="H310" s="31" t="str">
        <f t="shared" si="39"/>
        <v/>
      </c>
      <c r="I310" s="31" t="str">
        <f t="shared" si="40"/>
        <v/>
      </c>
      <c r="J310" s="31" t="str">
        <f t="shared" si="41"/>
        <v/>
      </c>
      <c r="K310" s="31" t="str">
        <f t="shared" si="42"/>
        <v/>
      </c>
      <c r="L310" s="1"/>
      <c r="M310" s="1"/>
      <c r="N310" s="1"/>
      <c r="O310" s="1"/>
    </row>
    <row r="311" spans="1:15" ht="23" customHeight="1">
      <c r="A311" s="1"/>
      <c r="B311" s="29" t="str">
        <f t="shared" si="43"/>
        <v/>
      </c>
      <c r="C311" s="30" t="str">
        <f>IF(B311="","",EDATE(Simulatie!$C$14,B311-1))</f>
        <v/>
      </c>
      <c r="D311" s="31" t="str">
        <f t="shared" si="44"/>
        <v/>
      </c>
      <c r="E311" s="31" t="str">
        <f t="shared" si="37"/>
        <v/>
      </c>
      <c r="F311" s="31" t="str">
        <f t="shared" si="38"/>
        <v/>
      </c>
      <c r="G311" s="32" t="str">
        <f>IF(B311="","",ROUND(IF(AND(B311=$F$4,$I$5=0),D311-MIN($F$5,D311),IF(Simulatie!$C$13="Lineair",MIN(D311,Simulatie!$C$25),MIN(D311,MAX(0,$I$4-E311)))),2))</f>
        <v/>
      </c>
      <c r="H311" s="31" t="str">
        <f t="shared" si="39"/>
        <v/>
      </c>
      <c r="I311" s="31" t="str">
        <f t="shared" si="40"/>
        <v/>
      </c>
      <c r="J311" s="31" t="str">
        <f t="shared" si="41"/>
        <v/>
      </c>
      <c r="K311" s="31" t="str">
        <f t="shared" si="42"/>
        <v/>
      </c>
      <c r="L311" s="1"/>
      <c r="M311" s="1"/>
      <c r="N311" s="1"/>
      <c r="O311" s="1"/>
    </row>
    <row r="312" spans="1:15" ht="23" customHeight="1">
      <c r="A312" s="1"/>
      <c r="B312" s="29" t="str">
        <f t="shared" si="43"/>
        <v/>
      </c>
      <c r="C312" s="30" t="str">
        <f>IF(B312="","",EDATE(Simulatie!$C$14,B312-1))</f>
        <v/>
      </c>
      <c r="D312" s="31" t="str">
        <f t="shared" si="44"/>
        <v/>
      </c>
      <c r="E312" s="31" t="str">
        <f t="shared" si="37"/>
        <v/>
      </c>
      <c r="F312" s="31" t="str">
        <f t="shared" si="38"/>
        <v/>
      </c>
      <c r="G312" s="32" t="str">
        <f>IF(B312="","",ROUND(IF(AND(B312=$F$4,$I$5=0),D312-MIN($F$5,D312),IF(Simulatie!$C$13="Lineair",MIN(D312,Simulatie!$C$25),MIN(D312,MAX(0,$I$4-E312)))),2))</f>
        <v/>
      </c>
      <c r="H312" s="31" t="str">
        <f t="shared" si="39"/>
        <v/>
      </c>
      <c r="I312" s="31" t="str">
        <f t="shared" si="40"/>
        <v/>
      </c>
      <c r="J312" s="31" t="str">
        <f t="shared" si="41"/>
        <v/>
      </c>
      <c r="K312" s="31" t="str">
        <f t="shared" si="42"/>
        <v/>
      </c>
      <c r="L312" s="1"/>
      <c r="M312" s="1"/>
      <c r="N312" s="1"/>
      <c r="O312" s="1"/>
    </row>
    <row r="313" spans="1:15" ht="23" customHeight="1">
      <c r="A313" s="1"/>
      <c r="B313" s="29" t="str">
        <f t="shared" si="43"/>
        <v/>
      </c>
      <c r="C313" s="30" t="str">
        <f>IF(B313="","",EDATE(Simulatie!$C$14,B313-1))</f>
        <v/>
      </c>
      <c r="D313" s="31" t="str">
        <f t="shared" si="44"/>
        <v/>
      </c>
      <c r="E313" s="31" t="str">
        <f t="shared" si="37"/>
        <v/>
      </c>
      <c r="F313" s="31" t="str">
        <f t="shared" si="38"/>
        <v/>
      </c>
      <c r="G313" s="32" t="str">
        <f>IF(B313="","",ROUND(IF(AND(B313=$F$4,$I$5=0),D313-MIN($F$5,D313),IF(Simulatie!$C$13="Lineair",MIN(D313,Simulatie!$C$25),MIN(D313,MAX(0,$I$4-E313)))),2))</f>
        <v/>
      </c>
      <c r="H313" s="31" t="str">
        <f t="shared" si="39"/>
        <v/>
      </c>
      <c r="I313" s="31" t="str">
        <f t="shared" si="40"/>
        <v/>
      </c>
      <c r="J313" s="31" t="str">
        <f t="shared" si="41"/>
        <v/>
      </c>
      <c r="K313" s="31" t="str">
        <f t="shared" si="42"/>
        <v/>
      </c>
      <c r="L313" s="1"/>
      <c r="M313" s="1"/>
      <c r="N313" s="1"/>
      <c r="O313" s="1"/>
    </row>
    <row r="314" spans="1:15" ht="23" customHeight="1">
      <c r="A314" s="1"/>
      <c r="B314" s="29" t="str">
        <f t="shared" si="43"/>
        <v/>
      </c>
      <c r="C314" s="30" t="str">
        <f>IF(B314="","",EDATE(Simulatie!$C$14,B314-1))</f>
        <v/>
      </c>
      <c r="D314" s="31" t="str">
        <f t="shared" si="44"/>
        <v/>
      </c>
      <c r="E314" s="31" t="str">
        <f t="shared" si="37"/>
        <v/>
      </c>
      <c r="F314" s="31" t="str">
        <f t="shared" si="38"/>
        <v/>
      </c>
      <c r="G314" s="32" t="str">
        <f>IF(B314="","",ROUND(IF(AND(B314=$F$4,$I$5=0),D314-MIN($F$5,D314),IF(Simulatie!$C$13="Lineair",MIN(D314,Simulatie!$C$25),MIN(D314,MAX(0,$I$4-E314)))),2))</f>
        <v/>
      </c>
      <c r="H314" s="31" t="str">
        <f t="shared" si="39"/>
        <v/>
      </c>
      <c r="I314" s="31" t="str">
        <f t="shared" si="40"/>
        <v/>
      </c>
      <c r="J314" s="31" t="str">
        <f t="shared" si="41"/>
        <v/>
      </c>
      <c r="K314" s="31" t="str">
        <f t="shared" si="42"/>
        <v/>
      </c>
      <c r="L314" s="1"/>
      <c r="M314" s="1"/>
      <c r="N314" s="1"/>
      <c r="O314" s="1"/>
    </row>
    <row r="315" spans="1:15" ht="23" customHeight="1">
      <c r="A315" s="1"/>
      <c r="B315" s="29" t="str">
        <f t="shared" si="43"/>
        <v/>
      </c>
      <c r="C315" s="30" t="str">
        <f>IF(B315="","",EDATE(Simulatie!$C$14,B315-1))</f>
        <v/>
      </c>
      <c r="D315" s="31" t="str">
        <f t="shared" si="44"/>
        <v/>
      </c>
      <c r="E315" s="31" t="str">
        <f t="shared" si="37"/>
        <v/>
      </c>
      <c r="F315" s="31" t="str">
        <f t="shared" si="38"/>
        <v/>
      </c>
      <c r="G315" s="32" t="str">
        <f>IF(B315="","",ROUND(IF(AND(B315=$F$4,$I$5=0),D315-MIN($F$5,D315),IF(Simulatie!$C$13="Lineair",MIN(D315,Simulatie!$C$25),MIN(D315,MAX(0,$I$4-E315)))),2))</f>
        <v/>
      </c>
      <c r="H315" s="31" t="str">
        <f t="shared" si="39"/>
        <v/>
      </c>
      <c r="I315" s="31" t="str">
        <f t="shared" si="40"/>
        <v/>
      </c>
      <c r="J315" s="31" t="str">
        <f t="shared" si="41"/>
        <v/>
      </c>
      <c r="K315" s="31" t="str">
        <f t="shared" si="42"/>
        <v/>
      </c>
      <c r="L315" s="1"/>
      <c r="M315" s="1"/>
      <c r="N315" s="1"/>
      <c r="O315" s="1"/>
    </row>
    <row r="316" spans="1:15" ht="23" customHeight="1">
      <c r="A316" s="1"/>
      <c r="B316" s="29" t="str">
        <f t="shared" si="43"/>
        <v/>
      </c>
      <c r="C316" s="30" t="str">
        <f>IF(B316="","",EDATE(Simulatie!$C$14,B316-1))</f>
        <v/>
      </c>
      <c r="D316" s="31" t="str">
        <f t="shared" si="44"/>
        <v/>
      </c>
      <c r="E316" s="31" t="str">
        <f t="shared" si="37"/>
        <v/>
      </c>
      <c r="F316" s="31" t="str">
        <f t="shared" si="38"/>
        <v/>
      </c>
      <c r="G316" s="32" t="str">
        <f>IF(B316="","",ROUND(IF(AND(B316=$F$4,$I$5=0),D316-MIN($F$5,D316),IF(Simulatie!$C$13="Lineair",MIN(D316,Simulatie!$C$25),MIN(D316,MAX(0,$I$4-E316)))),2))</f>
        <v/>
      </c>
      <c r="H316" s="31" t="str">
        <f t="shared" si="39"/>
        <v/>
      </c>
      <c r="I316" s="31" t="str">
        <f t="shared" si="40"/>
        <v/>
      </c>
      <c r="J316" s="31" t="str">
        <f t="shared" si="41"/>
        <v/>
      </c>
      <c r="K316" s="31" t="str">
        <f t="shared" si="42"/>
        <v/>
      </c>
      <c r="L316" s="1"/>
      <c r="M316" s="1"/>
      <c r="N316" s="1"/>
      <c r="O316" s="1"/>
    </row>
    <row r="317" spans="1:15" ht="23" customHeight="1">
      <c r="A317" s="1"/>
      <c r="B317" s="29" t="str">
        <f t="shared" si="43"/>
        <v/>
      </c>
      <c r="C317" s="30" t="str">
        <f>IF(B317="","",EDATE(Simulatie!$C$14,B317-1))</f>
        <v/>
      </c>
      <c r="D317" s="31" t="str">
        <f t="shared" si="44"/>
        <v/>
      </c>
      <c r="E317" s="31" t="str">
        <f t="shared" si="37"/>
        <v/>
      </c>
      <c r="F317" s="31" t="str">
        <f t="shared" si="38"/>
        <v/>
      </c>
      <c r="G317" s="32" t="str">
        <f>IF(B317="","",ROUND(IF(AND(B317=$F$4,$I$5=0),D317-MIN($F$5,D317),IF(Simulatie!$C$13="Lineair",MIN(D317,Simulatie!$C$25),MIN(D317,MAX(0,$I$4-E317)))),2))</f>
        <v/>
      </c>
      <c r="H317" s="31" t="str">
        <f t="shared" si="39"/>
        <v/>
      </c>
      <c r="I317" s="31" t="str">
        <f t="shared" si="40"/>
        <v/>
      </c>
      <c r="J317" s="31" t="str">
        <f t="shared" si="41"/>
        <v/>
      </c>
      <c r="K317" s="31" t="str">
        <f t="shared" si="42"/>
        <v/>
      </c>
      <c r="L317" s="1"/>
      <c r="M317" s="1"/>
      <c r="N317" s="1"/>
      <c r="O317" s="1"/>
    </row>
    <row r="318" spans="1:15" ht="23" customHeight="1">
      <c r="A318" s="1"/>
      <c r="B318" s="29" t="str">
        <f t="shared" si="43"/>
        <v/>
      </c>
      <c r="C318" s="30" t="str">
        <f>IF(B318="","",EDATE(Simulatie!$C$14,B318-1))</f>
        <v/>
      </c>
      <c r="D318" s="31" t="str">
        <f t="shared" si="44"/>
        <v/>
      </c>
      <c r="E318" s="31" t="str">
        <f t="shared" si="37"/>
        <v/>
      </c>
      <c r="F318" s="31" t="str">
        <f t="shared" si="38"/>
        <v/>
      </c>
      <c r="G318" s="32" t="str">
        <f>IF(B318="","",ROUND(IF(AND(B318=$F$4,$I$5=0),D318-MIN($F$5,D318),IF(Simulatie!$C$13="Lineair",MIN(D318,Simulatie!$C$25),MIN(D318,MAX(0,$I$4-E318)))),2))</f>
        <v/>
      </c>
      <c r="H318" s="31" t="str">
        <f t="shared" si="39"/>
        <v/>
      </c>
      <c r="I318" s="31" t="str">
        <f t="shared" si="40"/>
        <v/>
      </c>
      <c r="J318" s="31" t="str">
        <f t="shared" si="41"/>
        <v/>
      </c>
      <c r="K318" s="31" t="str">
        <f t="shared" si="42"/>
        <v/>
      </c>
      <c r="L318" s="1"/>
      <c r="M318" s="1"/>
      <c r="N318" s="1"/>
      <c r="O318" s="1"/>
    </row>
    <row r="319" spans="1:15" ht="23" customHeight="1">
      <c r="A319" s="1"/>
      <c r="B319" s="29" t="str">
        <f t="shared" si="43"/>
        <v/>
      </c>
      <c r="C319" s="30" t="str">
        <f>IF(B319="","",EDATE(Simulatie!$C$14,B319-1))</f>
        <v/>
      </c>
      <c r="D319" s="31" t="str">
        <f t="shared" si="44"/>
        <v/>
      </c>
      <c r="E319" s="31" t="str">
        <f t="shared" si="37"/>
        <v/>
      </c>
      <c r="F319" s="31" t="str">
        <f t="shared" si="38"/>
        <v/>
      </c>
      <c r="G319" s="32" t="str">
        <f>IF(B319="","",ROUND(IF(AND(B319=$F$4,$I$5=0),D319-MIN($F$5,D319),IF(Simulatie!$C$13="Lineair",MIN(D319,Simulatie!$C$25),MIN(D319,MAX(0,$I$4-E319)))),2))</f>
        <v/>
      </c>
      <c r="H319" s="31" t="str">
        <f t="shared" si="39"/>
        <v/>
      </c>
      <c r="I319" s="31" t="str">
        <f t="shared" si="40"/>
        <v/>
      </c>
      <c r="J319" s="31" t="str">
        <f t="shared" si="41"/>
        <v/>
      </c>
      <c r="K319" s="31" t="str">
        <f t="shared" si="42"/>
        <v/>
      </c>
      <c r="L319" s="1"/>
      <c r="M319" s="1"/>
      <c r="N319" s="1"/>
      <c r="O319" s="1"/>
    </row>
    <row r="320" spans="1:15" ht="23" customHeight="1">
      <c r="A320" s="1"/>
      <c r="B320" s="29" t="str">
        <f t="shared" si="43"/>
        <v/>
      </c>
      <c r="C320" s="30" t="str">
        <f>IF(B320="","",EDATE(Simulatie!$C$14,B320-1))</f>
        <v/>
      </c>
      <c r="D320" s="31" t="str">
        <f t="shared" si="44"/>
        <v/>
      </c>
      <c r="E320" s="31" t="str">
        <f t="shared" si="37"/>
        <v/>
      </c>
      <c r="F320" s="31" t="str">
        <f t="shared" si="38"/>
        <v/>
      </c>
      <c r="G320" s="32" t="str">
        <f>IF(B320="","",ROUND(IF(AND(B320=$F$4,$I$5=0),D320-MIN($F$5,D320),IF(Simulatie!$C$13="Lineair",MIN(D320,Simulatie!$C$25),MIN(D320,MAX(0,$I$4-E320)))),2))</f>
        <v/>
      </c>
      <c r="H320" s="31" t="str">
        <f t="shared" si="39"/>
        <v/>
      </c>
      <c r="I320" s="31" t="str">
        <f t="shared" si="40"/>
        <v/>
      </c>
      <c r="J320" s="31" t="str">
        <f t="shared" si="41"/>
        <v/>
      </c>
      <c r="K320" s="31" t="str">
        <f t="shared" si="42"/>
        <v/>
      </c>
      <c r="L320" s="1"/>
      <c r="M320" s="1"/>
      <c r="N320" s="1"/>
      <c r="O320" s="1"/>
    </row>
    <row r="321" spans="1:15" ht="23" customHeight="1">
      <c r="A321" s="1"/>
      <c r="B321" s="29" t="str">
        <f t="shared" si="43"/>
        <v/>
      </c>
      <c r="C321" s="30" t="str">
        <f>IF(B321="","",EDATE(Simulatie!$C$14,B321-1))</f>
        <v/>
      </c>
      <c r="D321" s="31" t="str">
        <f t="shared" si="44"/>
        <v/>
      </c>
      <c r="E321" s="31" t="str">
        <f t="shared" si="37"/>
        <v/>
      </c>
      <c r="F321" s="31" t="str">
        <f t="shared" si="38"/>
        <v/>
      </c>
      <c r="G321" s="32" t="str">
        <f>IF(B321="","",ROUND(IF(AND(B321=$F$4,$I$5=0),D321-MIN($F$5,D321),IF(Simulatie!$C$13="Lineair",MIN(D321,Simulatie!$C$25),MIN(D321,MAX(0,$I$4-E321)))),2))</f>
        <v/>
      </c>
      <c r="H321" s="31" t="str">
        <f t="shared" si="39"/>
        <v/>
      </c>
      <c r="I321" s="31" t="str">
        <f t="shared" si="40"/>
        <v/>
      </c>
      <c r="J321" s="31" t="str">
        <f t="shared" si="41"/>
        <v/>
      </c>
      <c r="K321" s="31" t="str">
        <f t="shared" si="42"/>
        <v/>
      </c>
      <c r="L321" s="1"/>
      <c r="M321" s="1"/>
      <c r="N321" s="1"/>
      <c r="O321" s="1"/>
    </row>
    <row r="322" spans="1:15" ht="23" customHeight="1">
      <c r="A322" s="1"/>
      <c r="B322" s="29" t="str">
        <f t="shared" si="43"/>
        <v/>
      </c>
      <c r="C322" s="30" t="str">
        <f>IF(B322="","",EDATE(Simulatie!$C$14,B322-1))</f>
        <v/>
      </c>
      <c r="D322" s="31" t="str">
        <f t="shared" si="44"/>
        <v/>
      </c>
      <c r="E322" s="31" t="str">
        <f t="shared" si="37"/>
        <v/>
      </c>
      <c r="F322" s="31" t="str">
        <f t="shared" si="38"/>
        <v/>
      </c>
      <c r="G322" s="32" t="str">
        <f>IF(B322="","",ROUND(IF(AND(B322=$F$4,$I$5=0),D322-MIN($F$5,D322),IF(Simulatie!$C$13="Lineair",MIN(D322,Simulatie!$C$25),MIN(D322,MAX(0,$I$4-E322)))),2))</f>
        <v/>
      </c>
      <c r="H322" s="31" t="str">
        <f t="shared" si="39"/>
        <v/>
      </c>
      <c r="I322" s="31" t="str">
        <f t="shared" si="40"/>
        <v/>
      </c>
      <c r="J322" s="31" t="str">
        <f t="shared" si="41"/>
        <v/>
      </c>
      <c r="K322" s="31" t="str">
        <f t="shared" si="42"/>
        <v/>
      </c>
      <c r="L322" s="1"/>
      <c r="M322" s="1"/>
      <c r="N322" s="1"/>
      <c r="O322" s="1"/>
    </row>
    <row r="323" spans="1:15" ht="23" customHeight="1">
      <c r="A323" s="1"/>
      <c r="B323" s="29" t="str">
        <f t="shared" si="43"/>
        <v/>
      </c>
      <c r="C323" s="30" t="str">
        <f>IF(B323="","",EDATE(Simulatie!$C$14,B323-1))</f>
        <v/>
      </c>
      <c r="D323" s="31" t="str">
        <f t="shared" si="44"/>
        <v/>
      </c>
      <c r="E323" s="31" t="str">
        <f t="shared" si="37"/>
        <v/>
      </c>
      <c r="F323" s="31" t="str">
        <f t="shared" si="38"/>
        <v/>
      </c>
      <c r="G323" s="32" t="str">
        <f>IF(B323="","",ROUND(IF(AND(B323=$F$4,$I$5=0),D323-MIN($F$5,D323),IF(Simulatie!$C$13="Lineair",MIN(D323,Simulatie!$C$25),MIN(D323,MAX(0,$I$4-E323)))),2))</f>
        <v/>
      </c>
      <c r="H323" s="31" t="str">
        <f t="shared" si="39"/>
        <v/>
      </c>
      <c r="I323" s="31" t="str">
        <f t="shared" si="40"/>
        <v/>
      </c>
      <c r="J323" s="31" t="str">
        <f t="shared" si="41"/>
        <v/>
      </c>
      <c r="K323" s="31" t="str">
        <f t="shared" si="42"/>
        <v/>
      </c>
      <c r="L323" s="1"/>
      <c r="M323" s="1"/>
      <c r="N323" s="1"/>
      <c r="O323" s="1"/>
    </row>
    <row r="324" spans="1:15" ht="23" customHeight="1">
      <c r="A324" s="1"/>
      <c r="B324" s="29" t="str">
        <f t="shared" si="43"/>
        <v/>
      </c>
      <c r="C324" s="30" t="str">
        <f>IF(B324="","",EDATE(Simulatie!$C$14,B324-1))</f>
        <v/>
      </c>
      <c r="D324" s="31" t="str">
        <f t="shared" si="44"/>
        <v/>
      </c>
      <c r="E324" s="31" t="str">
        <f t="shared" si="37"/>
        <v/>
      </c>
      <c r="F324" s="31" t="str">
        <f t="shared" si="38"/>
        <v/>
      </c>
      <c r="G324" s="32" t="str">
        <f>IF(B324="","",ROUND(IF(AND(B324=$F$4,$I$5=0),D324-MIN($F$5,D324),IF(Simulatie!$C$13="Lineair",MIN(D324,Simulatie!$C$25),MIN(D324,MAX(0,$I$4-E324)))),2))</f>
        <v/>
      </c>
      <c r="H324" s="31" t="str">
        <f t="shared" si="39"/>
        <v/>
      </c>
      <c r="I324" s="31" t="str">
        <f t="shared" si="40"/>
        <v/>
      </c>
      <c r="J324" s="31" t="str">
        <f t="shared" si="41"/>
        <v/>
      </c>
      <c r="K324" s="31" t="str">
        <f t="shared" si="42"/>
        <v/>
      </c>
      <c r="L324" s="1"/>
      <c r="M324" s="1"/>
      <c r="N324" s="1"/>
      <c r="O324" s="1"/>
    </row>
    <row r="325" spans="1:15" ht="23" customHeight="1">
      <c r="A325" s="1"/>
      <c r="B325" s="29" t="str">
        <f t="shared" si="43"/>
        <v/>
      </c>
      <c r="C325" s="30" t="str">
        <f>IF(B325="","",EDATE(Simulatie!$C$14,B325-1))</f>
        <v/>
      </c>
      <c r="D325" s="31" t="str">
        <f t="shared" si="44"/>
        <v/>
      </c>
      <c r="E325" s="31" t="str">
        <f t="shared" si="37"/>
        <v/>
      </c>
      <c r="F325" s="31" t="str">
        <f t="shared" si="38"/>
        <v/>
      </c>
      <c r="G325" s="32" t="str">
        <f>IF(B325="","",ROUND(IF(AND(B325=$F$4,$I$5=0),D325-MIN($F$5,D325),IF(Simulatie!$C$13="Lineair",MIN(D325,Simulatie!$C$25),MIN(D325,MAX(0,$I$4-E325)))),2))</f>
        <v/>
      </c>
      <c r="H325" s="31" t="str">
        <f t="shared" si="39"/>
        <v/>
      </c>
      <c r="I325" s="31" t="str">
        <f t="shared" si="40"/>
        <v/>
      </c>
      <c r="J325" s="31" t="str">
        <f t="shared" si="41"/>
        <v/>
      </c>
      <c r="K325" s="31" t="str">
        <f t="shared" si="42"/>
        <v/>
      </c>
      <c r="L325" s="1"/>
      <c r="M325" s="1"/>
      <c r="N325" s="1"/>
      <c r="O325" s="1"/>
    </row>
    <row r="326" spans="1:15" ht="23" customHeight="1">
      <c r="A326" s="1"/>
      <c r="B326" s="29" t="str">
        <f t="shared" si="43"/>
        <v/>
      </c>
      <c r="C326" s="30" t="str">
        <f>IF(B326="","",EDATE(Simulatie!$C$14,B326-1))</f>
        <v/>
      </c>
      <c r="D326" s="31" t="str">
        <f t="shared" si="44"/>
        <v/>
      </c>
      <c r="E326" s="31" t="str">
        <f t="shared" si="37"/>
        <v/>
      </c>
      <c r="F326" s="31" t="str">
        <f t="shared" si="38"/>
        <v/>
      </c>
      <c r="G326" s="32" t="str">
        <f>IF(B326="","",ROUND(IF(AND(B326=$F$4,$I$5=0),D326-MIN($F$5,D326),IF(Simulatie!$C$13="Lineair",MIN(D326,Simulatie!$C$25),MIN(D326,MAX(0,$I$4-E326)))),2))</f>
        <v/>
      </c>
      <c r="H326" s="31" t="str">
        <f t="shared" si="39"/>
        <v/>
      </c>
      <c r="I326" s="31" t="str">
        <f t="shared" si="40"/>
        <v/>
      </c>
      <c r="J326" s="31" t="str">
        <f t="shared" si="41"/>
        <v/>
      </c>
      <c r="K326" s="31" t="str">
        <f t="shared" si="42"/>
        <v/>
      </c>
      <c r="L326" s="1"/>
      <c r="M326" s="1"/>
      <c r="N326" s="1"/>
      <c r="O326" s="1"/>
    </row>
    <row r="327" spans="1:15" ht="23" customHeight="1">
      <c r="A327" s="1"/>
      <c r="B327" s="29" t="str">
        <f t="shared" si="43"/>
        <v/>
      </c>
      <c r="C327" s="30" t="str">
        <f>IF(B327="","",EDATE(Simulatie!$C$14,B327-1))</f>
        <v/>
      </c>
      <c r="D327" s="31" t="str">
        <f t="shared" si="44"/>
        <v/>
      </c>
      <c r="E327" s="31" t="str">
        <f t="shared" si="37"/>
        <v/>
      </c>
      <c r="F327" s="31" t="str">
        <f t="shared" si="38"/>
        <v/>
      </c>
      <c r="G327" s="32" t="str">
        <f>IF(B327="","",ROUND(IF(AND(B327=$F$4,$I$5=0),D327-MIN($F$5,D327),IF(Simulatie!$C$13="Lineair",MIN(D327,Simulatie!$C$25),MIN(D327,MAX(0,$I$4-E327)))),2))</f>
        <v/>
      </c>
      <c r="H327" s="31" t="str">
        <f t="shared" si="39"/>
        <v/>
      </c>
      <c r="I327" s="31" t="str">
        <f t="shared" si="40"/>
        <v/>
      </c>
      <c r="J327" s="31" t="str">
        <f t="shared" si="41"/>
        <v/>
      </c>
      <c r="K327" s="31" t="str">
        <f t="shared" si="42"/>
        <v/>
      </c>
      <c r="L327" s="1"/>
      <c r="M327" s="1"/>
      <c r="N327" s="1"/>
      <c r="O327" s="1"/>
    </row>
    <row r="328" spans="1:15" ht="23" customHeight="1">
      <c r="A328" s="1"/>
      <c r="B328" s="29" t="str">
        <f t="shared" si="43"/>
        <v/>
      </c>
      <c r="C328" s="30" t="str">
        <f>IF(B328="","",EDATE(Simulatie!$C$14,B328-1))</f>
        <v/>
      </c>
      <c r="D328" s="31" t="str">
        <f t="shared" si="44"/>
        <v/>
      </c>
      <c r="E328" s="31" t="str">
        <f t="shared" ref="E328:E367" si="45">IF(B328="","",ROUND(D328*$C$4,2))</f>
        <v/>
      </c>
      <c r="F328" s="31" t="str">
        <f t="shared" ref="F328:F367" si="46">IF(B328="","",ROUND(E328+G328,2))</f>
        <v/>
      </c>
      <c r="G328" s="32" t="str">
        <f>IF(B328="","",ROUND(IF(AND(B328=$F$4,$I$5=0),D328-MIN($F$5,D328),IF(Simulatie!$C$13="Lineair",MIN(D328,Simulatie!$C$25),MIN(D328,MAX(0,$I$4-E328)))),2))</f>
        <v/>
      </c>
      <c r="H328" s="31" t="str">
        <f t="shared" ref="H328:H367" si="47">IF(B328="","",ROUND(MIN($I$5,MAX(0,D328-G328)),2))</f>
        <v/>
      </c>
      <c r="I328" s="31" t="str">
        <f t="shared" ref="I328:I367" si="48">IF(B328="","",IF(B328=$F$4,ROUND(MAX(0,D328-G328-H328),2),0))</f>
        <v/>
      </c>
      <c r="J328" s="31" t="str">
        <f t="shared" ref="J328:J367" si="49">IF(B328="","",SUM(F328,H328:I328))</f>
        <v/>
      </c>
      <c r="K328" s="31" t="str">
        <f t="shared" ref="K328:K367" si="50">IF(B328="","",ROUND(MAX(0,D328-SUM(G328:I328)),2))</f>
        <v/>
      </c>
      <c r="L328" s="1"/>
      <c r="M328" s="1"/>
      <c r="N328" s="1"/>
      <c r="O328" s="1"/>
    </row>
    <row r="329" spans="1:15" ht="23" customHeight="1">
      <c r="A329" s="1"/>
      <c r="B329" s="29" t="str">
        <f t="shared" ref="B329:B367" si="51">IF(B328="","",IF(AND(K328&gt;0,B328&lt;$F$4),B328+1,""))</f>
        <v/>
      </c>
      <c r="C329" s="30" t="str">
        <f>IF(B329="","",EDATE(Simulatie!$C$14,B329-1))</f>
        <v/>
      </c>
      <c r="D329" s="31" t="str">
        <f t="shared" ref="D329:D367" si="52">IF(B329="","",K328)</f>
        <v/>
      </c>
      <c r="E329" s="31" t="str">
        <f t="shared" si="45"/>
        <v/>
      </c>
      <c r="F329" s="31" t="str">
        <f t="shared" si="46"/>
        <v/>
      </c>
      <c r="G329" s="32" t="str">
        <f>IF(B329="","",ROUND(IF(AND(B329=$F$4,$I$5=0),D329-MIN($F$5,D329),IF(Simulatie!$C$13="Lineair",MIN(D329,Simulatie!$C$25),MIN(D329,MAX(0,$I$4-E329)))),2))</f>
        <v/>
      </c>
      <c r="H329" s="31" t="str">
        <f t="shared" si="47"/>
        <v/>
      </c>
      <c r="I329" s="31" t="str">
        <f t="shared" si="48"/>
        <v/>
      </c>
      <c r="J329" s="31" t="str">
        <f t="shared" si="49"/>
        <v/>
      </c>
      <c r="K329" s="31" t="str">
        <f t="shared" si="50"/>
        <v/>
      </c>
      <c r="L329" s="1"/>
      <c r="M329" s="1"/>
      <c r="N329" s="1"/>
      <c r="O329" s="1"/>
    </row>
    <row r="330" spans="1:15" ht="23" customHeight="1">
      <c r="A330" s="1"/>
      <c r="B330" s="29" t="str">
        <f t="shared" si="51"/>
        <v/>
      </c>
      <c r="C330" s="30" t="str">
        <f>IF(B330="","",EDATE(Simulatie!$C$14,B330-1))</f>
        <v/>
      </c>
      <c r="D330" s="31" t="str">
        <f t="shared" si="52"/>
        <v/>
      </c>
      <c r="E330" s="31" t="str">
        <f t="shared" si="45"/>
        <v/>
      </c>
      <c r="F330" s="31" t="str">
        <f t="shared" si="46"/>
        <v/>
      </c>
      <c r="G330" s="32" t="str">
        <f>IF(B330="","",ROUND(IF(AND(B330=$F$4,$I$5=0),D330-MIN($F$5,D330),IF(Simulatie!$C$13="Lineair",MIN(D330,Simulatie!$C$25),MIN(D330,MAX(0,$I$4-E330)))),2))</f>
        <v/>
      </c>
      <c r="H330" s="31" t="str">
        <f t="shared" si="47"/>
        <v/>
      </c>
      <c r="I330" s="31" t="str">
        <f t="shared" si="48"/>
        <v/>
      </c>
      <c r="J330" s="31" t="str">
        <f t="shared" si="49"/>
        <v/>
      </c>
      <c r="K330" s="31" t="str">
        <f t="shared" si="50"/>
        <v/>
      </c>
      <c r="L330" s="1"/>
      <c r="M330" s="1"/>
      <c r="N330" s="1"/>
      <c r="O330" s="1"/>
    </row>
    <row r="331" spans="1:15" ht="23" customHeight="1">
      <c r="A331" s="1"/>
      <c r="B331" s="29" t="str">
        <f t="shared" si="51"/>
        <v/>
      </c>
      <c r="C331" s="30" t="str">
        <f>IF(B331="","",EDATE(Simulatie!$C$14,B331-1))</f>
        <v/>
      </c>
      <c r="D331" s="31" t="str">
        <f t="shared" si="52"/>
        <v/>
      </c>
      <c r="E331" s="31" t="str">
        <f t="shared" si="45"/>
        <v/>
      </c>
      <c r="F331" s="31" t="str">
        <f t="shared" si="46"/>
        <v/>
      </c>
      <c r="G331" s="32" t="str">
        <f>IF(B331="","",ROUND(IF(AND(B331=$F$4,$I$5=0),D331-MIN($F$5,D331),IF(Simulatie!$C$13="Lineair",MIN(D331,Simulatie!$C$25),MIN(D331,MAX(0,$I$4-E331)))),2))</f>
        <v/>
      </c>
      <c r="H331" s="31" t="str">
        <f t="shared" si="47"/>
        <v/>
      </c>
      <c r="I331" s="31" t="str">
        <f t="shared" si="48"/>
        <v/>
      </c>
      <c r="J331" s="31" t="str">
        <f t="shared" si="49"/>
        <v/>
      </c>
      <c r="K331" s="31" t="str">
        <f t="shared" si="50"/>
        <v/>
      </c>
      <c r="L331" s="1"/>
      <c r="M331" s="1"/>
      <c r="N331" s="1"/>
      <c r="O331" s="1"/>
    </row>
    <row r="332" spans="1:15" ht="23" customHeight="1">
      <c r="A332" s="1"/>
      <c r="B332" s="29" t="str">
        <f t="shared" si="51"/>
        <v/>
      </c>
      <c r="C332" s="30" t="str">
        <f>IF(B332="","",EDATE(Simulatie!$C$14,B332-1))</f>
        <v/>
      </c>
      <c r="D332" s="31" t="str">
        <f t="shared" si="52"/>
        <v/>
      </c>
      <c r="E332" s="31" t="str">
        <f t="shared" si="45"/>
        <v/>
      </c>
      <c r="F332" s="31" t="str">
        <f t="shared" si="46"/>
        <v/>
      </c>
      <c r="G332" s="32" t="str">
        <f>IF(B332="","",ROUND(IF(AND(B332=$F$4,$I$5=0),D332-MIN($F$5,D332),IF(Simulatie!$C$13="Lineair",MIN(D332,Simulatie!$C$25),MIN(D332,MAX(0,$I$4-E332)))),2))</f>
        <v/>
      </c>
      <c r="H332" s="31" t="str">
        <f t="shared" si="47"/>
        <v/>
      </c>
      <c r="I332" s="31" t="str">
        <f t="shared" si="48"/>
        <v/>
      </c>
      <c r="J332" s="31" t="str">
        <f t="shared" si="49"/>
        <v/>
      </c>
      <c r="K332" s="31" t="str">
        <f t="shared" si="50"/>
        <v/>
      </c>
      <c r="L332" s="1"/>
      <c r="M332" s="1"/>
      <c r="N332" s="1"/>
      <c r="O332" s="1"/>
    </row>
    <row r="333" spans="1:15" ht="23" customHeight="1">
      <c r="A333" s="1"/>
      <c r="B333" s="29" t="str">
        <f t="shared" si="51"/>
        <v/>
      </c>
      <c r="C333" s="30" t="str">
        <f>IF(B333="","",EDATE(Simulatie!$C$14,B333-1))</f>
        <v/>
      </c>
      <c r="D333" s="31" t="str">
        <f t="shared" si="52"/>
        <v/>
      </c>
      <c r="E333" s="31" t="str">
        <f t="shared" si="45"/>
        <v/>
      </c>
      <c r="F333" s="31" t="str">
        <f t="shared" si="46"/>
        <v/>
      </c>
      <c r="G333" s="32" t="str">
        <f>IF(B333="","",ROUND(IF(AND(B333=$F$4,$I$5=0),D333-MIN($F$5,D333),IF(Simulatie!$C$13="Lineair",MIN(D333,Simulatie!$C$25),MIN(D333,MAX(0,$I$4-E333)))),2))</f>
        <v/>
      </c>
      <c r="H333" s="31" t="str">
        <f t="shared" si="47"/>
        <v/>
      </c>
      <c r="I333" s="31" t="str">
        <f t="shared" si="48"/>
        <v/>
      </c>
      <c r="J333" s="31" t="str">
        <f t="shared" si="49"/>
        <v/>
      </c>
      <c r="K333" s="31" t="str">
        <f t="shared" si="50"/>
        <v/>
      </c>
      <c r="L333" s="1"/>
      <c r="M333" s="1"/>
      <c r="N333" s="1"/>
      <c r="O333" s="1"/>
    </row>
    <row r="334" spans="1:15" ht="23" customHeight="1">
      <c r="A334" s="1"/>
      <c r="B334" s="29" t="str">
        <f t="shared" si="51"/>
        <v/>
      </c>
      <c r="C334" s="30" t="str">
        <f>IF(B334="","",EDATE(Simulatie!$C$14,B334-1))</f>
        <v/>
      </c>
      <c r="D334" s="31" t="str">
        <f t="shared" si="52"/>
        <v/>
      </c>
      <c r="E334" s="31" t="str">
        <f t="shared" si="45"/>
        <v/>
      </c>
      <c r="F334" s="31" t="str">
        <f t="shared" si="46"/>
        <v/>
      </c>
      <c r="G334" s="32" t="str">
        <f>IF(B334="","",ROUND(IF(AND(B334=$F$4,$I$5=0),D334-MIN($F$5,D334),IF(Simulatie!$C$13="Lineair",MIN(D334,Simulatie!$C$25),MIN(D334,MAX(0,$I$4-E334)))),2))</f>
        <v/>
      </c>
      <c r="H334" s="31" t="str">
        <f t="shared" si="47"/>
        <v/>
      </c>
      <c r="I334" s="31" t="str">
        <f t="shared" si="48"/>
        <v/>
      </c>
      <c r="J334" s="31" t="str">
        <f t="shared" si="49"/>
        <v/>
      </c>
      <c r="K334" s="31" t="str">
        <f t="shared" si="50"/>
        <v/>
      </c>
      <c r="L334" s="1"/>
      <c r="M334" s="1"/>
      <c r="N334" s="1"/>
      <c r="O334" s="1"/>
    </row>
    <row r="335" spans="1:15" ht="23" customHeight="1">
      <c r="A335" s="1"/>
      <c r="B335" s="29" t="str">
        <f t="shared" si="51"/>
        <v/>
      </c>
      <c r="C335" s="30" t="str">
        <f>IF(B335="","",EDATE(Simulatie!$C$14,B335-1))</f>
        <v/>
      </c>
      <c r="D335" s="31" t="str">
        <f t="shared" si="52"/>
        <v/>
      </c>
      <c r="E335" s="31" t="str">
        <f t="shared" si="45"/>
        <v/>
      </c>
      <c r="F335" s="31" t="str">
        <f t="shared" si="46"/>
        <v/>
      </c>
      <c r="G335" s="32" t="str">
        <f>IF(B335="","",ROUND(IF(AND(B335=$F$4,$I$5=0),D335-MIN($F$5,D335),IF(Simulatie!$C$13="Lineair",MIN(D335,Simulatie!$C$25),MIN(D335,MAX(0,$I$4-E335)))),2))</f>
        <v/>
      </c>
      <c r="H335" s="31" t="str">
        <f t="shared" si="47"/>
        <v/>
      </c>
      <c r="I335" s="31" t="str">
        <f t="shared" si="48"/>
        <v/>
      </c>
      <c r="J335" s="31" t="str">
        <f t="shared" si="49"/>
        <v/>
      </c>
      <c r="K335" s="31" t="str">
        <f t="shared" si="50"/>
        <v/>
      </c>
      <c r="L335" s="1"/>
      <c r="M335" s="1"/>
      <c r="N335" s="1"/>
      <c r="O335" s="1"/>
    </row>
    <row r="336" spans="1:15" ht="23" customHeight="1">
      <c r="A336" s="1"/>
      <c r="B336" s="29" t="str">
        <f t="shared" si="51"/>
        <v/>
      </c>
      <c r="C336" s="30" t="str">
        <f>IF(B336="","",EDATE(Simulatie!$C$14,B336-1))</f>
        <v/>
      </c>
      <c r="D336" s="31" t="str">
        <f t="shared" si="52"/>
        <v/>
      </c>
      <c r="E336" s="31" t="str">
        <f t="shared" si="45"/>
        <v/>
      </c>
      <c r="F336" s="31" t="str">
        <f t="shared" si="46"/>
        <v/>
      </c>
      <c r="G336" s="32" t="str">
        <f>IF(B336="","",ROUND(IF(AND(B336=$F$4,$I$5=0),D336-MIN($F$5,D336),IF(Simulatie!$C$13="Lineair",MIN(D336,Simulatie!$C$25),MIN(D336,MAX(0,$I$4-E336)))),2))</f>
        <v/>
      </c>
      <c r="H336" s="31" t="str">
        <f t="shared" si="47"/>
        <v/>
      </c>
      <c r="I336" s="31" t="str">
        <f t="shared" si="48"/>
        <v/>
      </c>
      <c r="J336" s="31" t="str">
        <f t="shared" si="49"/>
        <v/>
      </c>
      <c r="K336" s="31" t="str">
        <f t="shared" si="50"/>
        <v/>
      </c>
      <c r="L336" s="1"/>
      <c r="M336" s="1"/>
      <c r="N336" s="1"/>
      <c r="O336" s="1"/>
    </row>
    <row r="337" spans="1:15" ht="23" customHeight="1">
      <c r="A337" s="1"/>
      <c r="B337" s="29" t="str">
        <f t="shared" si="51"/>
        <v/>
      </c>
      <c r="C337" s="30" t="str">
        <f>IF(B337="","",EDATE(Simulatie!$C$14,B337-1))</f>
        <v/>
      </c>
      <c r="D337" s="31" t="str">
        <f t="shared" si="52"/>
        <v/>
      </c>
      <c r="E337" s="31" t="str">
        <f t="shared" si="45"/>
        <v/>
      </c>
      <c r="F337" s="31" t="str">
        <f t="shared" si="46"/>
        <v/>
      </c>
      <c r="G337" s="32" t="str">
        <f>IF(B337="","",ROUND(IF(AND(B337=$F$4,$I$5=0),D337-MIN($F$5,D337),IF(Simulatie!$C$13="Lineair",MIN(D337,Simulatie!$C$25),MIN(D337,MAX(0,$I$4-E337)))),2))</f>
        <v/>
      </c>
      <c r="H337" s="31" t="str">
        <f t="shared" si="47"/>
        <v/>
      </c>
      <c r="I337" s="31" t="str">
        <f t="shared" si="48"/>
        <v/>
      </c>
      <c r="J337" s="31" t="str">
        <f t="shared" si="49"/>
        <v/>
      </c>
      <c r="K337" s="31" t="str">
        <f t="shared" si="50"/>
        <v/>
      </c>
      <c r="L337" s="1"/>
      <c r="M337" s="1"/>
      <c r="N337" s="1"/>
      <c r="O337" s="1"/>
    </row>
    <row r="338" spans="1:15" ht="23" customHeight="1">
      <c r="A338" s="1"/>
      <c r="B338" s="29" t="str">
        <f t="shared" si="51"/>
        <v/>
      </c>
      <c r="C338" s="30" t="str">
        <f>IF(B338="","",EDATE(Simulatie!$C$14,B338-1))</f>
        <v/>
      </c>
      <c r="D338" s="31" t="str">
        <f t="shared" si="52"/>
        <v/>
      </c>
      <c r="E338" s="31" t="str">
        <f t="shared" si="45"/>
        <v/>
      </c>
      <c r="F338" s="31" t="str">
        <f t="shared" si="46"/>
        <v/>
      </c>
      <c r="G338" s="32" t="str">
        <f>IF(B338="","",ROUND(IF(AND(B338=$F$4,$I$5=0),D338-MIN($F$5,D338),IF(Simulatie!$C$13="Lineair",MIN(D338,Simulatie!$C$25),MIN(D338,MAX(0,$I$4-E338)))),2))</f>
        <v/>
      </c>
      <c r="H338" s="31" t="str">
        <f t="shared" si="47"/>
        <v/>
      </c>
      <c r="I338" s="31" t="str">
        <f t="shared" si="48"/>
        <v/>
      </c>
      <c r="J338" s="31" t="str">
        <f t="shared" si="49"/>
        <v/>
      </c>
      <c r="K338" s="31" t="str">
        <f t="shared" si="50"/>
        <v/>
      </c>
      <c r="L338" s="1"/>
      <c r="M338" s="1"/>
      <c r="N338" s="1"/>
      <c r="O338" s="1"/>
    </row>
    <row r="339" spans="1:15" ht="23" customHeight="1">
      <c r="A339" s="1"/>
      <c r="B339" s="29" t="str">
        <f t="shared" si="51"/>
        <v/>
      </c>
      <c r="C339" s="30" t="str">
        <f>IF(B339="","",EDATE(Simulatie!$C$14,B339-1))</f>
        <v/>
      </c>
      <c r="D339" s="31" t="str">
        <f t="shared" si="52"/>
        <v/>
      </c>
      <c r="E339" s="31" t="str">
        <f t="shared" si="45"/>
        <v/>
      </c>
      <c r="F339" s="31" t="str">
        <f t="shared" si="46"/>
        <v/>
      </c>
      <c r="G339" s="32" t="str">
        <f>IF(B339="","",ROUND(IF(AND(B339=$F$4,$I$5=0),D339-MIN($F$5,D339),IF(Simulatie!$C$13="Lineair",MIN(D339,Simulatie!$C$25),MIN(D339,MAX(0,$I$4-E339)))),2))</f>
        <v/>
      </c>
      <c r="H339" s="31" t="str">
        <f t="shared" si="47"/>
        <v/>
      </c>
      <c r="I339" s="31" t="str">
        <f t="shared" si="48"/>
        <v/>
      </c>
      <c r="J339" s="31" t="str">
        <f t="shared" si="49"/>
        <v/>
      </c>
      <c r="K339" s="31" t="str">
        <f t="shared" si="50"/>
        <v/>
      </c>
      <c r="L339" s="1"/>
      <c r="M339" s="1"/>
      <c r="N339" s="1"/>
      <c r="O339" s="1"/>
    </row>
    <row r="340" spans="1:15" ht="23" customHeight="1">
      <c r="A340" s="1"/>
      <c r="B340" s="29" t="str">
        <f t="shared" si="51"/>
        <v/>
      </c>
      <c r="C340" s="30" t="str">
        <f>IF(B340="","",EDATE(Simulatie!$C$14,B340-1))</f>
        <v/>
      </c>
      <c r="D340" s="31" t="str">
        <f t="shared" si="52"/>
        <v/>
      </c>
      <c r="E340" s="31" t="str">
        <f t="shared" si="45"/>
        <v/>
      </c>
      <c r="F340" s="31" t="str">
        <f t="shared" si="46"/>
        <v/>
      </c>
      <c r="G340" s="32" t="str">
        <f>IF(B340="","",ROUND(IF(AND(B340=$F$4,$I$5=0),D340-MIN($F$5,D340),IF(Simulatie!$C$13="Lineair",MIN(D340,Simulatie!$C$25),MIN(D340,MAX(0,$I$4-E340)))),2))</f>
        <v/>
      </c>
      <c r="H340" s="31" t="str">
        <f t="shared" si="47"/>
        <v/>
      </c>
      <c r="I340" s="31" t="str">
        <f t="shared" si="48"/>
        <v/>
      </c>
      <c r="J340" s="31" t="str">
        <f t="shared" si="49"/>
        <v/>
      </c>
      <c r="K340" s="31" t="str">
        <f t="shared" si="50"/>
        <v/>
      </c>
      <c r="L340" s="1"/>
      <c r="M340" s="1"/>
      <c r="N340" s="1"/>
      <c r="O340" s="1"/>
    </row>
    <row r="341" spans="1:15" ht="23" customHeight="1">
      <c r="A341" s="1"/>
      <c r="B341" s="29" t="str">
        <f t="shared" si="51"/>
        <v/>
      </c>
      <c r="C341" s="30" t="str">
        <f>IF(B341="","",EDATE(Simulatie!$C$14,B341-1))</f>
        <v/>
      </c>
      <c r="D341" s="31" t="str">
        <f t="shared" si="52"/>
        <v/>
      </c>
      <c r="E341" s="31" t="str">
        <f t="shared" si="45"/>
        <v/>
      </c>
      <c r="F341" s="31" t="str">
        <f t="shared" si="46"/>
        <v/>
      </c>
      <c r="G341" s="32" t="str">
        <f>IF(B341="","",ROUND(IF(AND(B341=$F$4,$I$5=0),D341-MIN($F$5,D341),IF(Simulatie!$C$13="Lineair",MIN(D341,Simulatie!$C$25),MIN(D341,MAX(0,$I$4-E341)))),2))</f>
        <v/>
      </c>
      <c r="H341" s="31" t="str">
        <f t="shared" si="47"/>
        <v/>
      </c>
      <c r="I341" s="31" t="str">
        <f t="shared" si="48"/>
        <v/>
      </c>
      <c r="J341" s="31" t="str">
        <f t="shared" si="49"/>
        <v/>
      </c>
      <c r="K341" s="31" t="str">
        <f t="shared" si="50"/>
        <v/>
      </c>
      <c r="L341" s="1"/>
      <c r="M341" s="1"/>
      <c r="N341" s="1"/>
      <c r="O341" s="1"/>
    </row>
    <row r="342" spans="1:15" ht="23" customHeight="1">
      <c r="A342" s="1"/>
      <c r="B342" s="29" t="str">
        <f t="shared" si="51"/>
        <v/>
      </c>
      <c r="C342" s="30" t="str">
        <f>IF(B342="","",EDATE(Simulatie!$C$14,B342-1))</f>
        <v/>
      </c>
      <c r="D342" s="31" t="str">
        <f t="shared" si="52"/>
        <v/>
      </c>
      <c r="E342" s="31" t="str">
        <f t="shared" si="45"/>
        <v/>
      </c>
      <c r="F342" s="31" t="str">
        <f t="shared" si="46"/>
        <v/>
      </c>
      <c r="G342" s="32" t="str">
        <f>IF(B342="","",ROUND(IF(AND(B342=$F$4,$I$5=0),D342-MIN($F$5,D342),IF(Simulatie!$C$13="Lineair",MIN(D342,Simulatie!$C$25),MIN(D342,MAX(0,$I$4-E342)))),2))</f>
        <v/>
      </c>
      <c r="H342" s="31" t="str">
        <f t="shared" si="47"/>
        <v/>
      </c>
      <c r="I342" s="31" t="str">
        <f t="shared" si="48"/>
        <v/>
      </c>
      <c r="J342" s="31" t="str">
        <f t="shared" si="49"/>
        <v/>
      </c>
      <c r="K342" s="31" t="str">
        <f t="shared" si="50"/>
        <v/>
      </c>
      <c r="L342" s="1"/>
      <c r="M342" s="1"/>
      <c r="N342" s="1"/>
      <c r="O342" s="1"/>
    </row>
    <row r="343" spans="1:15" ht="23" customHeight="1">
      <c r="A343" s="1"/>
      <c r="B343" s="29" t="str">
        <f t="shared" si="51"/>
        <v/>
      </c>
      <c r="C343" s="30" t="str">
        <f>IF(B343="","",EDATE(Simulatie!$C$14,B343-1))</f>
        <v/>
      </c>
      <c r="D343" s="31" t="str">
        <f t="shared" si="52"/>
        <v/>
      </c>
      <c r="E343" s="31" t="str">
        <f t="shared" si="45"/>
        <v/>
      </c>
      <c r="F343" s="31" t="str">
        <f t="shared" si="46"/>
        <v/>
      </c>
      <c r="G343" s="32" t="str">
        <f>IF(B343="","",ROUND(IF(AND(B343=$F$4,$I$5=0),D343-MIN($F$5,D343),IF(Simulatie!$C$13="Lineair",MIN(D343,Simulatie!$C$25),MIN(D343,MAX(0,$I$4-E343)))),2))</f>
        <v/>
      </c>
      <c r="H343" s="31" t="str">
        <f t="shared" si="47"/>
        <v/>
      </c>
      <c r="I343" s="31" t="str">
        <f t="shared" si="48"/>
        <v/>
      </c>
      <c r="J343" s="31" t="str">
        <f t="shared" si="49"/>
        <v/>
      </c>
      <c r="K343" s="31" t="str">
        <f t="shared" si="50"/>
        <v/>
      </c>
      <c r="L343" s="1"/>
      <c r="M343" s="1"/>
      <c r="N343" s="1"/>
      <c r="O343" s="1"/>
    </row>
    <row r="344" spans="1:15" ht="23" customHeight="1">
      <c r="A344" s="1"/>
      <c r="B344" s="29" t="str">
        <f t="shared" si="51"/>
        <v/>
      </c>
      <c r="C344" s="30" t="str">
        <f>IF(B344="","",EDATE(Simulatie!$C$14,B344-1))</f>
        <v/>
      </c>
      <c r="D344" s="31" t="str">
        <f t="shared" si="52"/>
        <v/>
      </c>
      <c r="E344" s="31" t="str">
        <f t="shared" si="45"/>
        <v/>
      </c>
      <c r="F344" s="31" t="str">
        <f t="shared" si="46"/>
        <v/>
      </c>
      <c r="G344" s="32" t="str">
        <f>IF(B344="","",ROUND(IF(AND(B344=$F$4,$I$5=0),D344-MIN($F$5,D344),IF(Simulatie!$C$13="Lineair",MIN(D344,Simulatie!$C$25),MIN(D344,MAX(0,$I$4-E344)))),2))</f>
        <v/>
      </c>
      <c r="H344" s="31" t="str">
        <f t="shared" si="47"/>
        <v/>
      </c>
      <c r="I344" s="31" t="str">
        <f t="shared" si="48"/>
        <v/>
      </c>
      <c r="J344" s="31" t="str">
        <f t="shared" si="49"/>
        <v/>
      </c>
      <c r="K344" s="31" t="str">
        <f t="shared" si="50"/>
        <v/>
      </c>
      <c r="L344" s="1"/>
      <c r="M344" s="1"/>
      <c r="N344" s="1"/>
      <c r="O344" s="1"/>
    </row>
    <row r="345" spans="1:15" ht="23" customHeight="1">
      <c r="A345" s="1"/>
      <c r="B345" s="29" t="str">
        <f t="shared" si="51"/>
        <v/>
      </c>
      <c r="C345" s="30" t="str">
        <f>IF(B345="","",EDATE(Simulatie!$C$14,B345-1))</f>
        <v/>
      </c>
      <c r="D345" s="31" t="str">
        <f t="shared" si="52"/>
        <v/>
      </c>
      <c r="E345" s="31" t="str">
        <f t="shared" si="45"/>
        <v/>
      </c>
      <c r="F345" s="31" t="str">
        <f t="shared" si="46"/>
        <v/>
      </c>
      <c r="G345" s="32" t="str">
        <f>IF(B345="","",ROUND(IF(AND(B345=$F$4,$I$5=0),D345-MIN($F$5,D345),IF(Simulatie!$C$13="Lineair",MIN(D345,Simulatie!$C$25),MIN(D345,MAX(0,$I$4-E345)))),2))</f>
        <v/>
      </c>
      <c r="H345" s="31" t="str">
        <f t="shared" si="47"/>
        <v/>
      </c>
      <c r="I345" s="31" t="str">
        <f t="shared" si="48"/>
        <v/>
      </c>
      <c r="J345" s="31" t="str">
        <f t="shared" si="49"/>
        <v/>
      </c>
      <c r="K345" s="31" t="str">
        <f t="shared" si="50"/>
        <v/>
      </c>
      <c r="L345" s="1"/>
      <c r="M345" s="1"/>
      <c r="N345" s="1"/>
      <c r="O345" s="1"/>
    </row>
    <row r="346" spans="1:15" ht="23" customHeight="1">
      <c r="A346" s="1"/>
      <c r="B346" s="29" t="str">
        <f t="shared" si="51"/>
        <v/>
      </c>
      <c r="C346" s="30" t="str">
        <f>IF(B346="","",EDATE(Simulatie!$C$14,B346-1))</f>
        <v/>
      </c>
      <c r="D346" s="31" t="str">
        <f t="shared" si="52"/>
        <v/>
      </c>
      <c r="E346" s="31" t="str">
        <f t="shared" si="45"/>
        <v/>
      </c>
      <c r="F346" s="31" t="str">
        <f t="shared" si="46"/>
        <v/>
      </c>
      <c r="G346" s="32" t="str">
        <f>IF(B346="","",ROUND(IF(AND(B346=$F$4,$I$5=0),D346-MIN($F$5,D346),IF(Simulatie!$C$13="Lineair",MIN(D346,Simulatie!$C$25),MIN(D346,MAX(0,$I$4-E346)))),2))</f>
        <v/>
      </c>
      <c r="H346" s="31" t="str">
        <f t="shared" si="47"/>
        <v/>
      </c>
      <c r="I346" s="31" t="str">
        <f t="shared" si="48"/>
        <v/>
      </c>
      <c r="J346" s="31" t="str">
        <f t="shared" si="49"/>
        <v/>
      </c>
      <c r="K346" s="31" t="str">
        <f t="shared" si="50"/>
        <v/>
      </c>
      <c r="L346" s="1"/>
      <c r="M346" s="1"/>
      <c r="N346" s="1"/>
      <c r="O346" s="1"/>
    </row>
    <row r="347" spans="1:15" ht="23" customHeight="1">
      <c r="A347" s="1"/>
      <c r="B347" s="29" t="str">
        <f t="shared" si="51"/>
        <v/>
      </c>
      <c r="C347" s="30" t="str">
        <f>IF(B347="","",EDATE(Simulatie!$C$14,B347-1))</f>
        <v/>
      </c>
      <c r="D347" s="31" t="str">
        <f t="shared" si="52"/>
        <v/>
      </c>
      <c r="E347" s="31" t="str">
        <f t="shared" si="45"/>
        <v/>
      </c>
      <c r="F347" s="31" t="str">
        <f t="shared" si="46"/>
        <v/>
      </c>
      <c r="G347" s="32" t="str">
        <f>IF(B347="","",ROUND(IF(AND(B347=$F$4,$I$5=0),D347-MIN($F$5,D347),IF(Simulatie!$C$13="Lineair",MIN(D347,Simulatie!$C$25),MIN(D347,MAX(0,$I$4-E347)))),2))</f>
        <v/>
      </c>
      <c r="H347" s="31" t="str">
        <f t="shared" si="47"/>
        <v/>
      </c>
      <c r="I347" s="31" t="str">
        <f t="shared" si="48"/>
        <v/>
      </c>
      <c r="J347" s="31" t="str">
        <f t="shared" si="49"/>
        <v/>
      </c>
      <c r="K347" s="31" t="str">
        <f t="shared" si="50"/>
        <v/>
      </c>
      <c r="L347" s="1"/>
      <c r="M347" s="1"/>
      <c r="N347" s="1"/>
      <c r="O347" s="1"/>
    </row>
    <row r="348" spans="1:15" ht="23" customHeight="1">
      <c r="A348" s="1"/>
      <c r="B348" s="29" t="str">
        <f t="shared" si="51"/>
        <v/>
      </c>
      <c r="C348" s="30" t="str">
        <f>IF(B348="","",EDATE(Simulatie!$C$14,B348-1))</f>
        <v/>
      </c>
      <c r="D348" s="31" t="str">
        <f t="shared" si="52"/>
        <v/>
      </c>
      <c r="E348" s="31" t="str">
        <f t="shared" si="45"/>
        <v/>
      </c>
      <c r="F348" s="31" t="str">
        <f t="shared" si="46"/>
        <v/>
      </c>
      <c r="G348" s="32" t="str">
        <f>IF(B348="","",ROUND(IF(AND(B348=$F$4,$I$5=0),D348-MIN($F$5,D348),IF(Simulatie!$C$13="Lineair",MIN(D348,Simulatie!$C$25),MIN(D348,MAX(0,$I$4-E348)))),2))</f>
        <v/>
      </c>
      <c r="H348" s="31" t="str">
        <f t="shared" si="47"/>
        <v/>
      </c>
      <c r="I348" s="31" t="str">
        <f t="shared" si="48"/>
        <v/>
      </c>
      <c r="J348" s="31" t="str">
        <f t="shared" si="49"/>
        <v/>
      </c>
      <c r="K348" s="31" t="str">
        <f t="shared" si="50"/>
        <v/>
      </c>
      <c r="L348" s="1"/>
      <c r="M348" s="1"/>
      <c r="N348" s="1"/>
      <c r="O348" s="1"/>
    </row>
    <row r="349" spans="1:15" ht="23" customHeight="1">
      <c r="A349" s="1"/>
      <c r="B349" s="29" t="str">
        <f t="shared" si="51"/>
        <v/>
      </c>
      <c r="C349" s="30" t="str">
        <f>IF(B349="","",EDATE(Simulatie!$C$14,B349-1))</f>
        <v/>
      </c>
      <c r="D349" s="31" t="str">
        <f t="shared" si="52"/>
        <v/>
      </c>
      <c r="E349" s="31" t="str">
        <f t="shared" si="45"/>
        <v/>
      </c>
      <c r="F349" s="31" t="str">
        <f t="shared" si="46"/>
        <v/>
      </c>
      <c r="G349" s="32" t="str">
        <f>IF(B349="","",ROUND(IF(AND(B349=$F$4,$I$5=0),D349-MIN($F$5,D349),IF(Simulatie!$C$13="Lineair",MIN(D349,Simulatie!$C$25),MIN(D349,MAX(0,$I$4-E349)))),2))</f>
        <v/>
      </c>
      <c r="H349" s="31" t="str">
        <f t="shared" si="47"/>
        <v/>
      </c>
      <c r="I349" s="31" t="str">
        <f t="shared" si="48"/>
        <v/>
      </c>
      <c r="J349" s="31" t="str">
        <f t="shared" si="49"/>
        <v/>
      </c>
      <c r="K349" s="31" t="str">
        <f t="shared" si="50"/>
        <v/>
      </c>
      <c r="L349" s="1"/>
      <c r="M349" s="1"/>
      <c r="N349" s="1"/>
      <c r="O349" s="1"/>
    </row>
    <row r="350" spans="1:15" ht="23" customHeight="1">
      <c r="A350" s="1"/>
      <c r="B350" s="29" t="str">
        <f t="shared" si="51"/>
        <v/>
      </c>
      <c r="C350" s="30" t="str">
        <f>IF(B350="","",EDATE(Simulatie!$C$14,B350-1))</f>
        <v/>
      </c>
      <c r="D350" s="31" t="str">
        <f t="shared" si="52"/>
        <v/>
      </c>
      <c r="E350" s="31" t="str">
        <f t="shared" si="45"/>
        <v/>
      </c>
      <c r="F350" s="31" t="str">
        <f t="shared" si="46"/>
        <v/>
      </c>
      <c r="G350" s="32" t="str">
        <f>IF(B350="","",ROUND(IF(AND(B350=$F$4,$I$5=0),D350-MIN($F$5,D350),IF(Simulatie!$C$13="Lineair",MIN(D350,Simulatie!$C$25),MIN(D350,MAX(0,$I$4-E350)))),2))</f>
        <v/>
      </c>
      <c r="H350" s="31" t="str">
        <f t="shared" si="47"/>
        <v/>
      </c>
      <c r="I350" s="31" t="str">
        <f t="shared" si="48"/>
        <v/>
      </c>
      <c r="J350" s="31" t="str">
        <f t="shared" si="49"/>
        <v/>
      </c>
      <c r="K350" s="31" t="str">
        <f t="shared" si="50"/>
        <v/>
      </c>
      <c r="L350" s="1"/>
      <c r="M350" s="1"/>
      <c r="N350" s="1"/>
      <c r="O350" s="1"/>
    </row>
    <row r="351" spans="1:15" ht="23" customHeight="1">
      <c r="A351" s="1"/>
      <c r="B351" s="29" t="str">
        <f t="shared" si="51"/>
        <v/>
      </c>
      <c r="C351" s="30" t="str">
        <f>IF(B351="","",EDATE(Simulatie!$C$14,B351-1))</f>
        <v/>
      </c>
      <c r="D351" s="31" t="str">
        <f t="shared" si="52"/>
        <v/>
      </c>
      <c r="E351" s="31" t="str">
        <f t="shared" si="45"/>
        <v/>
      </c>
      <c r="F351" s="31" t="str">
        <f t="shared" si="46"/>
        <v/>
      </c>
      <c r="G351" s="32" t="str">
        <f>IF(B351="","",ROUND(IF(AND(B351=$F$4,$I$5=0),D351-MIN($F$5,D351),IF(Simulatie!$C$13="Lineair",MIN(D351,Simulatie!$C$25),MIN(D351,MAX(0,$I$4-E351)))),2))</f>
        <v/>
      </c>
      <c r="H351" s="31" t="str">
        <f t="shared" si="47"/>
        <v/>
      </c>
      <c r="I351" s="31" t="str">
        <f t="shared" si="48"/>
        <v/>
      </c>
      <c r="J351" s="31" t="str">
        <f t="shared" si="49"/>
        <v/>
      </c>
      <c r="K351" s="31" t="str">
        <f t="shared" si="50"/>
        <v/>
      </c>
      <c r="L351" s="1"/>
      <c r="M351" s="1"/>
      <c r="N351" s="1"/>
      <c r="O351" s="1"/>
    </row>
    <row r="352" spans="1:15" ht="23" customHeight="1">
      <c r="A352" s="1"/>
      <c r="B352" s="29" t="str">
        <f t="shared" si="51"/>
        <v/>
      </c>
      <c r="C352" s="30" t="str">
        <f>IF(B352="","",EDATE(Simulatie!$C$14,B352-1))</f>
        <v/>
      </c>
      <c r="D352" s="31" t="str">
        <f t="shared" si="52"/>
        <v/>
      </c>
      <c r="E352" s="31" t="str">
        <f t="shared" si="45"/>
        <v/>
      </c>
      <c r="F352" s="31" t="str">
        <f t="shared" si="46"/>
        <v/>
      </c>
      <c r="G352" s="32" t="str">
        <f>IF(B352="","",ROUND(IF(AND(B352=$F$4,$I$5=0),D352-MIN($F$5,D352),IF(Simulatie!$C$13="Lineair",MIN(D352,Simulatie!$C$25),MIN(D352,MAX(0,$I$4-E352)))),2))</f>
        <v/>
      </c>
      <c r="H352" s="31" t="str">
        <f t="shared" si="47"/>
        <v/>
      </c>
      <c r="I352" s="31" t="str">
        <f t="shared" si="48"/>
        <v/>
      </c>
      <c r="J352" s="31" t="str">
        <f t="shared" si="49"/>
        <v/>
      </c>
      <c r="K352" s="31" t="str">
        <f t="shared" si="50"/>
        <v/>
      </c>
      <c r="L352" s="1"/>
      <c r="M352" s="1"/>
      <c r="N352" s="1"/>
      <c r="O352" s="1"/>
    </row>
    <row r="353" spans="1:15" ht="23" customHeight="1">
      <c r="A353" s="1"/>
      <c r="B353" s="29" t="str">
        <f t="shared" si="51"/>
        <v/>
      </c>
      <c r="C353" s="30" t="str">
        <f>IF(B353="","",EDATE(Simulatie!$C$14,B353-1))</f>
        <v/>
      </c>
      <c r="D353" s="31" t="str">
        <f t="shared" si="52"/>
        <v/>
      </c>
      <c r="E353" s="31" t="str">
        <f t="shared" si="45"/>
        <v/>
      </c>
      <c r="F353" s="31" t="str">
        <f t="shared" si="46"/>
        <v/>
      </c>
      <c r="G353" s="32" t="str">
        <f>IF(B353="","",ROUND(IF(AND(B353=$F$4,$I$5=0),D353-MIN($F$5,D353),IF(Simulatie!$C$13="Lineair",MIN(D353,Simulatie!$C$25),MIN(D353,MAX(0,$I$4-E353)))),2))</f>
        <v/>
      </c>
      <c r="H353" s="31" t="str">
        <f t="shared" si="47"/>
        <v/>
      </c>
      <c r="I353" s="31" t="str">
        <f t="shared" si="48"/>
        <v/>
      </c>
      <c r="J353" s="31" t="str">
        <f t="shared" si="49"/>
        <v/>
      </c>
      <c r="K353" s="31" t="str">
        <f t="shared" si="50"/>
        <v/>
      </c>
      <c r="L353" s="1"/>
      <c r="M353" s="1"/>
      <c r="N353" s="1"/>
      <c r="O353" s="1"/>
    </row>
    <row r="354" spans="1:15" ht="23" customHeight="1">
      <c r="A354" s="1"/>
      <c r="B354" s="29" t="str">
        <f t="shared" si="51"/>
        <v/>
      </c>
      <c r="C354" s="30" t="str">
        <f>IF(B354="","",EDATE(Simulatie!$C$14,B354-1))</f>
        <v/>
      </c>
      <c r="D354" s="31" t="str">
        <f t="shared" si="52"/>
        <v/>
      </c>
      <c r="E354" s="31" t="str">
        <f t="shared" si="45"/>
        <v/>
      </c>
      <c r="F354" s="31" t="str">
        <f t="shared" si="46"/>
        <v/>
      </c>
      <c r="G354" s="32" t="str">
        <f>IF(B354="","",ROUND(IF(AND(B354=$F$4,$I$5=0),D354-MIN($F$5,D354),IF(Simulatie!$C$13="Lineair",MIN(D354,Simulatie!$C$25),MIN(D354,MAX(0,$I$4-E354)))),2))</f>
        <v/>
      </c>
      <c r="H354" s="31" t="str">
        <f t="shared" si="47"/>
        <v/>
      </c>
      <c r="I354" s="31" t="str">
        <f t="shared" si="48"/>
        <v/>
      </c>
      <c r="J354" s="31" t="str">
        <f t="shared" si="49"/>
        <v/>
      </c>
      <c r="K354" s="31" t="str">
        <f t="shared" si="50"/>
        <v/>
      </c>
      <c r="L354" s="1"/>
      <c r="M354" s="1"/>
      <c r="N354" s="1"/>
      <c r="O354" s="1"/>
    </row>
    <row r="355" spans="1:15" ht="23" customHeight="1">
      <c r="A355" s="1"/>
      <c r="B355" s="29" t="str">
        <f t="shared" si="51"/>
        <v/>
      </c>
      <c r="C355" s="30" t="str">
        <f>IF(B355="","",EDATE(Simulatie!$C$14,B355-1))</f>
        <v/>
      </c>
      <c r="D355" s="31" t="str">
        <f t="shared" si="52"/>
        <v/>
      </c>
      <c r="E355" s="31" t="str">
        <f t="shared" si="45"/>
        <v/>
      </c>
      <c r="F355" s="31" t="str">
        <f t="shared" si="46"/>
        <v/>
      </c>
      <c r="G355" s="32" t="str">
        <f>IF(B355="","",ROUND(IF(AND(B355=$F$4,$I$5=0),D355-MIN($F$5,D355),IF(Simulatie!$C$13="Lineair",MIN(D355,Simulatie!$C$25),MIN(D355,MAX(0,$I$4-E355)))),2))</f>
        <v/>
      </c>
      <c r="H355" s="31" t="str">
        <f t="shared" si="47"/>
        <v/>
      </c>
      <c r="I355" s="31" t="str">
        <f t="shared" si="48"/>
        <v/>
      </c>
      <c r="J355" s="31" t="str">
        <f t="shared" si="49"/>
        <v/>
      </c>
      <c r="K355" s="31" t="str">
        <f t="shared" si="50"/>
        <v/>
      </c>
      <c r="L355" s="1"/>
      <c r="M355" s="1"/>
      <c r="N355" s="1"/>
      <c r="O355" s="1"/>
    </row>
    <row r="356" spans="1:15" ht="23" customHeight="1">
      <c r="A356" s="1"/>
      <c r="B356" s="29" t="str">
        <f t="shared" si="51"/>
        <v/>
      </c>
      <c r="C356" s="30" t="str">
        <f>IF(B356="","",EDATE(Simulatie!$C$14,B356-1))</f>
        <v/>
      </c>
      <c r="D356" s="31" t="str">
        <f t="shared" si="52"/>
        <v/>
      </c>
      <c r="E356" s="31" t="str">
        <f t="shared" si="45"/>
        <v/>
      </c>
      <c r="F356" s="31" t="str">
        <f t="shared" si="46"/>
        <v/>
      </c>
      <c r="G356" s="32" t="str">
        <f>IF(B356="","",ROUND(IF(AND(B356=$F$4,$I$5=0),D356-MIN($F$5,D356),IF(Simulatie!$C$13="Lineair",MIN(D356,Simulatie!$C$25),MIN(D356,MAX(0,$I$4-E356)))),2))</f>
        <v/>
      </c>
      <c r="H356" s="31" t="str">
        <f t="shared" si="47"/>
        <v/>
      </c>
      <c r="I356" s="31" t="str">
        <f t="shared" si="48"/>
        <v/>
      </c>
      <c r="J356" s="31" t="str">
        <f t="shared" si="49"/>
        <v/>
      </c>
      <c r="K356" s="31" t="str">
        <f t="shared" si="50"/>
        <v/>
      </c>
      <c r="L356" s="1"/>
      <c r="M356" s="1"/>
      <c r="N356" s="1"/>
      <c r="O356" s="1"/>
    </row>
    <row r="357" spans="1:15" ht="23" customHeight="1">
      <c r="A357" s="1"/>
      <c r="B357" s="29" t="str">
        <f t="shared" si="51"/>
        <v/>
      </c>
      <c r="C357" s="30" t="str">
        <f>IF(B357="","",EDATE(Simulatie!$C$14,B357-1))</f>
        <v/>
      </c>
      <c r="D357" s="31" t="str">
        <f t="shared" si="52"/>
        <v/>
      </c>
      <c r="E357" s="31" t="str">
        <f t="shared" si="45"/>
        <v/>
      </c>
      <c r="F357" s="31" t="str">
        <f t="shared" si="46"/>
        <v/>
      </c>
      <c r="G357" s="32" t="str">
        <f>IF(B357="","",ROUND(IF(AND(B357=$F$4,$I$5=0),D357-MIN($F$5,D357),IF(Simulatie!$C$13="Lineair",MIN(D357,Simulatie!$C$25),MIN(D357,MAX(0,$I$4-E357)))),2))</f>
        <v/>
      </c>
      <c r="H357" s="31" t="str">
        <f t="shared" si="47"/>
        <v/>
      </c>
      <c r="I357" s="31" t="str">
        <f t="shared" si="48"/>
        <v/>
      </c>
      <c r="J357" s="31" t="str">
        <f t="shared" si="49"/>
        <v/>
      </c>
      <c r="K357" s="31" t="str">
        <f t="shared" si="50"/>
        <v/>
      </c>
      <c r="L357" s="1"/>
      <c r="M357" s="1"/>
      <c r="N357" s="1"/>
      <c r="O357" s="1"/>
    </row>
    <row r="358" spans="1:15" ht="23" customHeight="1">
      <c r="A358" s="1"/>
      <c r="B358" s="29" t="str">
        <f t="shared" si="51"/>
        <v/>
      </c>
      <c r="C358" s="30" t="str">
        <f>IF(B358="","",EDATE(Simulatie!$C$14,B358-1))</f>
        <v/>
      </c>
      <c r="D358" s="31" t="str">
        <f t="shared" si="52"/>
        <v/>
      </c>
      <c r="E358" s="31" t="str">
        <f t="shared" si="45"/>
        <v/>
      </c>
      <c r="F358" s="31" t="str">
        <f t="shared" si="46"/>
        <v/>
      </c>
      <c r="G358" s="32" t="str">
        <f>IF(B358="","",ROUND(IF(AND(B358=$F$4,$I$5=0),D358-MIN($F$5,D358),IF(Simulatie!$C$13="Lineair",MIN(D358,Simulatie!$C$25),MIN(D358,MAX(0,$I$4-E358)))),2))</f>
        <v/>
      </c>
      <c r="H358" s="31" t="str">
        <f t="shared" si="47"/>
        <v/>
      </c>
      <c r="I358" s="31" t="str">
        <f t="shared" si="48"/>
        <v/>
      </c>
      <c r="J358" s="31" t="str">
        <f t="shared" si="49"/>
        <v/>
      </c>
      <c r="K358" s="31" t="str">
        <f t="shared" si="50"/>
        <v/>
      </c>
      <c r="L358" s="1"/>
      <c r="M358" s="1"/>
      <c r="N358" s="1"/>
      <c r="O358" s="1"/>
    </row>
    <row r="359" spans="1:15" ht="23" customHeight="1">
      <c r="A359" s="1"/>
      <c r="B359" s="29" t="str">
        <f t="shared" si="51"/>
        <v/>
      </c>
      <c r="C359" s="30" t="str">
        <f>IF(B359="","",EDATE(Simulatie!$C$14,B359-1))</f>
        <v/>
      </c>
      <c r="D359" s="31" t="str">
        <f t="shared" si="52"/>
        <v/>
      </c>
      <c r="E359" s="31" t="str">
        <f t="shared" si="45"/>
        <v/>
      </c>
      <c r="F359" s="31" t="str">
        <f t="shared" si="46"/>
        <v/>
      </c>
      <c r="G359" s="32" t="str">
        <f>IF(B359="","",ROUND(IF(AND(B359=$F$4,$I$5=0),D359-MIN($F$5,D359),IF(Simulatie!$C$13="Lineair",MIN(D359,Simulatie!$C$25),MIN(D359,MAX(0,$I$4-E359)))),2))</f>
        <v/>
      </c>
      <c r="H359" s="31" t="str">
        <f t="shared" si="47"/>
        <v/>
      </c>
      <c r="I359" s="31" t="str">
        <f t="shared" si="48"/>
        <v/>
      </c>
      <c r="J359" s="31" t="str">
        <f t="shared" si="49"/>
        <v/>
      </c>
      <c r="K359" s="31" t="str">
        <f t="shared" si="50"/>
        <v/>
      </c>
      <c r="L359" s="1"/>
      <c r="M359" s="1"/>
      <c r="N359" s="1"/>
      <c r="O359" s="1"/>
    </row>
    <row r="360" spans="1:15" ht="23" customHeight="1">
      <c r="A360" s="1"/>
      <c r="B360" s="29" t="str">
        <f t="shared" si="51"/>
        <v/>
      </c>
      <c r="C360" s="30" t="str">
        <f>IF(B360="","",EDATE(Simulatie!$C$14,B360-1))</f>
        <v/>
      </c>
      <c r="D360" s="31" t="str">
        <f t="shared" si="52"/>
        <v/>
      </c>
      <c r="E360" s="31" t="str">
        <f t="shared" si="45"/>
        <v/>
      </c>
      <c r="F360" s="31" t="str">
        <f t="shared" si="46"/>
        <v/>
      </c>
      <c r="G360" s="32" t="str">
        <f>IF(B360="","",ROUND(IF(AND(B360=$F$4,$I$5=0),D360-MIN($F$5,D360),IF(Simulatie!$C$13="Lineair",MIN(D360,Simulatie!$C$25),MIN(D360,MAX(0,$I$4-E360)))),2))</f>
        <v/>
      </c>
      <c r="H360" s="31" t="str">
        <f t="shared" si="47"/>
        <v/>
      </c>
      <c r="I360" s="31" t="str">
        <f t="shared" si="48"/>
        <v/>
      </c>
      <c r="J360" s="31" t="str">
        <f t="shared" si="49"/>
        <v/>
      </c>
      <c r="K360" s="31" t="str">
        <f t="shared" si="50"/>
        <v/>
      </c>
      <c r="L360" s="1"/>
      <c r="M360" s="1"/>
      <c r="N360" s="1"/>
      <c r="O360" s="1"/>
    </row>
    <row r="361" spans="1:15" ht="23" customHeight="1">
      <c r="A361" s="1"/>
      <c r="B361" s="29" t="str">
        <f t="shared" si="51"/>
        <v/>
      </c>
      <c r="C361" s="30" t="str">
        <f>IF(B361="","",EDATE(Simulatie!$C$14,B361-1))</f>
        <v/>
      </c>
      <c r="D361" s="31" t="str">
        <f t="shared" si="52"/>
        <v/>
      </c>
      <c r="E361" s="31" t="str">
        <f t="shared" si="45"/>
        <v/>
      </c>
      <c r="F361" s="31" t="str">
        <f t="shared" si="46"/>
        <v/>
      </c>
      <c r="G361" s="32" t="str">
        <f>IF(B361="","",ROUND(IF(AND(B361=$F$4,$I$5=0),D361-MIN($F$5,D361),IF(Simulatie!$C$13="Lineair",MIN(D361,Simulatie!$C$25),MIN(D361,MAX(0,$I$4-E361)))),2))</f>
        <v/>
      </c>
      <c r="H361" s="31" t="str">
        <f t="shared" si="47"/>
        <v/>
      </c>
      <c r="I361" s="31" t="str">
        <f t="shared" si="48"/>
        <v/>
      </c>
      <c r="J361" s="31" t="str">
        <f t="shared" si="49"/>
        <v/>
      </c>
      <c r="K361" s="31" t="str">
        <f t="shared" si="50"/>
        <v/>
      </c>
      <c r="L361" s="1"/>
      <c r="M361" s="1"/>
      <c r="N361" s="1"/>
      <c r="O361" s="1"/>
    </row>
    <row r="362" spans="1:15" ht="23" customHeight="1">
      <c r="A362" s="1"/>
      <c r="B362" s="29" t="str">
        <f t="shared" si="51"/>
        <v/>
      </c>
      <c r="C362" s="30" t="str">
        <f>IF(B362="","",EDATE(Simulatie!$C$14,B362-1))</f>
        <v/>
      </c>
      <c r="D362" s="31" t="str">
        <f t="shared" si="52"/>
        <v/>
      </c>
      <c r="E362" s="31" t="str">
        <f t="shared" si="45"/>
        <v/>
      </c>
      <c r="F362" s="31" t="str">
        <f t="shared" si="46"/>
        <v/>
      </c>
      <c r="G362" s="32" t="str">
        <f>IF(B362="","",ROUND(IF(AND(B362=$F$4,$I$5=0),D362-MIN($F$5,D362),IF(Simulatie!$C$13="Lineair",MIN(D362,Simulatie!$C$25),MIN(D362,MAX(0,$I$4-E362)))),2))</f>
        <v/>
      </c>
      <c r="H362" s="31" t="str">
        <f t="shared" si="47"/>
        <v/>
      </c>
      <c r="I362" s="31" t="str">
        <f t="shared" si="48"/>
        <v/>
      </c>
      <c r="J362" s="31" t="str">
        <f t="shared" si="49"/>
        <v/>
      </c>
      <c r="K362" s="31" t="str">
        <f t="shared" si="50"/>
        <v/>
      </c>
      <c r="L362" s="1"/>
      <c r="M362" s="1"/>
      <c r="N362" s="1"/>
      <c r="O362" s="1"/>
    </row>
    <row r="363" spans="1:15" ht="23" customHeight="1">
      <c r="A363" s="1"/>
      <c r="B363" s="29" t="str">
        <f t="shared" si="51"/>
        <v/>
      </c>
      <c r="C363" s="30" t="str">
        <f>IF(B363="","",EDATE(Simulatie!$C$14,B363-1))</f>
        <v/>
      </c>
      <c r="D363" s="31" t="str">
        <f t="shared" si="52"/>
        <v/>
      </c>
      <c r="E363" s="31" t="str">
        <f t="shared" si="45"/>
        <v/>
      </c>
      <c r="F363" s="31" t="str">
        <f t="shared" si="46"/>
        <v/>
      </c>
      <c r="G363" s="32" t="str">
        <f>IF(B363="","",ROUND(IF(AND(B363=$F$4,$I$5=0),D363-MIN($F$5,D363),IF(Simulatie!$C$13="Lineair",MIN(D363,Simulatie!$C$25),MIN(D363,MAX(0,$I$4-E363)))),2))</f>
        <v/>
      </c>
      <c r="H363" s="31" t="str">
        <f t="shared" si="47"/>
        <v/>
      </c>
      <c r="I363" s="31" t="str">
        <f t="shared" si="48"/>
        <v/>
      </c>
      <c r="J363" s="31" t="str">
        <f t="shared" si="49"/>
        <v/>
      </c>
      <c r="K363" s="31" t="str">
        <f t="shared" si="50"/>
        <v/>
      </c>
      <c r="L363" s="1"/>
      <c r="M363" s="1"/>
      <c r="N363" s="1"/>
      <c r="O363" s="1"/>
    </row>
    <row r="364" spans="1:15" ht="23" customHeight="1">
      <c r="A364" s="1"/>
      <c r="B364" s="29" t="str">
        <f t="shared" si="51"/>
        <v/>
      </c>
      <c r="C364" s="30" t="str">
        <f>IF(B364="","",EDATE(Simulatie!$C$14,B364-1))</f>
        <v/>
      </c>
      <c r="D364" s="31" t="str">
        <f t="shared" si="52"/>
        <v/>
      </c>
      <c r="E364" s="31" t="str">
        <f t="shared" si="45"/>
        <v/>
      </c>
      <c r="F364" s="31" t="str">
        <f t="shared" si="46"/>
        <v/>
      </c>
      <c r="G364" s="32" t="str">
        <f>IF(B364="","",ROUND(IF(AND(B364=$F$4,$I$5=0),D364-MIN($F$5,D364),IF(Simulatie!$C$13="Lineair",MIN(D364,Simulatie!$C$25),MIN(D364,MAX(0,$I$4-E364)))),2))</f>
        <v/>
      </c>
      <c r="H364" s="31" t="str">
        <f t="shared" si="47"/>
        <v/>
      </c>
      <c r="I364" s="31" t="str">
        <f t="shared" si="48"/>
        <v/>
      </c>
      <c r="J364" s="31" t="str">
        <f t="shared" si="49"/>
        <v/>
      </c>
      <c r="K364" s="31" t="str">
        <f t="shared" si="50"/>
        <v/>
      </c>
      <c r="L364" s="1"/>
      <c r="M364" s="1"/>
      <c r="N364" s="1"/>
      <c r="O364" s="1"/>
    </row>
    <row r="365" spans="1:15" ht="23" customHeight="1">
      <c r="A365" s="1"/>
      <c r="B365" s="29" t="str">
        <f t="shared" si="51"/>
        <v/>
      </c>
      <c r="C365" s="30" t="str">
        <f>IF(B365="","",EDATE(Simulatie!$C$14,B365-1))</f>
        <v/>
      </c>
      <c r="D365" s="31" t="str">
        <f t="shared" si="52"/>
        <v/>
      </c>
      <c r="E365" s="31" t="str">
        <f t="shared" si="45"/>
        <v/>
      </c>
      <c r="F365" s="31" t="str">
        <f t="shared" si="46"/>
        <v/>
      </c>
      <c r="G365" s="32" t="str">
        <f>IF(B365="","",ROUND(IF(AND(B365=$F$4,$I$5=0),D365-MIN($F$5,D365),IF(Simulatie!$C$13="Lineair",MIN(D365,Simulatie!$C$25),MIN(D365,MAX(0,$I$4-E365)))),2))</f>
        <v/>
      </c>
      <c r="H365" s="31" t="str">
        <f t="shared" si="47"/>
        <v/>
      </c>
      <c r="I365" s="31" t="str">
        <f t="shared" si="48"/>
        <v/>
      </c>
      <c r="J365" s="31" t="str">
        <f t="shared" si="49"/>
        <v/>
      </c>
      <c r="K365" s="31" t="str">
        <f t="shared" si="50"/>
        <v/>
      </c>
      <c r="L365" s="1"/>
      <c r="M365" s="1"/>
      <c r="N365" s="1"/>
      <c r="O365" s="1"/>
    </row>
    <row r="366" spans="1:15" ht="23" customHeight="1">
      <c r="A366" s="1"/>
      <c r="B366" s="29" t="str">
        <f t="shared" si="51"/>
        <v/>
      </c>
      <c r="C366" s="30" t="str">
        <f>IF(B366="","",EDATE(Simulatie!$C$14,B366-1))</f>
        <v/>
      </c>
      <c r="D366" s="31" t="str">
        <f t="shared" si="52"/>
        <v/>
      </c>
      <c r="E366" s="31" t="str">
        <f t="shared" si="45"/>
        <v/>
      </c>
      <c r="F366" s="31" t="str">
        <f t="shared" si="46"/>
        <v/>
      </c>
      <c r="G366" s="32" t="str">
        <f>IF(B366="","",ROUND(IF(AND(B366=$F$4,$I$5=0),D366-MIN($F$5,D366),IF(Simulatie!$C$13="Lineair",MIN(D366,Simulatie!$C$25),MIN(D366,MAX(0,$I$4-E366)))),2))</f>
        <v/>
      </c>
      <c r="H366" s="31" t="str">
        <f t="shared" si="47"/>
        <v/>
      </c>
      <c r="I366" s="31" t="str">
        <f t="shared" si="48"/>
        <v/>
      </c>
      <c r="J366" s="31" t="str">
        <f t="shared" si="49"/>
        <v/>
      </c>
      <c r="K366" s="31" t="str">
        <f t="shared" si="50"/>
        <v/>
      </c>
      <c r="L366" s="1"/>
      <c r="M366" s="1"/>
      <c r="N366" s="1"/>
      <c r="O366" s="1"/>
    </row>
    <row r="367" spans="1:15" ht="23" customHeight="1">
      <c r="A367" s="1"/>
      <c r="B367" s="29" t="str">
        <f t="shared" si="51"/>
        <v/>
      </c>
      <c r="C367" s="30" t="str">
        <f>IF(B367="","",EDATE(Simulatie!$C$14,B367-1))</f>
        <v/>
      </c>
      <c r="D367" s="31" t="str">
        <f t="shared" si="52"/>
        <v/>
      </c>
      <c r="E367" s="31" t="str">
        <f t="shared" si="45"/>
        <v/>
      </c>
      <c r="F367" s="31" t="str">
        <f t="shared" si="46"/>
        <v/>
      </c>
      <c r="G367" s="32" t="str">
        <f>IF(B367="","",ROUND(IF(AND(B367=$F$4,$I$5=0),D367-MIN($F$5,D367),IF(Simulatie!$C$13="Lineair",MIN(D367,Simulatie!$C$25),MIN(D367,MAX(0,$I$4-E367)))),2))</f>
        <v/>
      </c>
      <c r="H367" s="31" t="str">
        <f t="shared" si="47"/>
        <v/>
      </c>
      <c r="I367" s="31" t="str">
        <f t="shared" si="48"/>
        <v/>
      </c>
      <c r="J367" s="31" t="str">
        <f t="shared" si="49"/>
        <v/>
      </c>
      <c r="K367" s="31" t="str">
        <f t="shared" si="50"/>
        <v/>
      </c>
      <c r="L367" s="1"/>
      <c r="M367" s="1"/>
      <c r="N367" s="1"/>
      <c r="O367" s="1"/>
    </row>
    <row r="368" spans="1:15" ht="23" customHeight="1">
      <c r="A368" s="1"/>
      <c r="B368" s="1"/>
      <c r="C368" s="1"/>
      <c r="D368" s="1"/>
      <c r="E368" s="1"/>
      <c r="F368" s="1"/>
      <c r="G368" s="1"/>
      <c r="H368" s="1"/>
      <c r="I368" s="1"/>
      <c r="J368" s="1"/>
      <c r="K368" s="1"/>
      <c r="L368" s="1"/>
      <c r="M368" s="1"/>
      <c r="N368" s="1"/>
      <c r="O368" s="1"/>
    </row>
    <row r="369" spans="1:15" ht="23" customHeight="1">
      <c r="A369" s="1"/>
      <c r="B369" s="1"/>
      <c r="C369" s="1"/>
      <c r="D369" s="1"/>
      <c r="E369" s="1"/>
      <c r="F369" s="1"/>
      <c r="G369" s="1"/>
      <c r="H369" s="1"/>
      <c r="I369" s="1"/>
      <c r="J369" s="1"/>
      <c r="K369" s="1"/>
      <c r="L369" s="1"/>
      <c r="M369" s="1"/>
      <c r="N369" s="1"/>
      <c r="O369" s="1"/>
    </row>
  </sheetData>
  <conditionalFormatting sqref="B8:K367">
    <cfRule type="expression" dxfId="2" priority="1">
      <formula>AND($B8&lt;&gt;"",MOD($B8,2)=0)</formula>
    </cfRule>
    <cfRule type="expression" dxfId="1" priority="2">
      <formula>AND($B8&lt;&gt;"",$K8=0)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74373"/>
  </sheetPr>
  <dimension ref="A1:K61"/>
  <sheetViews>
    <sheetView showGridLines="0" workbookViewId="0">
      <pane ySplit="6" topLeftCell="A7" activePane="bottomLeft" state="frozen"/>
      <selection pane="bottomLeft"/>
    </sheetView>
  </sheetViews>
  <sheetFormatPr baseColWidth="10" defaultColWidth="8.83203125" defaultRowHeight="14"/>
  <cols>
    <col min="1" max="1" width="3" customWidth="1"/>
    <col min="2" max="2" width="11" customWidth="1"/>
    <col min="3" max="4" width="18" customWidth="1"/>
    <col min="5" max="5" width="16" customWidth="1"/>
    <col min="6" max="7" width="18" customWidth="1"/>
    <col min="8" max="8" width="19" customWidth="1"/>
    <col min="9" max="9" width="18" customWidth="1"/>
    <col min="10" max="11" width="3" customWidth="1"/>
  </cols>
  <sheetData>
    <row r="1" spans="1:11" ht="23" customHeight="1">
      <c r="A1" s="1"/>
      <c r="B1" s="1"/>
      <c r="C1" s="1"/>
      <c r="D1" s="1"/>
      <c r="E1" s="1"/>
      <c r="F1" s="1"/>
      <c r="G1" s="1"/>
      <c r="H1" s="1"/>
      <c r="I1" s="1"/>
      <c r="J1" s="1"/>
      <c r="K1" s="1"/>
    </row>
    <row r="2" spans="1:11" ht="23" customHeight="1">
      <c r="A2" s="1"/>
      <c r="B2" s="2" t="s">
        <v>59</v>
      </c>
      <c r="C2" s="1"/>
      <c r="D2" s="1"/>
      <c r="E2" s="1"/>
      <c r="F2" s="1"/>
      <c r="G2" s="1"/>
      <c r="H2" s="1"/>
      <c r="I2" s="1"/>
      <c r="J2" s="1"/>
      <c r="K2" s="1"/>
    </row>
    <row r="3" spans="1:11" ht="23" customHeight="1">
      <c r="A3" s="1"/>
      <c r="B3" s="3"/>
      <c r="C3" s="3"/>
      <c r="D3" s="3"/>
      <c r="E3" s="3"/>
      <c r="F3" s="3"/>
      <c r="G3" s="3"/>
      <c r="H3" s="3"/>
      <c r="I3" s="3"/>
      <c r="J3" s="1"/>
      <c r="K3" s="1"/>
    </row>
    <row r="4" spans="1:11" ht="23" customHeight="1">
      <c r="A4" s="1"/>
      <c r="B4" s="1" t="s">
        <v>60</v>
      </c>
      <c r="C4" s="1"/>
      <c r="D4" s="1"/>
      <c r="E4" s="1"/>
      <c r="F4" s="1"/>
      <c r="G4" s="1"/>
      <c r="H4" s="1"/>
      <c r="I4" s="1"/>
      <c r="J4" s="1"/>
      <c r="K4" s="1"/>
    </row>
    <row r="5" spans="1:11" ht="23" customHeight="1">
      <c r="A5" s="1"/>
      <c r="B5" s="1"/>
      <c r="C5" s="1"/>
      <c r="D5" s="1"/>
      <c r="E5" s="1"/>
      <c r="F5" s="1"/>
      <c r="G5" s="1"/>
      <c r="H5" s="1"/>
      <c r="I5" s="1"/>
      <c r="J5" s="1"/>
      <c r="K5" s="1"/>
    </row>
    <row r="6" spans="1:11" ht="38" customHeight="1">
      <c r="A6" s="1"/>
      <c r="B6" s="28" t="s">
        <v>61</v>
      </c>
      <c r="C6" s="28" t="s">
        <v>48</v>
      </c>
      <c r="D6" s="28" t="s">
        <v>51</v>
      </c>
      <c r="E6" s="28" t="s">
        <v>49</v>
      </c>
      <c r="F6" s="28" t="s">
        <v>52</v>
      </c>
      <c r="G6" s="28" t="s">
        <v>53</v>
      </c>
      <c r="H6" s="28" t="s">
        <v>54</v>
      </c>
      <c r="I6" s="28" t="s">
        <v>30</v>
      </c>
      <c r="J6" s="1"/>
      <c r="K6" s="1"/>
    </row>
    <row r="7" spans="1:11" ht="23" customHeight="1">
      <c r="A7" s="1"/>
      <c r="B7" s="24">
        <f>IF(Simulatie!$C$20&lt;&gt;"Invoer geldig","",IF(Simulatie!$F$17=0,"",YEAR(Simulatie!$C$14)))</f>
        <v>2027</v>
      </c>
      <c r="C7" s="32">
        <f>IF(B7="","",Simulatie!$C$22)</f>
        <v>60000</v>
      </c>
      <c r="D7" s="32">
        <f>IF(B7="","",SUMIFS(Aflossingen!$G$8:$G$367,Aflossingen!$C$8:$C$367,"&gt;="&amp;DATE(B7,1,1),Aflossingen!$C$8:$C$367,"&lt;"&amp;DATE(B7+1,1,1)))</f>
        <v>10833.27</v>
      </c>
      <c r="E7" s="32">
        <f>IF(B7="","",SUMIFS(Aflossingen!$E$8:$E$367,Aflossingen!$C$8:$C$367,"&gt;="&amp;DATE(B7,1,1),Aflossingen!$C$8:$C$367,"&lt;"&amp;DATE(B7+1,1,1)))</f>
        <v>2753.9700000000003</v>
      </c>
      <c r="F7" s="32">
        <f>IF(B7="","",SUMIFS(Aflossingen!$H$8:$H$367,Aflossingen!$C$8:$C$367,"&gt;="&amp;DATE(B7,1,1),Aflossingen!$C$8:$C$367,"&lt;"&amp;DATE(B7+1,1,1)))</f>
        <v>0</v>
      </c>
      <c r="G7" s="32">
        <f>IF(B7="","",SUMIFS(Aflossingen!$I$8:$I$367,Aflossingen!$C$8:$C$367,"&gt;="&amp;DATE(B7,1,1),Aflossingen!$C$8:$C$367,"&lt;"&amp;DATE(B7+1,1,1)))</f>
        <v>0</v>
      </c>
      <c r="H7" s="32">
        <f>IF(B7="","",SUMIFS(Aflossingen!$J$8:$J$367,Aflossingen!$C$8:$C$367,"&gt;="&amp;DATE(B7,1,1),Aflossingen!$C$8:$C$367,"&lt;"&amp;DATE(B7+1,1,1)))</f>
        <v>13587.240000000003</v>
      </c>
      <c r="I7" s="32">
        <f t="shared" ref="I7:I37" si="0">IF(B7="","",ROUND(C7-SUM(D7,F7:G7),2))</f>
        <v>49166.73</v>
      </c>
      <c r="J7" s="1"/>
      <c r="K7" s="1"/>
    </row>
    <row r="8" spans="1:11" ht="23" customHeight="1">
      <c r="A8" s="1"/>
      <c r="B8" s="24">
        <f>IF(B7="","",IF(B7&lt;YEAR(Simulatie!$F$16),B7+1,""))</f>
        <v>2028</v>
      </c>
      <c r="C8" s="32">
        <f t="shared" ref="C8:C37" si="1">IF(B8="","",I7)</f>
        <v>49166.73</v>
      </c>
      <c r="D8" s="32">
        <f>IF(B8="","",SUMIFS(Aflossingen!$G$8:$G$367,Aflossingen!$C$8:$C$367,"&gt;="&amp;DATE(B8,1,1),Aflossingen!$C$8:$C$367,"&lt;"&amp;DATE(B8+1,1,1)))</f>
        <v>11387.510000000002</v>
      </c>
      <c r="E8" s="32">
        <f>IF(B8="","",SUMIFS(Aflossingen!$E$8:$E$367,Aflossingen!$C$8:$C$367,"&gt;="&amp;DATE(B8,1,1),Aflossingen!$C$8:$C$367,"&lt;"&amp;DATE(B8+1,1,1)))</f>
        <v>2199.73</v>
      </c>
      <c r="F8" s="32">
        <f>IF(B8="","",SUMIFS(Aflossingen!$H$8:$H$367,Aflossingen!$C$8:$C$367,"&gt;="&amp;DATE(B8,1,1),Aflossingen!$C$8:$C$367,"&lt;"&amp;DATE(B8+1,1,1)))</f>
        <v>0</v>
      </c>
      <c r="G8" s="32">
        <f>IF(B8="","",SUMIFS(Aflossingen!$I$8:$I$367,Aflossingen!$C$8:$C$367,"&gt;="&amp;DATE(B8,1,1),Aflossingen!$C$8:$C$367,"&lt;"&amp;DATE(B8+1,1,1)))</f>
        <v>0</v>
      </c>
      <c r="H8" s="32">
        <f>IF(B8="","",SUMIFS(Aflossingen!$J$8:$J$367,Aflossingen!$C$8:$C$367,"&gt;="&amp;DATE(B8,1,1),Aflossingen!$C$8:$C$367,"&lt;"&amp;DATE(B8+1,1,1)))</f>
        <v>13587.240000000003</v>
      </c>
      <c r="I8" s="32">
        <f t="shared" si="0"/>
        <v>37779.22</v>
      </c>
      <c r="J8" s="1"/>
      <c r="K8" s="1"/>
    </row>
    <row r="9" spans="1:11" ht="23" customHeight="1">
      <c r="A9" s="1"/>
      <c r="B9" s="24">
        <f>IF(B8="","",IF(B8&lt;YEAR(Simulatie!$F$16),B8+1,""))</f>
        <v>2029</v>
      </c>
      <c r="C9" s="32">
        <f t="shared" si="1"/>
        <v>37779.22</v>
      </c>
      <c r="D9" s="32">
        <f>IF(B9="","",SUMIFS(Aflossingen!$G$8:$G$367,Aflossingen!$C$8:$C$367,"&gt;="&amp;DATE(B9,1,1),Aflossingen!$C$8:$C$367,"&lt;"&amp;DATE(B9+1,1,1)))</f>
        <v>11970.14</v>
      </c>
      <c r="E9" s="32">
        <f>IF(B9="","",SUMIFS(Aflossingen!$E$8:$E$367,Aflossingen!$C$8:$C$367,"&gt;="&amp;DATE(B9,1,1),Aflossingen!$C$8:$C$367,"&lt;"&amp;DATE(B9+1,1,1)))</f>
        <v>1617.1000000000001</v>
      </c>
      <c r="F9" s="32">
        <f>IF(B9="","",SUMIFS(Aflossingen!$H$8:$H$367,Aflossingen!$C$8:$C$367,"&gt;="&amp;DATE(B9,1,1),Aflossingen!$C$8:$C$367,"&lt;"&amp;DATE(B9+1,1,1)))</f>
        <v>0</v>
      </c>
      <c r="G9" s="32">
        <f>IF(B9="","",SUMIFS(Aflossingen!$I$8:$I$367,Aflossingen!$C$8:$C$367,"&gt;="&amp;DATE(B9,1,1),Aflossingen!$C$8:$C$367,"&lt;"&amp;DATE(B9+1,1,1)))</f>
        <v>0</v>
      </c>
      <c r="H9" s="32">
        <f>IF(B9="","",SUMIFS(Aflossingen!$J$8:$J$367,Aflossingen!$C$8:$C$367,"&gt;="&amp;DATE(B9,1,1),Aflossingen!$C$8:$C$367,"&lt;"&amp;DATE(B9+1,1,1)))</f>
        <v>13587.240000000003</v>
      </c>
      <c r="I9" s="32">
        <f t="shared" si="0"/>
        <v>25809.08</v>
      </c>
      <c r="J9" s="1"/>
      <c r="K9" s="1"/>
    </row>
    <row r="10" spans="1:11" ht="23" customHeight="1">
      <c r="A10" s="1"/>
      <c r="B10" s="24">
        <f>IF(B9="","",IF(B9&lt;YEAR(Simulatie!$F$16),B9+1,""))</f>
        <v>2030</v>
      </c>
      <c r="C10" s="32">
        <f t="shared" si="1"/>
        <v>25809.08</v>
      </c>
      <c r="D10" s="32">
        <f>IF(B10="","",SUMIFS(Aflossingen!$G$8:$G$367,Aflossingen!$C$8:$C$367,"&gt;="&amp;DATE(B10,1,1),Aflossingen!$C$8:$C$367,"&lt;"&amp;DATE(B10+1,1,1)))</f>
        <v>12582.539999999999</v>
      </c>
      <c r="E10" s="32">
        <f>IF(B10="","",SUMIFS(Aflossingen!$E$8:$E$367,Aflossingen!$C$8:$C$367,"&gt;="&amp;DATE(B10,1,1),Aflossingen!$C$8:$C$367,"&lt;"&amp;DATE(B10+1,1,1)))</f>
        <v>1004.7</v>
      </c>
      <c r="F10" s="32">
        <f>IF(B10="","",SUMIFS(Aflossingen!$H$8:$H$367,Aflossingen!$C$8:$C$367,"&gt;="&amp;DATE(B10,1,1),Aflossingen!$C$8:$C$367,"&lt;"&amp;DATE(B10+1,1,1)))</f>
        <v>0</v>
      </c>
      <c r="G10" s="32">
        <f>IF(B10="","",SUMIFS(Aflossingen!$I$8:$I$367,Aflossingen!$C$8:$C$367,"&gt;="&amp;DATE(B10,1,1),Aflossingen!$C$8:$C$367,"&lt;"&amp;DATE(B10+1,1,1)))</f>
        <v>0</v>
      </c>
      <c r="H10" s="32">
        <f>IF(B10="","",SUMIFS(Aflossingen!$J$8:$J$367,Aflossingen!$C$8:$C$367,"&gt;="&amp;DATE(B10,1,1),Aflossingen!$C$8:$C$367,"&lt;"&amp;DATE(B10+1,1,1)))</f>
        <v>13587.240000000003</v>
      </c>
      <c r="I10" s="32">
        <f t="shared" si="0"/>
        <v>13226.54</v>
      </c>
      <c r="J10" s="1"/>
      <c r="K10" s="1"/>
    </row>
    <row r="11" spans="1:11" ht="23" customHeight="1">
      <c r="A11" s="1"/>
      <c r="B11" s="24">
        <f>IF(B10="","",IF(B10&lt;YEAR(Simulatie!$F$16),B10+1,""))</f>
        <v>2031</v>
      </c>
      <c r="C11" s="32">
        <f t="shared" si="1"/>
        <v>13226.54</v>
      </c>
      <c r="D11" s="32">
        <f>IF(B11="","",SUMIFS(Aflossingen!$G$8:$G$367,Aflossingen!$C$8:$C$367,"&gt;="&amp;DATE(B11,1,1),Aflossingen!$C$8:$C$367,"&lt;"&amp;DATE(B11+1,1,1)))</f>
        <v>13226.539999999999</v>
      </c>
      <c r="E11" s="32">
        <f>IF(B11="","",SUMIFS(Aflossingen!$E$8:$E$367,Aflossingen!$C$8:$C$367,"&gt;="&amp;DATE(B11,1,1),Aflossingen!$C$8:$C$367,"&lt;"&amp;DATE(B11+1,1,1)))</f>
        <v>360.97</v>
      </c>
      <c r="F11" s="32">
        <f>IF(B11="","",SUMIFS(Aflossingen!$H$8:$H$367,Aflossingen!$C$8:$C$367,"&gt;="&amp;DATE(B11,1,1),Aflossingen!$C$8:$C$367,"&lt;"&amp;DATE(B11+1,1,1)))</f>
        <v>0</v>
      </c>
      <c r="G11" s="32">
        <f>IF(B11="","",SUMIFS(Aflossingen!$I$8:$I$367,Aflossingen!$C$8:$C$367,"&gt;="&amp;DATE(B11,1,1),Aflossingen!$C$8:$C$367,"&lt;"&amp;DATE(B11+1,1,1)))</f>
        <v>0</v>
      </c>
      <c r="H11" s="32">
        <f>IF(B11="","",SUMIFS(Aflossingen!$J$8:$J$367,Aflossingen!$C$8:$C$367,"&gt;="&amp;DATE(B11,1,1),Aflossingen!$C$8:$C$367,"&lt;"&amp;DATE(B11+1,1,1)))</f>
        <v>13587.510000000002</v>
      </c>
      <c r="I11" s="32">
        <f t="shared" si="0"/>
        <v>0</v>
      </c>
      <c r="J11" s="1"/>
      <c r="K11" s="1"/>
    </row>
    <row r="12" spans="1:11" ht="23" customHeight="1">
      <c r="A12" s="1"/>
      <c r="B12" s="24" t="str">
        <f>IF(B11="","",IF(B11&lt;YEAR(Simulatie!$F$16),B11+1,""))</f>
        <v/>
      </c>
      <c r="C12" s="32" t="str">
        <f t="shared" si="1"/>
        <v/>
      </c>
      <c r="D12" s="32" t="str">
        <f>IF(B12="","",SUMIFS(Aflossingen!$G$8:$G$367,Aflossingen!$C$8:$C$367,"&gt;="&amp;DATE(B12,1,1),Aflossingen!$C$8:$C$367,"&lt;"&amp;DATE(B12+1,1,1)))</f>
        <v/>
      </c>
      <c r="E12" s="32" t="str">
        <f>IF(B12="","",SUMIFS(Aflossingen!$E$8:$E$367,Aflossingen!$C$8:$C$367,"&gt;="&amp;DATE(B12,1,1),Aflossingen!$C$8:$C$367,"&lt;"&amp;DATE(B12+1,1,1)))</f>
        <v/>
      </c>
      <c r="F12" s="32" t="str">
        <f>IF(B12="","",SUMIFS(Aflossingen!$H$8:$H$367,Aflossingen!$C$8:$C$367,"&gt;="&amp;DATE(B12,1,1),Aflossingen!$C$8:$C$367,"&lt;"&amp;DATE(B12+1,1,1)))</f>
        <v/>
      </c>
      <c r="G12" s="32" t="str">
        <f>IF(B12="","",SUMIFS(Aflossingen!$I$8:$I$367,Aflossingen!$C$8:$C$367,"&gt;="&amp;DATE(B12,1,1),Aflossingen!$C$8:$C$367,"&lt;"&amp;DATE(B12+1,1,1)))</f>
        <v/>
      </c>
      <c r="H12" s="32" t="str">
        <f>IF(B12="","",SUMIFS(Aflossingen!$J$8:$J$367,Aflossingen!$C$8:$C$367,"&gt;="&amp;DATE(B12,1,1),Aflossingen!$C$8:$C$367,"&lt;"&amp;DATE(B12+1,1,1)))</f>
        <v/>
      </c>
      <c r="I12" s="32" t="str">
        <f t="shared" si="0"/>
        <v/>
      </c>
      <c r="J12" s="1"/>
      <c r="K12" s="1"/>
    </row>
    <row r="13" spans="1:11" ht="23" customHeight="1">
      <c r="A13" s="1"/>
      <c r="B13" s="24" t="str">
        <f>IF(B12="","",IF(B12&lt;YEAR(Simulatie!$F$16),B12+1,""))</f>
        <v/>
      </c>
      <c r="C13" s="32" t="str">
        <f t="shared" si="1"/>
        <v/>
      </c>
      <c r="D13" s="32" t="str">
        <f>IF(B13="","",SUMIFS(Aflossingen!$G$8:$G$367,Aflossingen!$C$8:$C$367,"&gt;="&amp;DATE(B13,1,1),Aflossingen!$C$8:$C$367,"&lt;"&amp;DATE(B13+1,1,1)))</f>
        <v/>
      </c>
      <c r="E13" s="32" t="str">
        <f>IF(B13="","",SUMIFS(Aflossingen!$E$8:$E$367,Aflossingen!$C$8:$C$367,"&gt;="&amp;DATE(B13,1,1),Aflossingen!$C$8:$C$367,"&lt;"&amp;DATE(B13+1,1,1)))</f>
        <v/>
      </c>
      <c r="F13" s="32" t="str">
        <f>IF(B13="","",SUMIFS(Aflossingen!$H$8:$H$367,Aflossingen!$C$8:$C$367,"&gt;="&amp;DATE(B13,1,1),Aflossingen!$C$8:$C$367,"&lt;"&amp;DATE(B13+1,1,1)))</f>
        <v/>
      </c>
      <c r="G13" s="32" t="str">
        <f>IF(B13="","",SUMIFS(Aflossingen!$I$8:$I$367,Aflossingen!$C$8:$C$367,"&gt;="&amp;DATE(B13,1,1),Aflossingen!$C$8:$C$367,"&lt;"&amp;DATE(B13+1,1,1)))</f>
        <v/>
      </c>
      <c r="H13" s="32" t="str">
        <f>IF(B13="","",SUMIFS(Aflossingen!$J$8:$J$367,Aflossingen!$C$8:$C$367,"&gt;="&amp;DATE(B13,1,1),Aflossingen!$C$8:$C$367,"&lt;"&amp;DATE(B13+1,1,1)))</f>
        <v/>
      </c>
      <c r="I13" s="32" t="str">
        <f t="shared" si="0"/>
        <v/>
      </c>
      <c r="J13" s="1"/>
      <c r="K13" s="1"/>
    </row>
    <row r="14" spans="1:11" ht="23" customHeight="1">
      <c r="A14" s="1"/>
      <c r="B14" s="24" t="str">
        <f>IF(B13="","",IF(B13&lt;YEAR(Simulatie!$F$16),B13+1,""))</f>
        <v/>
      </c>
      <c r="C14" s="32" t="str">
        <f t="shared" si="1"/>
        <v/>
      </c>
      <c r="D14" s="32" t="str">
        <f>IF(B14="","",SUMIFS(Aflossingen!$G$8:$G$367,Aflossingen!$C$8:$C$367,"&gt;="&amp;DATE(B14,1,1),Aflossingen!$C$8:$C$367,"&lt;"&amp;DATE(B14+1,1,1)))</f>
        <v/>
      </c>
      <c r="E14" s="32" t="str">
        <f>IF(B14="","",SUMIFS(Aflossingen!$E$8:$E$367,Aflossingen!$C$8:$C$367,"&gt;="&amp;DATE(B14,1,1),Aflossingen!$C$8:$C$367,"&lt;"&amp;DATE(B14+1,1,1)))</f>
        <v/>
      </c>
      <c r="F14" s="32" t="str">
        <f>IF(B14="","",SUMIFS(Aflossingen!$H$8:$H$367,Aflossingen!$C$8:$C$367,"&gt;="&amp;DATE(B14,1,1),Aflossingen!$C$8:$C$367,"&lt;"&amp;DATE(B14+1,1,1)))</f>
        <v/>
      </c>
      <c r="G14" s="32" t="str">
        <f>IF(B14="","",SUMIFS(Aflossingen!$I$8:$I$367,Aflossingen!$C$8:$C$367,"&gt;="&amp;DATE(B14,1,1),Aflossingen!$C$8:$C$367,"&lt;"&amp;DATE(B14+1,1,1)))</f>
        <v/>
      </c>
      <c r="H14" s="32" t="str">
        <f>IF(B14="","",SUMIFS(Aflossingen!$J$8:$J$367,Aflossingen!$C$8:$C$367,"&gt;="&amp;DATE(B14,1,1),Aflossingen!$C$8:$C$367,"&lt;"&amp;DATE(B14+1,1,1)))</f>
        <v/>
      </c>
      <c r="I14" s="32" t="str">
        <f t="shared" si="0"/>
        <v/>
      </c>
      <c r="J14" s="1"/>
      <c r="K14" s="1"/>
    </row>
    <row r="15" spans="1:11" ht="23" customHeight="1">
      <c r="A15" s="1"/>
      <c r="B15" s="24" t="str">
        <f>IF(B14="","",IF(B14&lt;YEAR(Simulatie!$F$16),B14+1,""))</f>
        <v/>
      </c>
      <c r="C15" s="32" t="str">
        <f t="shared" si="1"/>
        <v/>
      </c>
      <c r="D15" s="32" t="str">
        <f>IF(B15="","",SUMIFS(Aflossingen!$G$8:$G$367,Aflossingen!$C$8:$C$367,"&gt;="&amp;DATE(B15,1,1),Aflossingen!$C$8:$C$367,"&lt;"&amp;DATE(B15+1,1,1)))</f>
        <v/>
      </c>
      <c r="E15" s="32" t="str">
        <f>IF(B15="","",SUMIFS(Aflossingen!$E$8:$E$367,Aflossingen!$C$8:$C$367,"&gt;="&amp;DATE(B15,1,1),Aflossingen!$C$8:$C$367,"&lt;"&amp;DATE(B15+1,1,1)))</f>
        <v/>
      </c>
      <c r="F15" s="32" t="str">
        <f>IF(B15="","",SUMIFS(Aflossingen!$H$8:$H$367,Aflossingen!$C$8:$C$367,"&gt;="&amp;DATE(B15,1,1),Aflossingen!$C$8:$C$367,"&lt;"&amp;DATE(B15+1,1,1)))</f>
        <v/>
      </c>
      <c r="G15" s="32" t="str">
        <f>IF(B15="","",SUMIFS(Aflossingen!$I$8:$I$367,Aflossingen!$C$8:$C$367,"&gt;="&amp;DATE(B15,1,1),Aflossingen!$C$8:$C$367,"&lt;"&amp;DATE(B15+1,1,1)))</f>
        <v/>
      </c>
      <c r="H15" s="32" t="str">
        <f>IF(B15="","",SUMIFS(Aflossingen!$J$8:$J$367,Aflossingen!$C$8:$C$367,"&gt;="&amp;DATE(B15,1,1),Aflossingen!$C$8:$C$367,"&lt;"&amp;DATE(B15+1,1,1)))</f>
        <v/>
      </c>
      <c r="I15" s="32" t="str">
        <f t="shared" si="0"/>
        <v/>
      </c>
      <c r="J15" s="1"/>
      <c r="K15" s="1"/>
    </row>
    <row r="16" spans="1:11" ht="23" customHeight="1">
      <c r="A16" s="1"/>
      <c r="B16" s="24" t="str">
        <f>IF(B15="","",IF(B15&lt;YEAR(Simulatie!$F$16),B15+1,""))</f>
        <v/>
      </c>
      <c r="C16" s="32" t="str">
        <f t="shared" si="1"/>
        <v/>
      </c>
      <c r="D16" s="32" t="str">
        <f>IF(B16="","",SUMIFS(Aflossingen!$G$8:$G$367,Aflossingen!$C$8:$C$367,"&gt;="&amp;DATE(B16,1,1),Aflossingen!$C$8:$C$367,"&lt;"&amp;DATE(B16+1,1,1)))</f>
        <v/>
      </c>
      <c r="E16" s="32" t="str">
        <f>IF(B16="","",SUMIFS(Aflossingen!$E$8:$E$367,Aflossingen!$C$8:$C$367,"&gt;="&amp;DATE(B16,1,1),Aflossingen!$C$8:$C$367,"&lt;"&amp;DATE(B16+1,1,1)))</f>
        <v/>
      </c>
      <c r="F16" s="32" t="str">
        <f>IF(B16="","",SUMIFS(Aflossingen!$H$8:$H$367,Aflossingen!$C$8:$C$367,"&gt;="&amp;DATE(B16,1,1),Aflossingen!$C$8:$C$367,"&lt;"&amp;DATE(B16+1,1,1)))</f>
        <v/>
      </c>
      <c r="G16" s="32" t="str">
        <f>IF(B16="","",SUMIFS(Aflossingen!$I$8:$I$367,Aflossingen!$C$8:$C$367,"&gt;="&amp;DATE(B16,1,1),Aflossingen!$C$8:$C$367,"&lt;"&amp;DATE(B16+1,1,1)))</f>
        <v/>
      </c>
      <c r="H16" s="32" t="str">
        <f>IF(B16="","",SUMIFS(Aflossingen!$J$8:$J$367,Aflossingen!$C$8:$C$367,"&gt;="&amp;DATE(B16,1,1),Aflossingen!$C$8:$C$367,"&lt;"&amp;DATE(B16+1,1,1)))</f>
        <v/>
      </c>
      <c r="I16" s="32" t="str">
        <f t="shared" si="0"/>
        <v/>
      </c>
      <c r="J16" s="1"/>
      <c r="K16" s="1"/>
    </row>
    <row r="17" spans="1:11" ht="23" customHeight="1">
      <c r="A17" s="1"/>
      <c r="B17" s="24" t="str">
        <f>IF(B16="","",IF(B16&lt;YEAR(Simulatie!$F$16),B16+1,""))</f>
        <v/>
      </c>
      <c r="C17" s="32" t="str">
        <f t="shared" si="1"/>
        <v/>
      </c>
      <c r="D17" s="32" t="str">
        <f>IF(B17="","",SUMIFS(Aflossingen!$G$8:$G$367,Aflossingen!$C$8:$C$367,"&gt;="&amp;DATE(B17,1,1),Aflossingen!$C$8:$C$367,"&lt;"&amp;DATE(B17+1,1,1)))</f>
        <v/>
      </c>
      <c r="E17" s="32" t="str">
        <f>IF(B17="","",SUMIFS(Aflossingen!$E$8:$E$367,Aflossingen!$C$8:$C$367,"&gt;="&amp;DATE(B17,1,1),Aflossingen!$C$8:$C$367,"&lt;"&amp;DATE(B17+1,1,1)))</f>
        <v/>
      </c>
      <c r="F17" s="32" t="str">
        <f>IF(B17="","",SUMIFS(Aflossingen!$H$8:$H$367,Aflossingen!$C$8:$C$367,"&gt;="&amp;DATE(B17,1,1),Aflossingen!$C$8:$C$367,"&lt;"&amp;DATE(B17+1,1,1)))</f>
        <v/>
      </c>
      <c r="G17" s="32" t="str">
        <f>IF(B17="","",SUMIFS(Aflossingen!$I$8:$I$367,Aflossingen!$C$8:$C$367,"&gt;="&amp;DATE(B17,1,1),Aflossingen!$C$8:$C$367,"&lt;"&amp;DATE(B17+1,1,1)))</f>
        <v/>
      </c>
      <c r="H17" s="32" t="str">
        <f>IF(B17="","",SUMIFS(Aflossingen!$J$8:$J$367,Aflossingen!$C$8:$C$367,"&gt;="&amp;DATE(B17,1,1),Aflossingen!$C$8:$C$367,"&lt;"&amp;DATE(B17+1,1,1)))</f>
        <v/>
      </c>
      <c r="I17" s="32" t="str">
        <f t="shared" si="0"/>
        <v/>
      </c>
      <c r="J17" s="1"/>
      <c r="K17" s="1"/>
    </row>
    <row r="18" spans="1:11" ht="23" customHeight="1">
      <c r="A18" s="1"/>
      <c r="B18" s="24" t="str">
        <f>IF(B17="","",IF(B17&lt;YEAR(Simulatie!$F$16),B17+1,""))</f>
        <v/>
      </c>
      <c r="C18" s="32" t="str">
        <f t="shared" si="1"/>
        <v/>
      </c>
      <c r="D18" s="32" t="str">
        <f>IF(B18="","",SUMIFS(Aflossingen!$G$8:$G$367,Aflossingen!$C$8:$C$367,"&gt;="&amp;DATE(B18,1,1),Aflossingen!$C$8:$C$367,"&lt;"&amp;DATE(B18+1,1,1)))</f>
        <v/>
      </c>
      <c r="E18" s="32" t="str">
        <f>IF(B18="","",SUMIFS(Aflossingen!$E$8:$E$367,Aflossingen!$C$8:$C$367,"&gt;="&amp;DATE(B18,1,1),Aflossingen!$C$8:$C$367,"&lt;"&amp;DATE(B18+1,1,1)))</f>
        <v/>
      </c>
      <c r="F18" s="32" t="str">
        <f>IF(B18="","",SUMIFS(Aflossingen!$H$8:$H$367,Aflossingen!$C$8:$C$367,"&gt;="&amp;DATE(B18,1,1),Aflossingen!$C$8:$C$367,"&lt;"&amp;DATE(B18+1,1,1)))</f>
        <v/>
      </c>
      <c r="G18" s="32" t="str">
        <f>IF(B18="","",SUMIFS(Aflossingen!$I$8:$I$367,Aflossingen!$C$8:$C$367,"&gt;="&amp;DATE(B18,1,1),Aflossingen!$C$8:$C$367,"&lt;"&amp;DATE(B18+1,1,1)))</f>
        <v/>
      </c>
      <c r="H18" s="32" t="str">
        <f>IF(B18="","",SUMIFS(Aflossingen!$J$8:$J$367,Aflossingen!$C$8:$C$367,"&gt;="&amp;DATE(B18,1,1),Aflossingen!$C$8:$C$367,"&lt;"&amp;DATE(B18+1,1,1)))</f>
        <v/>
      </c>
      <c r="I18" s="32" t="str">
        <f t="shared" si="0"/>
        <v/>
      </c>
      <c r="J18" s="1"/>
      <c r="K18" s="1"/>
    </row>
    <row r="19" spans="1:11" ht="23" customHeight="1">
      <c r="A19" s="1"/>
      <c r="B19" s="24" t="str">
        <f>IF(B18="","",IF(B18&lt;YEAR(Simulatie!$F$16),B18+1,""))</f>
        <v/>
      </c>
      <c r="C19" s="32" t="str">
        <f t="shared" si="1"/>
        <v/>
      </c>
      <c r="D19" s="32" t="str">
        <f>IF(B19="","",SUMIFS(Aflossingen!$G$8:$G$367,Aflossingen!$C$8:$C$367,"&gt;="&amp;DATE(B19,1,1),Aflossingen!$C$8:$C$367,"&lt;"&amp;DATE(B19+1,1,1)))</f>
        <v/>
      </c>
      <c r="E19" s="32" t="str">
        <f>IF(B19="","",SUMIFS(Aflossingen!$E$8:$E$367,Aflossingen!$C$8:$C$367,"&gt;="&amp;DATE(B19,1,1),Aflossingen!$C$8:$C$367,"&lt;"&amp;DATE(B19+1,1,1)))</f>
        <v/>
      </c>
      <c r="F19" s="32" t="str">
        <f>IF(B19="","",SUMIFS(Aflossingen!$H$8:$H$367,Aflossingen!$C$8:$C$367,"&gt;="&amp;DATE(B19,1,1),Aflossingen!$C$8:$C$367,"&lt;"&amp;DATE(B19+1,1,1)))</f>
        <v/>
      </c>
      <c r="G19" s="32" t="str">
        <f>IF(B19="","",SUMIFS(Aflossingen!$I$8:$I$367,Aflossingen!$C$8:$C$367,"&gt;="&amp;DATE(B19,1,1),Aflossingen!$C$8:$C$367,"&lt;"&amp;DATE(B19+1,1,1)))</f>
        <v/>
      </c>
      <c r="H19" s="32" t="str">
        <f>IF(B19="","",SUMIFS(Aflossingen!$J$8:$J$367,Aflossingen!$C$8:$C$367,"&gt;="&amp;DATE(B19,1,1),Aflossingen!$C$8:$C$367,"&lt;"&amp;DATE(B19+1,1,1)))</f>
        <v/>
      </c>
      <c r="I19" s="32" t="str">
        <f t="shared" si="0"/>
        <v/>
      </c>
      <c r="J19" s="1"/>
      <c r="K19" s="1"/>
    </row>
    <row r="20" spans="1:11" ht="23" customHeight="1">
      <c r="A20" s="1"/>
      <c r="B20" s="24" t="str">
        <f>IF(B19="","",IF(B19&lt;YEAR(Simulatie!$F$16),B19+1,""))</f>
        <v/>
      </c>
      <c r="C20" s="32" t="str">
        <f t="shared" si="1"/>
        <v/>
      </c>
      <c r="D20" s="32" t="str">
        <f>IF(B20="","",SUMIFS(Aflossingen!$G$8:$G$367,Aflossingen!$C$8:$C$367,"&gt;="&amp;DATE(B20,1,1),Aflossingen!$C$8:$C$367,"&lt;"&amp;DATE(B20+1,1,1)))</f>
        <v/>
      </c>
      <c r="E20" s="32" t="str">
        <f>IF(B20="","",SUMIFS(Aflossingen!$E$8:$E$367,Aflossingen!$C$8:$C$367,"&gt;="&amp;DATE(B20,1,1),Aflossingen!$C$8:$C$367,"&lt;"&amp;DATE(B20+1,1,1)))</f>
        <v/>
      </c>
      <c r="F20" s="32" t="str">
        <f>IF(B20="","",SUMIFS(Aflossingen!$H$8:$H$367,Aflossingen!$C$8:$C$367,"&gt;="&amp;DATE(B20,1,1),Aflossingen!$C$8:$C$367,"&lt;"&amp;DATE(B20+1,1,1)))</f>
        <v/>
      </c>
      <c r="G20" s="32" t="str">
        <f>IF(B20="","",SUMIFS(Aflossingen!$I$8:$I$367,Aflossingen!$C$8:$C$367,"&gt;="&amp;DATE(B20,1,1),Aflossingen!$C$8:$C$367,"&lt;"&amp;DATE(B20+1,1,1)))</f>
        <v/>
      </c>
      <c r="H20" s="32" t="str">
        <f>IF(B20="","",SUMIFS(Aflossingen!$J$8:$J$367,Aflossingen!$C$8:$C$367,"&gt;="&amp;DATE(B20,1,1),Aflossingen!$C$8:$C$367,"&lt;"&amp;DATE(B20+1,1,1)))</f>
        <v/>
      </c>
      <c r="I20" s="32" t="str">
        <f t="shared" si="0"/>
        <v/>
      </c>
      <c r="J20" s="1"/>
      <c r="K20" s="1"/>
    </row>
    <row r="21" spans="1:11" ht="23" customHeight="1">
      <c r="A21" s="1"/>
      <c r="B21" s="24" t="str">
        <f>IF(B20="","",IF(B20&lt;YEAR(Simulatie!$F$16),B20+1,""))</f>
        <v/>
      </c>
      <c r="C21" s="32" t="str">
        <f t="shared" si="1"/>
        <v/>
      </c>
      <c r="D21" s="32" t="str">
        <f>IF(B21="","",SUMIFS(Aflossingen!$G$8:$G$367,Aflossingen!$C$8:$C$367,"&gt;="&amp;DATE(B21,1,1),Aflossingen!$C$8:$C$367,"&lt;"&amp;DATE(B21+1,1,1)))</f>
        <v/>
      </c>
      <c r="E21" s="32" t="str">
        <f>IF(B21="","",SUMIFS(Aflossingen!$E$8:$E$367,Aflossingen!$C$8:$C$367,"&gt;="&amp;DATE(B21,1,1),Aflossingen!$C$8:$C$367,"&lt;"&amp;DATE(B21+1,1,1)))</f>
        <v/>
      </c>
      <c r="F21" s="32" t="str">
        <f>IF(B21="","",SUMIFS(Aflossingen!$H$8:$H$367,Aflossingen!$C$8:$C$367,"&gt;="&amp;DATE(B21,1,1),Aflossingen!$C$8:$C$367,"&lt;"&amp;DATE(B21+1,1,1)))</f>
        <v/>
      </c>
      <c r="G21" s="32" t="str">
        <f>IF(B21="","",SUMIFS(Aflossingen!$I$8:$I$367,Aflossingen!$C$8:$C$367,"&gt;="&amp;DATE(B21,1,1),Aflossingen!$C$8:$C$367,"&lt;"&amp;DATE(B21+1,1,1)))</f>
        <v/>
      </c>
      <c r="H21" s="32" t="str">
        <f>IF(B21="","",SUMIFS(Aflossingen!$J$8:$J$367,Aflossingen!$C$8:$C$367,"&gt;="&amp;DATE(B21,1,1),Aflossingen!$C$8:$C$367,"&lt;"&amp;DATE(B21+1,1,1)))</f>
        <v/>
      </c>
      <c r="I21" s="32" t="str">
        <f t="shared" si="0"/>
        <v/>
      </c>
      <c r="J21" s="1"/>
      <c r="K21" s="1"/>
    </row>
    <row r="22" spans="1:11" ht="23" customHeight="1">
      <c r="A22" s="1"/>
      <c r="B22" s="24" t="str">
        <f>IF(B21="","",IF(B21&lt;YEAR(Simulatie!$F$16),B21+1,""))</f>
        <v/>
      </c>
      <c r="C22" s="32" t="str">
        <f t="shared" si="1"/>
        <v/>
      </c>
      <c r="D22" s="32" t="str">
        <f>IF(B22="","",SUMIFS(Aflossingen!$G$8:$G$367,Aflossingen!$C$8:$C$367,"&gt;="&amp;DATE(B22,1,1),Aflossingen!$C$8:$C$367,"&lt;"&amp;DATE(B22+1,1,1)))</f>
        <v/>
      </c>
      <c r="E22" s="32" t="str">
        <f>IF(B22="","",SUMIFS(Aflossingen!$E$8:$E$367,Aflossingen!$C$8:$C$367,"&gt;="&amp;DATE(B22,1,1),Aflossingen!$C$8:$C$367,"&lt;"&amp;DATE(B22+1,1,1)))</f>
        <v/>
      </c>
      <c r="F22" s="32" t="str">
        <f>IF(B22="","",SUMIFS(Aflossingen!$H$8:$H$367,Aflossingen!$C$8:$C$367,"&gt;="&amp;DATE(B22,1,1),Aflossingen!$C$8:$C$367,"&lt;"&amp;DATE(B22+1,1,1)))</f>
        <v/>
      </c>
      <c r="G22" s="32" t="str">
        <f>IF(B22="","",SUMIFS(Aflossingen!$I$8:$I$367,Aflossingen!$C$8:$C$367,"&gt;="&amp;DATE(B22,1,1),Aflossingen!$C$8:$C$367,"&lt;"&amp;DATE(B22+1,1,1)))</f>
        <v/>
      </c>
      <c r="H22" s="32" t="str">
        <f>IF(B22="","",SUMIFS(Aflossingen!$J$8:$J$367,Aflossingen!$C$8:$C$367,"&gt;="&amp;DATE(B22,1,1),Aflossingen!$C$8:$C$367,"&lt;"&amp;DATE(B22+1,1,1)))</f>
        <v/>
      </c>
      <c r="I22" s="32" t="str">
        <f t="shared" si="0"/>
        <v/>
      </c>
      <c r="J22" s="1"/>
      <c r="K22" s="1"/>
    </row>
    <row r="23" spans="1:11" ht="23" customHeight="1">
      <c r="A23" s="1"/>
      <c r="B23" s="24" t="str">
        <f>IF(B22="","",IF(B22&lt;YEAR(Simulatie!$F$16),B22+1,""))</f>
        <v/>
      </c>
      <c r="C23" s="32" t="str">
        <f t="shared" si="1"/>
        <v/>
      </c>
      <c r="D23" s="32" t="str">
        <f>IF(B23="","",SUMIFS(Aflossingen!$G$8:$G$367,Aflossingen!$C$8:$C$367,"&gt;="&amp;DATE(B23,1,1),Aflossingen!$C$8:$C$367,"&lt;"&amp;DATE(B23+1,1,1)))</f>
        <v/>
      </c>
      <c r="E23" s="32" t="str">
        <f>IF(B23="","",SUMIFS(Aflossingen!$E$8:$E$367,Aflossingen!$C$8:$C$367,"&gt;="&amp;DATE(B23,1,1),Aflossingen!$C$8:$C$367,"&lt;"&amp;DATE(B23+1,1,1)))</f>
        <v/>
      </c>
      <c r="F23" s="32" t="str">
        <f>IF(B23="","",SUMIFS(Aflossingen!$H$8:$H$367,Aflossingen!$C$8:$C$367,"&gt;="&amp;DATE(B23,1,1),Aflossingen!$C$8:$C$367,"&lt;"&amp;DATE(B23+1,1,1)))</f>
        <v/>
      </c>
      <c r="G23" s="32" t="str">
        <f>IF(B23="","",SUMIFS(Aflossingen!$I$8:$I$367,Aflossingen!$C$8:$C$367,"&gt;="&amp;DATE(B23,1,1),Aflossingen!$C$8:$C$367,"&lt;"&amp;DATE(B23+1,1,1)))</f>
        <v/>
      </c>
      <c r="H23" s="32" t="str">
        <f>IF(B23="","",SUMIFS(Aflossingen!$J$8:$J$367,Aflossingen!$C$8:$C$367,"&gt;="&amp;DATE(B23,1,1),Aflossingen!$C$8:$C$367,"&lt;"&amp;DATE(B23+1,1,1)))</f>
        <v/>
      </c>
      <c r="I23" s="32" t="str">
        <f t="shared" si="0"/>
        <v/>
      </c>
      <c r="J23" s="1"/>
      <c r="K23" s="1"/>
    </row>
    <row r="24" spans="1:11" ht="23" customHeight="1">
      <c r="A24" s="1"/>
      <c r="B24" s="24" t="str">
        <f>IF(B23="","",IF(B23&lt;YEAR(Simulatie!$F$16),B23+1,""))</f>
        <v/>
      </c>
      <c r="C24" s="32" t="str">
        <f t="shared" si="1"/>
        <v/>
      </c>
      <c r="D24" s="32" t="str">
        <f>IF(B24="","",SUMIFS(Aflossingen!$G$8:$G$367,Aflossingen!$C$8:$C$367,"&gt;="&amp;DATE(B24,1,1),Aflossingen!$C$8:$C$367,"&lt;"&amp;DATE(B24+1,1,1)))</f>
        <v/>
      </c>
      <c r="E24" s="32" t="str">
        <f>IF(B24="","",SUMIFS(Aflossingen!$E$8:$E$367,Aflossingen!$C$8:$C$367,"&gt;="&amp;DATE(B24,1,1),Aflossingen!$C$8:$C$367,"&lt;"&amp;DATE(B24+1,1,1)))</f>
        <v/>
      </c>
      <c r="F24" s="32" t="str">
        <f>IF(B24="","",SUMIFS(Aflossingen!$H$8:$H$367,Aflossingen!$C$8:$C$367,"&gt;="&amp;DATE(B24,1,1),Aflossingen!$C$8:$C$367,"&lt;"&amp;DATE(B24+1,1,1)))</f>
        <v/>
      </c>
      <c r="G24" s="32" t="str">
        <f>IF(B24="","",SUMIFS(Aflossingen!$I$8:$I$367,Aflossingen!$C$8:$C$367,"&gt;="&amp;DATE(B24,1,1),Aflossingen!$C$8:$C$367,"&lt;"&amp;DATE(B24+1,1,1)))</f>
        <v/>
      </c>
      <c r="H24" s="32" t="str">
        <f>IF(B24="","",SUMIFS(Aflossingen!$J$8:$J$367,Aflossingen!$C$8:$C$367,"&gt;="&amp;DATE(B24,1,1),Aflossingen!$C$8:$C$367,"&lt;"&amp;DATE(B24+1,1,1)))</f>
        <v/>
      </c>
      <c r="I24" s="32" t="str">
        <f t="shared" si="0"/>
        <v/>
      </c>
      <c r="J24" s="1"/>
      <c r="K24" s="1"/>
    </row>
    <row r="25" spans="1:11" ht="23" customHeight="1">
      <c r="A25" s="1"/>
      <c r="B25" s="24" t="str">
        <f>IF(B24="","",IF(B24&lt;YEAR(Simulatie!$F$16),B24+1,""))</f>
        <v/>
      </c>
      <c r="C25" s="32" t="str">
        <f t="shared" si="1"/>
        <v/>
      </c>
      <c r="D25" s="32" t="str">
        <f>IF(B25="","",SUMIFS(Aflossingen!$G$8:$G$367,Aflossingen!$C$8:$C$367,"&gt;="&amp;DATE(B25,1,1),Aflossingen!$C$8:$C$367,"&lt;"&amp;DATE(B25+1,1,1)))</f>
        <v/>
      </c>
      <c r="E25" s="32" t="str">
        <f>IF(B25="","",SUMIFS(Aflossingen!$E$8:$E$367,Aflossingen!$C$8:$C$367,"&gt;="&amp;DATE(B25,1,1),Aflossingen!$C$8:$C$367,"&lt;"&amp;DATE(B25+1,1,1)))</f>
        <v/>
      </c>
      <c r="F25" s="32" t="str">
        <f>IF(B25="","",SUMIFS(Aflossingen!$H$8:$H$367,Aflossingen!$C$8:$C$367,"&gt;="&amp;DATE(B25,1,1),Aflossingen!$C$8:$C$367,"&lt;"&amp;DATE(B25+1,1,1)))</f>
        <v/>
      </c>
      <c r="G25" s="32" t="str">
        <f>IF(B25="","",SUMIFS(Aflossingen!$I$8:$I$367,Aflossingen!$C$8:$C$367,"&gt;="&amp;DATE(B25,1,1),Aflossingen!$C$8:$C$367,"&lt;"&amp;DATE(B25+1,1,1)))</f>
        <v/>
      </c>
      <c r="H25" s="32" t="str">
        <f>IF(B25="","",SUMIFS(Aflossingen!$J$8:$J$367,Aflossingen!$C$8:$C$367,"&gt;="&amp;DATE(B25,1,1),Aflossingen!$C$8:$C$367,"&lt;"&amp;DATE(B25+1,1,1)))</f>
        <v/>
      </c>
      <c r="I25" s="32" t="str">
        <f t="shared" si="0"/>
        <v/>
      </c>
      <c r="J25" s="1"/>
      <c r="K25" s="1"/>
    </row>
    <row r="26" spans="1:11" ht="23" customHeight="1">
      <c r="A26" s="1"/>
      <c r="B26" s="24" t="str">
        <f>IF(B25="","",IF(B25&lt;YEAR(Simulatie!$F$16),B25+1,""))</f>
        <v/>
      </c>
      <c r="C26" s="32" t="str">
        <f t="shared" si="1"/>
        <v/>
      </c>
      <c r="D26" s="32" t="str">
        <f>IF(B26="","",SUMIFS(Aflossingen!$G$8:$G$367,Aflossingen!$C$8:$C$367,"&gt;="&amp;DATE(B26,1,1),Aflossingen!$C$8:$C$367,"&lt;"&amp;DATE(B26+1,1,1)))</f>
        <v/>
      </c>
      <c r="E26" s="32" t="str">
        <f>IF(B26="","",SUMIFS(Aflossingen!$E$8:$E$367,Aflossingen!$C$8:$C$367,"&gt;="&amp;DATE(B26,1,1),Aflossingen!$C$8:$C$367,"&lt;"&amp;DATE(B26+1,1,1)))</f>
        <v/>
      </c>
      <c r="F26" s="32" t="str">
        <f>IF(B26="","",SUMIFS(Aflossingen!$H$8:$H$367,Aflossingen!$C$8:$C$367,"&gt;="&amp;DATE(B26,1,1),Aflossingen!$C$8:$C$367,"&lt;"&amp;DATE(B26+1,1,1)))</f>
        <v/>
      </c>
      <c r="G26" s="32" t="str">
        <f>IF(B26="","",SUMIFS(Aflossingen!$I$8:$I$367,Aflossingen!$C$8:$C$367,"&gt;="&amp;DATE(B26,1,1),Aflossingen!$C$8:$C$367,"&lt;"&amp;DATE(B26+1,1,1)))</f>
        <v/>
      </c>
      <c r="H26" s="32" t="str">
        <f>IF(B26="","",SUMIFS(Aflossingen!$J$8:$J$367,Aflossingen!$C$8:$C$367,"&gt;="&amp;DATE(B26,1,1),Aflossingen!$C$8:$C$367,"&lt;"&amp;DATE(B26+1,1,1)))</f>
        <v/>
      </c>
      <c r="I26" s="32" t="str">
        <f t="shared" si="0"/>
        <v/>
      </c>
      <c r="J26" s="1"/>
      <c r="K26" s="1"/>
    </row>
    <row r="27" spans="1:11" ht="23" customHeight="1">
      <c r="A27" s="1"/>
      <c r="B27" s="24" t="str">
        <f>IF(B26="","",IF(B26&lt;YEAR(Simulatie!$F$16),B26+1,""))</f>
        <v/>
      </c>
      <c r="C27" s="32" t="str">
        <f t="shared" si="1"/>
        <v/>
      </c>
      <c r="D27" s="32" t="str">
        <f>IF(B27="","",SUMIFS(Aflossingen!$G$8:$G$367,Aflossingen!$C$8:$C$367,"&gt;="&amp;DATE(B27,1,1),Aflossingen!$C$8:$C$367,"&lt;"&amp;DATE(B27+1,1,1)))</f>
        <v/>
      </c>
      <c r="E27" s="32" t="str">
        <f>IF(B27="","",SUMIFS(Aflossingen!$E$8:$E$367,Aflossingen!$C$8:$C$367,"&gt;="&amp;DATE(B27,1,1),Aflossingen!$C$8:$C$367,"&lt;"&amp;DATE(B27+1,1,1)))</f>
        <v/>
      </c>
      <c r="F27" s="32" t="str">
        <f>IF(B27="","",SUMIFS(Aflossingen!$H$8:$H$367,Aflossingen!$C$8:$C$367,"&gt;="&amp;DATE(B27,1,1),Aflossingen!$C$8:$C$367,"&lt;"&amp;DATE(B27+1,1,1)))</f>
        <v/>
      </c>
      <c r="G27" s="32" t="str">
        <f>IF(B27="","",SUMIFS(Aflossingen!$I$8:$I$367,Aflossingen!$C$8:$C$367,"&gt;="&amp;DATE(B27,1,1),Aflossingen!$C$8:$C$367,"&lt;"&amp;DATE(B27+1,1,1)))</f>
        <v/>
      </c>
      <c r="H27" s="32" t="str">
        <f>IF(B27="","",SUMIFS(Aflossingen!$J$8:$J$367,Aflossingen!$C$8:$C$367,"&gt;="&amp;DATE(B27,1,1),Aflossingen!$C$8:$C$367,"&lt;"&amp;DATE(B27+1,1,1)))</f>
        <v/>
      </c>
      <c r="I27" s="32" t="str">
        <f t="shared" si="0"/>
        <v/>
      </c>
      <c r="J27" s="1"/>
      <c r="K27" s="1"/>
    </row>
    <row r="28" spans="1:11" ht="23" customHeight="1">
      <c r="A28" s="1"/>
      <c r="B28" s="24" t="str">
        <f>IF(B27="","",IF(B27&lt;YEAR(Simulatie!$F$16),B27+1,""))</f>
        <v/>
      </c>
      <c r="C28" s="32" t="str">
        <f t="shared" si="1"/>
        <v/>
      </c>
      <c r="D28" s="32" t="str">
        <f>IF(B28="","",SUMIFS(Aflossingen!$G$8:$G$367,Aflossingen!$C$8:$C$367,"&gt;="&amp;DATE(B28,1,1),Aflossingen!$C$8:$C$367,"&lt;"&amp;DATE(B28+1,1,1)))</f>
        <v/>
      </c>
      <c r="E28" s="32" t="str">
        <f>IF(B28="","",SUMIFS(Aflossingen!$E$8:$E$367,Aflossingen!$C$8:$C$367,"&gt;="&amp;DATE(B28,1,1),Aflossingen!$C$8:$C$367,"&lt;"&amp;DATE(B28+1,1,1)))</f>
        <v/>
      </c>
      <c r="F28" s="32" t="str">
        <f>IF(B28="","",SUMIFS(Aflossingen!$H$8:$H$367,Aflossingen!$C$8:$C$367,"&gt;="&amp;DATE(B28,1,1),Aflossingen!$C$8:$C$367,"&lt;"&amp;DATE(B28+1,1,1)))</f>
        <v/>
      </c>
      <c r="G28" s="32" t="str">
        <f>IF(B28="","",SUMIFS(Aflossingen!$I$8:$I$367,Aflossingen!$C$8:$C$367,"&gt;="&amp;DATE(B28,1,1),Aflossingen!$C$8:$C$367,"&lt;"&amp;DATE(B28+1,1,1)))</f>
        <v/>
      </c>
      <c r="H28" s="32" t="str">
        <f>IF(B28="","",SUMIFS(Aflossingen!$J$8:$J$367,Aflossingen!$C$8:$C$367,"&gt;="&amp;DATE(B28,1,1),Aflossingen!$C$8:$C$367,"&lt;"&amp;DATE(B28+1,1,1)))</f>
        <v/>
      </c>
      <c r="I28" s="32" t="str">
        <f t="shared" si="0"/>
        <v/>
      </c>
      <c r="J28" s="1"/>
      <c r="K28" s="1"/>
    </row>
    <row r="29" spans="1:11" ht="23" customHeight="1">
      <c r="A29" s="1"/>
      <c r="B29" s="24" t="str">
        <f>IF(B28="","",IF(B28&lt;YEAR(Simulatie!$F$16),B28+1,""))</f>
        <v/>
      </c>
      <c r="C29" s="32" t="str">
        <f t="shared" si="1"/>
        <v/>
      </c>
      <c r="D29" s="32" t="str">
        <f>IF(B29="","",SUMIFS(Aflossingen!$G$8:$G$367,Aflossingen!$C$8:$C$367,"&gt;="&amp;DATE(B29,1,1),Aflossingen!$C$8:$C$367,"&lt;"&amp;DATE(B29+1,1,1)))</f>
        <v/>
      </c>
      <c r="E29" s="32" t="str">
        <f>IF(B29="","",SUMIFS(Aflossingen!$E$8:$E$367,Aflossingen!$C$8:$C$367,"&gt;="&amp;DATE(B29,1,1),Aflossingen!$C$8:$C$367,"&lt;"&amp;DATE(B29+1,1,1)))</f>
        <v/>
      </c>
      <c r="F29" s="32" t="str">
        <f>IF(B29="","",SUMIFS(Aflossingen!$H$8:$H$367,Aflossingen!$C$8:$C$367,"&gt;="&amp;DATE(B29,1,1),Aflossingen!$C$8:$C$367,"&lt;"&amp;DATE(B29+1,1,1)))</f>
        <v/>
      </c>
      <c r="G29" s="32" t="str">
        <f>IF(B29="","",SUMIFS(Aflossingen!$I$8:$I$367,Aflossingen!$C$8:$C$367,"&gt;="&amp;DATE(B29,1,1),Aflossingen!$C$8:$C$367,"&lt;"&amp;DATE(B29+1,1,1)))</f>
        <v/>
      </c>
      <c r="H29" s="32" t="str">
        <f>IF(B29="","",SUMIFS(Aflossingen!$J$8:$J$367,Aflossingen!$C$8:$C$367,"&gt;="&amp;DATE(B29,1,1),Aflossingen!$C$8:$C$367,"&lt;"&amp;DATE(B29+1,1,1)))</f>
        <v/>
      </c>
      <c r="I29" s="32" t="str">
        <f t="shared" si="0"/>
        <v/>
      </c>
      <c r="J29" s="1"/>
      <c r="K29" s="1"/>
    </row>
    <row r="30" spans="1:11" ht="23" customHeight="1">
      <c r="A30" s="1"/>
      <c r="B30" s="24" t="str">
        <f>IF(B29="","",IF(B29&lt;YEAR(Simulatie!$F$16),B29+1,""))</f>
        <v/>
      </c>
      <c r="C30" s="32" t="str">
        <f t="shared" si="1"/>
        <v/>
      </c>
      <c r="D30" s="32" t="str">
        <f>IF(B30="","",SUMIFS(Aflossingen!$G$8:$G$367,Aflossingen!$C$8:$C$367,"&gt;="&amp;DATE(B30,1,1),Aflossingen!$C$8:$C$367,"&lt;"&amp;DATE(B30+1,1,1)))</f>
        <v/>
      </c>
      <c r="E30" s="32" t="str">
        <f>IF(B30="","",SUMIFS(Aflossingen!$E$8:$E$367,Aflossingen!$C$8:$C$367,"&gt;="&amp;DATE(B30,1,1),Aflossingen!$C$8:$C$367,"&lt;"&amp;DATE(B30+1,1,1)))</f>
        <v/>
      </c>
      <c r="F30" s="32" t="str">
        <f>IF(B30="","",SUMIFS(Aflossingen!$H$8:$H$367,Aflossingen!$C$8:$C$367,"&gt;="&amp;DATE(B30,1,1),Aflossingen!$C$8:$C$367,"&lt;"&amp;DATE(B30+1,1,1)))</f>
        <v/>
      </c>
      <c r="G30" s="32" t="str">
        <f>IF(B30="","",SUMIFS(Aflossingen!$I$8:$I$367,Aflossingen!$C$8:$C$367,"&gt;="&amp;DATE(B30,1,1),Aflossingen!$C$8:$C$367,"&lt;"&amp;DATE(B30+1,1,1)))</f>
        <v/>
      </c>
      <c r="H30" s="32" t="str">
        <f>IF(B30="","",SUMIFS(Aflossingen!$J$8:$J$367,Aflossingen!$C$8:$C$367,"&gt;="&amp;DATE(B30,1,1),Aflossingen!$C$8:$C$367,"&lt;"&amp;DATE(B30+1,1,1)))</f>
        <v/>
      </c>
      <c r="I30" s="32" t="str">
        <f t="shared" si="0"/>
        <v/>
      </c>
      <c r="J30" s="1"/>
      <c r="K30" s="1"/>
    </row>
    <row r="31" spans="1:11" ht="23" customHeight="1">
      <c r="A31" s="1"/>
      <c r="B31" s="24" t="str">
        <f>IF(B30="","",IF(B30&lt;YEAR(Simulatie!$F$16),B30+1,""))</f>
        <v/>
      </c>
      <c r="C31" s="32" t="str">
        <f t="shared" si="1"/>
        <v/>
      </c>
      <c r="D31" s="32" t="str">
        <f>IF(B31="","",SUMIFS(Aflossingen!$G$8:$G$367,Aflossingen!$C$8:$C$367,"&gt;="&amp;DATE(B31,1,1),Aflossingen!$C$8:$C$367,"&lt;"&amp;DATE(B31+1,1,1)))</f>
        <v/>
      </c>
      <c r="E31" s="32" t="str">
        <f>IF(B31="","",SUMIFS(Aflossingen!$E$8:$E$367,Aflossingen!$C$8:$C$367,"&gt;="&amp;DATE(B31,1,1),Aflossingen!$C$8:$C$367,"&lt;"&amp;DATE(B31+1,1,1)))</f>
        <v/>
      </c>
      <c r="F31" s="32" t="str">
        <f>IF(B31="","",SUMIFS(Aflossingen!$H$8:$H$367,Aflossingen!$C$8:$C$367,"&gt;="&amp;DATE(B31,1,1),Aflossingen!$C$8:$C$367,"&lt;"&amp;DATE(B31+1,1,1)))</f>
        <v/>
      </c>
      <c r="G31" s="32" t="str">
        <f>IF(B31="","",SUMIFS(Aflossingen!$I$8:$I$367,Aflossingen!$C$8:$C$367,"&gt;="&amp;DATE(B31,1,1),Aflossingen!$C$8:$C$367,"&lt;"&amp;DATE(B31+1,1,1)))</f>
        <v/>
      </c>
      <c r="H31" s="32" t="str">
        <f>IF(B31="","",SUMIFS(Aflossingen!$J$8:$J$367,Aflossingen!$C$8:$C$367,"&gt;="&amp;DATE(B31,1,1),Aflossingen!$C$8:$C$367,"&lt;"&amp;DATE(B31+1,1,1)))</f>
        <v/>
      </c>
      <c r="I31" s="32" t="str">
        <f t="shared" si="0"/>
        <v/>
      </c>
      <c r="J31" s="1"/>
      <c r="K31" s="1"/>
    </row>
    <row r="32" spans="1:11" ht="23" customHeight="1">
      <c r="A32" s="1"/>
      <c r="B32" s="24" t="str">
        <f>IF(B31="","",IF(B31&lt;YEAR(Simulatie!$F$16),B31+1,""))</f>
        <v/>
      </c>
      <c r="C32" s="32" t="str">
        <f t="shared" si="1"/>
        <v/>
      </c>
      <c r="D32" s="32" t="str">
        <f>IF(B32="","",SUMIFS(Aflossingen!$G$8:$G$367,Aflossingen!$C$8:$C$367,"&gt;="&amp;DATE(B32,1,1),Aflossingen!$C$8:$C$367,"&lt;"&amp;DATE(B32+1,1,1)))</f>
        <v/>
      </c>
      <c r="E32" s="32" t="str">
        <f>IF(B32="","",SUMIFS(Aflossingen!$E$8:$E$367,Aflossingen!$C$8:$C$367,"&gt;="&amp;DATE(B32,1,1),Aflossingen!$C$8:$C$367,"&lt;"&amp;DATE(B32+1,1,1)))</f>
        <v/>
      </c>
      <c r="F32" s="32" t="str">
        <f>IF(B32="","",SUMIFS(Aflossingen!$H$8:$H$367,Aflossingen!$C$8:$C$367,"&gt;="&amp;DATE(B32,1,1),Aflossingen!$C$8:$C$367,"&lt;"&amp;DATE(B32+1,1,1)))</f>
        <v/>
      </c>
      <c r="G32" s="32" t="str">
        <f>IF(B32="","",SUMIFS(Aflossingen!$I$8:$I$367,Aflossingen!$C$8:$C$367,"&gt;="&amp;DATE(B32,1,1),Aflossingen!$C$8:$C$367,"&lt;"&amp;DATE(B32+1,1,1)))</f>
        <v/>
      </c>
      <c r="H32" s="32" t="str">
        <f>IF(B32="","",SUMIFS(Aflossingen!$J$8:$J$367,Aflossingen!$C$8:$C$367,"&gt;="&amp;DATE(B32,1,1),Aflossingen!$C$8:$C$367,"&lt;"&amp;DATE(B32+1,1,1)))</f>
        <v/>
      </c>
      <c r="I32" s="32" t="str">
        <f t="shared" si="0"/>
        <v/>
      </c>
      <c r="J32" s="1"/>
      <c r="K32" s="1"/>
    </row>
    <row r="33" spans="1:11" ht="23" customHeight="1">
      <c r="A33" s="1"/>
      <c r="B33" s="24" t="str">
        <f>IF(B32="","",IF(B32&lt;YEAR(Simulatie!$F$16),B32+1,""))</f>
        <v/>
      </c>
      <c r="C33" s="32" t="str">
        <f t="shared" si="1"/>
        <v/>
      </c>
      <c r="D33" s="32" t="str">
        <f>IF(B33="","",SUMIFS(Aflossingen!$G$8:$G$367,Aflossingen!$C$8:$C$367,"&gt;="&amp;DATE(B33,1,1),Aflossingen!$C$8:$C$367,"&lt;"&amp;DATE(B33+1,1,1)))</f>
        <v/>
      </c>
      <c r="E33" s="32" t="str">
        <f>IF(B33="","",SUMIFS(Aflossingen!$E$8:$E$367,Aflossingen!$C$8:$C$367,"&gt;="&amp;DATE(B33,1,1),Aflossingen!$C$8:$C$367,"&lt;"&amp;DATE(B33+1,1,1)))</f>
        <v/>
      </c>
      <c r="F33" s="32" t="str">
        <f>IF(B33="","",SUMIFS(Aflossingen!$H$8:$H$367,Aflossingen!$C$8:$C$367,"&gt;="&amp;DATE(B33,1,1),Aflossingen!$C$8:$C$367,"&lt;"&amp;DATE(B33+1,1,1)))</f>
        <v/>
      </c>
      <c r="G33" s="32" t="str">
        <f>IF(B33="","",SUMIFS(Aflossingen!$I$8:$I$367,Aflossingen!$C$8:$C$367,"&gt;="&amp;DATE(B33,1,1),Aflossingen!$C$8:$C$367,"&lt;"&amp;DATE(B33+1,1,1)))</f>
        <v/>
      </c>
      <c r="H33" s="32" t="str">
        <f>IF(B33="","",SUMIFS(Aflossingen!$J$8:$J$367,Aflossingen!$C$8:$C$367,"&gt;="&amp;DATE(B33,1,1),Aflossingen!$C$8:$C$367,"&lt;"&amp;DATE(B33+1,1,1)))</f>
        <v/>
      </c>
      <c r="I33" s="32" t="str">
        <f t="shared" si="0"/>
        <v/>
      </c>
      <c r="J33" s="1"/>
      <c r="K33" s="1"/>
    </row>
    <row r="34" spans="1:11" ht="23" customHeight="1">
      <c r="A34" s="1"/>
      <c r="B34" s="24" t="str">
        <f>IF(B33="","",IF(B33&lt;YEAR(Simulatie!$F$16),B33+1,""))</f>
        <v/>
      </c>
      <c r="C34" s="32" t="str">
        <f t="shared" si="1"/>
        <v/>
      </c>
      <c r="D34" s="32" t="str">
        <f>IF(B34="","",SUMIFS(Aflossingen!$G$8:$G$367,Aflossingen!$C$8:$C$367,"&gt;="&amp;DATE(B34,1,1),Aflossingen!$C$8:$C$367,"&lt;"&amp;DATE(B34+1,1,1)))</f>
        <v/>
      </c>
      <c r="E34" s="32" t="str">
        <f>IF(B34="","",SUMIFS(Aflossingen!$E$8:$E$367,Aflossingen!$C$8:$C$367,"&gt;="&amp;DATE(B34,1,1),Aflossingen!$C$8:$C$367,"&lt;"&amp;DATE(B34+1,1,1)))</f>
        <v/>
      </c>
      <c r="F34" s="32" t="str">
        <f>IF(B34="","",SUMIFS(Aflossingen!$H$8:$H$367,Aflossingen!$C$8:$C$367,"&gt;="&amp;DATE(B34,1,1),Aflossingen!$C$8:$C$367,"&lt;"&amp;DATE(B34+1,1,1)))</f>
        <v/>
      </c>
      <c r="G34" s="32" t="str">
        <f>IF(B34="","",SUMIFS(Aflossingen!$I$8:$I$367,Aflossingen!$C$8:$C$367,"&gt;="&amp;DATE(B34,1,1),Aflossingen!$C$8:$C$367,"&lt;"&amp;DATE(B34+1,1,1)))</f>
        <v/>
      </c>
      <c r="H34" s="32" t="str">
        <f>IF(B34="","",SUMIFS(Aflossingen!$J$8:$J$367,Aflossingen!$C$8:$C$367,"&gt;="&amp;DATE(B34,1,1),Aflossingen!$C$8:$C$367,"&lt;"&amp;DATE(B34+1,1,1)))</f>
        <v/>
      </c>
      <c r="I34" s="32" t="str">
        <f t="shared" si="0"/>
        <v/>
      </c>
      <c r="J34" s="1"/>
      <c r="K34" s="1"/>
    </row>
    <row r="35" spans="1:11" ht="23" customHeight="1">
      <c r="A35" s="1"/>
      <c r="B35" s="24" t="str">
        <f>IF(B34="","",IF(B34&lt;YEAR(Simulatie!$F$16),B34+1,""))</f>
        <v/>
      </c>
      <c r="C35" s="32" t="str">
        <f t="shared" si="1"/>
        <v/>
      </c>
      <c r="D35" s="32" t="str">
        <f>IF(B35="","",SUMIFS(Aflossingen!$G$8:$G$367,Aflossingen!$C$8:$C$367,"&gt;="&amp;DATE(B35,1,1),Aflossingen!$C$8:$C$367,"&lt;"&amp;DATE(B35+1,1,1)))</f>
        <v/>
      </c>
      <c r="E35" s="32" t="str">
        <f>IF(B35="","",SUMIFS(Aflossingen!$E$8:$E$367,Aflossingen!$C$8:$C$367,"&gt;="&amp;DATE(B35,1,1),Aflossingen!$C$8:$C$367,"&lt;"&amp;DATE(B35+1,1,1)))</f>
        <v/>
      </c>
      <c r="F35" s="32" t="str">
        <f>IF(B35="","",SUMIFS(Aflossingen!$H$8:$H$367,Aflossingen!$C$8:$C$367,"&gt;="&amp;DATE(B35,1,1),Aflossingen!$C$8:$C$367,"&lt;"&amp;DATE(B35+1,1,1)))</f>
        <v/>
      </c>
      <c r="G35" s="32" t="str">
        <f>IF(B35="","",SUMIFS(Aflossingen!$I$8:$I$367,Aflossingen!$C$8:$C$367,"&gt;="&amp;DATE(B35,1,1),Aflossingen!$C$8:$C$367,"&lt;"&amp;DATE(B35+1,1,1)))</f>
        <v/>
      </c>
      <c r="H35" s="32" t="str">
        <f>IF(B35="","",SUMIFS(Aflossingen!$J$8:$J$367,Aflossingen!$C$8:$C$367,"&gt;="&amp;DATE(B35,1,1),Aflossingen!$C$8:$C$367,"&lt;"&amp;DATE(B35+1,1,1)))</f>
        <v/>
      </c>
      <c r="I35" s="32" t="str">
        <f t="shared" si="0"/>
        <v/>
      </c>
      <c r="J35" s="1"/>
      <c r="K35" s="1"/>
    </row>
    <row r="36" spans="1:11" ht="23" customHeight="1">
      <c r="A36" s="1"/>
      <c r="B36" s="24" t="str">
        <f>IF(B35="","",IF(B35&lt;YEAR(Simulatie!$F$16),B35+1,""))</f>
        <v/>
      </c>
      <c r="C36" s="32" t="str">
        <f t="shared" si="1"/>
        <v/>
      </c>
      <c r="D36" s="32" t="str">
        <f>IF(B36="","",SUMIFS(Aflossingen!$G$8:$G$367,Aflossingen!$C$8:$C$367,"&gt;="&amp;DATE(B36,1,1),Aflossingen!$C$8:$C$367,"&lt;"&amp;DATE(B36+1,1,1)))</f>
        <v/>
      </c>
      <c r="E36" s="32" t="str">
        <f>IF(B36="","",SUMIFS(Aflossingen!$E$8:$E$367,Aflossingen!$C$8:$C$367,"&gt;="&amp;DATE(B36,1,1),Aflossingen!$C$8:$C$367,"&lt;"&amp;DATE(B36+1,1,1)))</f>
        <v/>
      </c>
      <c r="F36" s="32" t="str">
        <f>IF(B36="","",SUMIFS(Aflossingen!$H$8:$H$367,Aflossingen!$C$8:$C$367,"&gt;="&amp;DATE(B36,1,1),Aflossingen!$C$8:$C$367,"&lt;"&amp;DATE(B36+1,1,1)))</f>
        <v/>
      </c>
      <c r="G36" s="32" t="str">
        <f>IF(B36="","",SUMIFS(Aflossingen!$I$8:$I$367,Aflossingen!$C$8:$C$367,"&gt;="&amp;DATE(B36,1,1),Aflossingen!$C$8:$C$367,"&lt;"&amp;DATE(B36+1,1,1)))</f>
        <v/>
      </c>
      <c r="H36" s="32" t="str">
        <f>IF(B36="","",SUMIFS(Aflossingen!$J$8:$J$367,Aflossingen!$C$8:$C$367,"&gt;="&amp;DATE(B36,1,1),Aflossingen!$C$8:$C$367,"&lt;"&amp;DATE(B36+1,1,1)))</f>
        <v/>
      </c>
      <c r="I36" s="32" t="str">
        <f t="shared" si="0"/>
        <v/>
      </c>
      <c r="J36" s="1"/>
      <c r="K36" s="1"/>
    </row>
    <row r="37" spans="1:11" ht="23" customHeight="1">
      <c r="A37" s="1"/>
      <c r="B37" s="24" t="str">
        <f>IF(B36="","",IF(B36&lt;YEAR(Simulatie!$F$16),B36+1,""))</f>
        <v/>
      </c>
      <c r="C37" s="32" t="str">
        <f t="shared" si="1"/>
        <v/>
      </c>
      <c r="D37" s="32" t="str">
        <f>IF(B37="","",SUMIFS(Aflossingen!$G$8:$G$367,Aflossingen!$C$8:$C$367,"&gt;="&amp;DATE(B37,1,1),Aflossingen!$C$8:$C$367,"&lt;"&amp;DATE(B37+1,1,1)))</f>
        <v/>
      </c>
      <c r="E37" s="32" t="str">
        <f>IF(B37="","",SUMIFS(Aflossingen!$E$8:$E$367,Aflossingen!$C$8:$C$367,"&gt;="&amp;DATE(B37,1,1),Aflossingen!$C$8:$C$367,"&lt;"&amp;DATE(B37+1,1,1)))</f>
        <v/>
      </c>
      <c r="F37" s="32" t="str">
        <f>IF(B37="","",SUMIFS(Aflossingen!$H$8:$H$367,Aflossingen!$C$8:$C$367,"&gt;="&amp;DATE(B37,1,1),Aflossingen!$C$8:$C$367,"&lt;"&amp;DATE(B37+1,1,1)))</f>
        <v/>
      </c>
      <c r="G37" s="32" t="str">
        <f>IF(B37="","",SUMIFS(Aflossingen!$I$8:$I$367,Aflossingen!$C$8:$C$367,"&gt;="&amp;DATE(B37,1,1),Aflossingen!$C$8:$C$367,"&lt;"&amp;DATE(B37+1,1,1)))</f>
        <v/>
      </c>
      <c r="H37" s="32" t="str">
        <f>IF(B37="","",SUMIFS(Aflossingen!$J$8:$J$367,Aflossingen!$C$8:$C$367,"&gt;="&amp;DATE(B37,1,1),Aflossingen!$C$8:$C$367,"&lt;"&amp;DATE(B37+1,1,1)))</f>
        <v/>
      </c>
      <c r="I37" s="32" t="str">
        <f t="shared" si="0"/>
        <v/>
      </c>
      <c r="J37" s="1"/>
      <c r="K37" s="1"/>
    </row>
    <row r="38" spans="1:11" ht="23" customHeight="1">
      <c r="A38" s="1"/>
      <c r="B38" s="1"/>
      <c r="C38" s="1"/>
      <c r="D38" s="1"/>
      <c r="E38" s="1"/>
      <c r="F38" s="1"/>
      <c r="G38" s="1"/>
      <c r="H38" s="1"/>
      <c r="I38" s="1"/>
      <c r="J38" s="1"/>
      <c r="K38" s="1"/>
    </row>
    <row r="39" spans="1:11" ht="23" customHeight="1">
      <c r="A39" s="1"/>
      <c r="B39" s="1"/>
      <c r="C39" s="1"/>
      <c r="D39" s="1"/>
      <c r="E39" s="1"/>
      <c r="F39" s="1"/>
      <c r="G39" s="1"/>
      <c r="H39" s="1"/>
      <c r="I39" s="1"/>
      <c r="J39" s="1"/>
      <c r="K39" s="1"/>
    </row>
    <row r="40" spans="1:11" ht="23" customHeight="1">
      <c r="A40" s="1"/>
      <c r="B40" s="1"/>
      <c r="C40" s="1"/>
      <c r="D40" s="1"/>
      <c r="E40" s="1"/>
      <c r="F40" s="1"/>
      <c r="G40" s="1"/>
      <c r="H40" s="1"/>
      <c r="I40" s="1"/>
      <c r="J40" s="1"/>
      <c r="K40" s="1"/>
    </row>
    <row r="41" spans="1:11" ht="23" customHeight="1">
      <c r="A41" s="1"/>
      <c r="B41" s="1"/>
      <c r="C41" s="1"/>
      <c r="D41" s="1"/>
      <c r="E41" s="1"/>
      <c r="F41" s="1"/>
      <c r="G41" s="1"/>
      <c r="H41" s="1"/>
      <c r="I41" s="1"/>
      <c r="J41" s="1"/>
      <c r="K41" s="1"/>
    </row>
    <row r="42" spans="1:11" ht="23" customHeight="1">
      <c r="A42" s="1"/>
      <c r="B42" s="1"/>
      <c r="C42" s="1"/>
      <c r="D42" s="1"/>
      <c r="E42" s="1"/>
      <c r="F42" s="1"/>
      <c r="G42" s="1"/>
      <c r="H42" s="1"/>
      <c r="I42" s="1"/>
      <c r="J42" s="1"/>
      <c r="K42" s="1"/>
    </row>
    <row r="43" spans="1:11" ht="23" customHeight="1">
      <c r="A43" s="1"/>
      <c r="B43" s="1"/>
      <c r="C43" s="1"/>
      <c r="D43" s="1"/>
      <c r="E43" s="1"/>
      <c r="F43" s="1"/>
      <c r="G43" s="1"/>
      <c r="H43" s="1"/>
      <c r="I43" s="1"/>
      <c r="J43" s="1"/>
      <c r="K43" s="1"/>
    </row>
    <row r="44" spans="1:11" ht="23" customHeight="1">
      <c r="A44" s="1"/>
      <c r="B44" s="1"/>
      <c r="C44" s="1"/>
      <c r="D44" s="1"/>
      <c r="E44" s="1"/>
      <c r="F44" s="1"/>
      <c r="G44" s="1"/>
      <c r="H44" s="1"/>
      <c r="I44" s="1"/>
      <c r="J44" s="1"/>
      <c r="K44" s="1"/>
    </row>
    <row r="45" spans="1:11" ht="23" customHeight="1">
      <c r="A45" s="1"/>
      <c r="B45" s="1"/>
      <c r="C45" s="1"/>
      <c r="D45" s="1"/>
      <c r="E45" s="1"/>
      <c r="F45" s="1"/>
      <c r="G45" s="1"/>
      <c r="H45" s="1"/>
      <c r="I45" s="1"/>
      <c r="J45" s="1"/>
      <c r="K45" s="1"/>
    </row>
    <row r="46" spans="1:11" ht="23" customHeight="1">
      <c r="A46" s="1"/>
      <c r="B46" s="1"/>
      <c r="C46" s="1"/>
      <c r="D46" s="1"/>
      <c r="E46" s="1"/>
      <c r="F46" s="1"/>
      <c r="G46" s="1"/>
      <c r="H46" s="1"/>
      <c r="I46" s="1"/>
      <c r="J46" s="1"/>
      <c r="K46" s="1"/>
    </row>
    <row r="47" spans="1:11" ht="23" customHeight="1">
      <c r="A47" s="1"/>
      <c r="B47" s="1"/>
      <c r="C47" s="1"/>
      <c r="D47" s="1"/>
      <c r="E47" s="1"/>
      <c r="F47" s="1"/>
      <c r="G47" s="1"/>
      <c r="H47" s="1"/>
      <c r="I47" s="1"/>
      <c r="J47" s="1"/>
      <c r="K47" s="1"/>
    </row>
    <row r="48" spans="1:11" ht="23" customHeight="1">
      <c r="A48" s="1"/>
      <c r="B48" s="1"/>
      <c r="C48" s="1"/>
      <c r="D48" s="1"/>
      <c r="E48" s="1"/>
      <c r="F48" s="1"/>
      <c r="G48" s="1"/>
      <c r="H48" s="1"/>
      <c r="I48" s="1"/>
      <c r="J48" s="1"/>
      <c r="K48" s="1"/>
    </row>
    <row r="49" spans="1:11" ht="23" customHeight="1">
      <c r="A49" s="1"/>
      <c r="B49" s="1"/>
      <c r="C49" s="1"/>
      <c r="D49" s="1"/>
      <c r="E49" s="1"/>
      <c r="F49" s="1"/>
      <c r="G49" s="1"/>
      <c r="H49" s="1"/>
      <c r="I49" s="1"/>
      <c r="J49" s="1"/>
      <c r="K49" s="1"/>
    </row>
    <row r="50" spans="1:11" ht="23" customHeight="1">
      <c r="A50" s="1"/>
      <c r="B50" s="1"/>
      <c r="C50" s="1"/>
      <c r="D50" s="1"/>
      <c r="E50" s="1"/>
      <c r="F50" s="1"/>
      <c r="G50" s="1"/>
      <c r="H50" s="1"/>
      <c r="I50" s="1"/>
      <c r="J50" s="1"/>
      <c r="K50" s="1"/>
    </row>
    <row r="51" spans="1:11" ht="23" customHeight="1">
      <c r="A51" s="1"/>
      <c r="B51" s="1"/>
      <c r="C51" s="1"/>
      <c r="D51" s="1"/>
      <c r="E51" s="1"/>
      <c r="F51" s="1"/>
      <c r="G51" s="1"/>
      <c r="H51" s="1"/>
      <c r="I51" s="1"/>
      <c r="J51" s="1"/>
      <c r="K51" s="1"/>
    </row>
    <row r="52" spans="1:11" ht="23" customHeight="1">
      <c r="A52" s="1"/>
      <c r="B52" s="1"/>
      <c r="C52" s="1"/>
      <c r="D52" s="1"/>
      <c r="E52" s="1"/>
      <c r="F52" s="1"/>
      <c r="G52" s="1"/>
      <c r="H52" s="1"/>
      <c r="I52" s="1"/>
      <c r="J52" s="1"/>
      <c r="K52" s="1"/>
    </row>
    <row r="53" spans="1:11" ht="23" customHeight="1">
      <c r="A53" s="1"/>
      <c r="B53" s="1"/>
      <c r="C53" s="1"/>
      <c r="D53" s="1"/>
      <c r="E53" s="1"/>
      <c r="F53" s="1"/>
      <c r="G53" s="1"/>
      <c r="H53" s="1"/>
      <c r="I53" s="1"/>
      <c r="J53" s="1"/>
      <c r="K53" s="1"/>
    </row>
    <row r="54" spans="1:11" ht="23" customHeight="1">
      <c r="A54" s="1"/>
      <c r="B54" s="1"/>
      <c r="C54" s="1"/>
      <c r="D54" s="1"/>
      <c r="E54" s="1"/>
      <c r="F54" s="1"/>
      <c r="G54" s="1"/>
      <c r="H54" s="1"/>
      <c r="I54" s="1"/>
      <c r="J54" s="1"/>
      <c r="K54" s="1"/>
    </row>
    <row r="55" spans="1:11" ht="23" customHeight="1">
      <c r="A55" s="1"/>
      <c r="B55" s="1"/>
      <c r="C55" s="1"/>
      <c r="D55" s="1"/>
      <c r="E55" s="1"/>
      <c r="F55" s="1"/>
      <c r="G55" s="1"/>
      <c r="H55" s="1"/>
      <c r="I55" s="1"/>
      <c r="J55" s="1"/>
      <c r="K55" s="1"/>
    </row>
    <row r="56" spans="1:11" ht="23" customHeight="1">
      <c r="A56" s="1"/>
      <c r="B56" s="1"/>
      <c r="C56" s="1"/>
      <c r="D56" s="1"/>
      <c r="E56" s="1"/>
      <c r="F56" s="1"/>
      <c r="G56" s="1"/>
      <c r="H56" s="1"/>
      <c r="I56" s="1"/>
      <c r="J56" s="1"/>
      <c r="K56" s="1"/>
    </row>
    <row r="57" spans="1:11" ht="23" customHeight="1">
      <c r="A57" s="1"/>
      <c r="B57" s="1"/>
      <c r="C57" s="1"/>
      <c r="D57" s="1"/>
      <c r="E57" s="1"/>
      <c r="F57" s="1"/>
      <c r="G57" s="1"/>
      <c r="H57" s="1"/>
      <c r="I57" s="1"/>
      <c r="J57" s="1"/>
      <c r="K57" s="1"/>
    </row>
    <row r="58" spans="1:11" ht="23" customHeight="1">
      <c r="A58" s="1"/>
      <c r="B58" s="1"/>
      <c r="C58" s="1"/>
      <c r="D58" s="1"/>
      <c r="E58" s="1"/>
      <c r="F58" s="1"/>
      <c r="G58" s="1"/>
      <c r="H58" s="1"/>
      <c r="I58" s="1"/>
      <c r="J58" s="1"/>
      <c r="K58" s="1"/>
    </row>
    <row r="59" spans="1:11" ht="23" customHeight="1">
      <c r="A59" s="1"/>
      <c r="B59" s="1"/>
      <c r="C59" s="1"/>
      <c r="D59" s="1"/>
      <c r="E59" s="1"/>
      <c r="F59" s="1"/>
      <c r="G59" s="1"/>
      <c r="H59" s="1"/>
      <c r="I59" s="1"/>
      <c r="J59" s="1"/>
      <c r="K59" s="1"/>
    </row>
    <row r="60" spans="1:11" ht="23" customHeight="1">
      <c r="A60" s="1"/>
      <c r="B60" s="1"/>
      <c r="C60" s="1"/>
      <c r="D60" s="1"/>
      <c r="E60" s="1"/>
      <c r="F60" s="1"/>
      <c r="G60" s="1"/>
      <c r="H60" s="1"/>
      <c r="I60" s="1"/>
      <c r="J60" s="1"/>
      <c r="K60" s="1"/>
    </row>
    <row r="61" spans="1:11" ht="23" customHeight="1">
      <c r="A61" s="1"/>
      <c r="B61" s="1"/>
      <c r="C61" s="1"/>
      <c r="D61" s="1"/>
      <c r="E61" s="1"/>
      <c r="F61" s="1"/>
      <c r="G61" s="1"/>
      <c r="H61" s="1"/>
      <c r="I61" s="1"/>
      <c r="J61" s="1"/>
      <c r="K61" s="1"/>
    </row>
  </sheetData>
  <conditionalFormatting sqref="B7:I37">
    <cfRule type="expression" dxfId="0" priority="1">
      <formula>AND($B7&lt;&gt;"",MOD(ROW(),2)=0)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74373"/>
  </sheetPr>
  <dimension ref="A1:F40"/>
  <sheetViews>
    <sheetView showGridLines="0" workbookViewId="0"/>
  </sheetViews>
  <sheetFormatPr baseColWidth="10" defaultColWidth="8.83203125" defaultRowHeight="14"/>
  <cols>
    <col min="1" max="1" width="3" customWidth="1"/>
    <col min="2" max="2" width="31" customWidth="1"/>
    <col min="3" max="3" width="78" customWidth="1"/>
    <col min="4" max="6" width="3" customWidth="1"/>
  </cols>
  <sheetData>
    <row r="1" spans="1:6" ht="23" customHeight="1">
      <c r="A1" s="1"/>
      <c r="B1" s="1"/>
      <c r="C1" s="1"/>
      <c r="D1" s="1"/>
      <c r="E1" s="1"/>
      <c r="F1" s="1"/>
    </row>
    <row r="2" spans="1:6" ht="23" customHeight="1">
      <c r="A2" s="1"/>
      <c r="B2" s="2" t="s">
        <v>62</v>
      </c>
      <c r="C2" s="1"/>
      <c r="D2" s="1"/>
      <c r="E2" s="1"/>
      <c r="F2" s="1"/>
    </row>
    <row r="3" spans="1:6" ht="23" customHeight="1">
      <c r="A3" s="1"/>
      <c r="B3" s="3"/>
      <c r="C3" s="3"/>
      <c r="D3" s="3"/>
      <c r="E3" s="3"/>
      <c r="F3" s="3"/>
    </row>
    <row r="4" spans="1:6" ht="23" customHeight="1">
      <c r="A4" s="1"/>
      <c r="B4" s="1"/>
      <c r="C4" s="1"/>
      <c r="D4" s="1"/>
      <c r="E4" s="1"/>
      <c r="F4" s="1"/>
    </row>
    <row r="5" spans="1:6" ht="66" customHeight="1">
      <c r="A5" s="1"/>
      <c r="B5" s="38" t="s">
        <v>63</v>
      </c>
      <c r="C5" s="37" t="s">
        <v>64</v>
      </c>
      <c r="D5" s="1"/>
      <c r="E5" s="1"/>
      <c r="F5" s="1"/>
    </row>
    <row r="6" spans="1:6" ht="23" customHeight="1">
      <c r="A6" s="1"/>
      <c r="B6" s="1"/>
      <c r="C6" s="1"/>
      <c r="D6" s="1"/>
      <c r="E6" s="1"/>
      <c r="F6" s="1"/>
    </row>
    <row r="7" spans="1:6" ht="66" customHeight="1">
      <c r="A7" s="1"/>
      <c r="B7" s="38" t="s">
        <v>11</v>
      </c>
      <c r="C7" s="37" t="s">
        <v>65</v>
      </c>
      <c r="D7" s="1"/>
      <c r="E7" s="1"/>
      <c r="F7" s="1"/>
    </row>
    <row r="8" spans="1:6" ht="23" customHeight="1">
      <c r="A8" s="1"/>
      <c r="B8" s="1"/>
      <c r="C8" s="1"/>
      <c r="D8" s="1"/>
      <c r="E8" s="1"/>
      <c r="F8" s="1"/>
    </row>
    <row r="9" spans="1:6" ht="66" customHeight="1">
      <c r="A9" s="1"/>
      <c r="B9" s="38" t="s">
        <v>66</v>
      </c>
      <c r="C9" s="37" t="s">
        <v>67</v>
      </c>
      <c r="D9" s="1"/>
      <c r="E9" s="1"/>
      <c r="F9" s="1"/>
    </row>
    <row r="10" spans="1:6" ht="23" customHeight="1">
      <c r="A10" s="1"/>
      <c r="B10" s="1"/>
      <c r="C10" s="1"/>
      <c r="D10" s="1"/>
      <c r="E10" s="1"/>
      <c r="F10" s="1"/>
    </row>
    <row r="11" spans="1:6" ht="66" customHeight="1">
      <c r="A11" s="1"/>
      <c r="B11" s="38" t="s">
        <v>68</v>
      </c>
      <c r="C11" s="37" t="s">
        <v>69</v>
      </c>
      <c r="D11" s="1"/>
      <c r="E11" s="1"/>
      <c r="F11" s="1"/>
    </row>
    <row r="12" spans="1:6" ht="23" customHeight="1">
      <c r="A12" s="1"/>
      <c r="B12" s="1"/>
      <c r="C12" s="1"/>
      <c r="D12" s="1"/>
      <c r="E12" s="1"/>
      <c r="F12" s="1"/>
    </row>
    <row r="13" spans="1:6" ht="66" customHeight="1">
      <c r="A13" s="1"/>
      <c r="B13" s="38" t="s">
        <v>70</v>
      </c>
      <c r="C13" s="37" t="s">
        <v>71</v>
      </c>
      <c r="D13" s="1"/>
      <c r="E13" s="1"/>
      <c r="F13" s="1"/>
    </row>
    <row r="14" spans="1:6" ht="23" customHeight="1">
      <c r="A14" s="1"/>
      <c r="B14" s="1"/>
      <c r="C14" s="1"/>
      <c r="D14" s="1"/>
      <c r="E14" s="1"/>
      <c r="F14" s="1"/>
    </row>
    <row r="15" spans="1:6" ht="66" customHeight="1">
      <c r="A15" s="1"/>
      <c r="B15" s="38" t="s">
        <v>72</v>
      </c>
      <c r="C15" s="37" t="s">
        <v>73</v>
      </c>
      <c r="D15" s="1"/>
      <c r="E15" s="1"/>
      <c r="F15" s="1"/>
    </row>
    <row r="16" spans="1:6" ht="23" customHeight="1">
      <c r="A16" s="1"/>
      <c r="B16" s="1"/>
      <c r="C16" s="1"/>
      <c r="D16" s="1"/>
      <c r="E16" s="1"/>
      <c r="F16" s="1"/>
    </row>
    <row r="17" spans="1:6" ht="66" customHeight="1">
      <c r="A17" s="1"/>
      <c r="B17" s="38" t="s">
        <v>74</v>
      </c>
      <c r="C17" s="37" t="s">
        <v>75</v>
      </c>
      <c r="D17" s="1"/>
      <c r="E17" s="1"/>
      <c r="F17" s="1"/>
    </row>
    <row r="18" spans="1:6" ht="23" customHeight="1">
      <c r="A18" s="1"/>
      <c r="B18" s="1"/>
      <c r="C18" s="1"/>
      <c r="D18" s="1"/>
      <c r="E18" s="1"/>
      <c r="F18" s="1"/>
    </row>
    <row r="19" spans="1:6" ht="66" customHeight="1">
      <c r="A19" s="1"/>
      <c r="B19" s="38" t="s">
        <v>76</v>
      </c>
      <c r="C19" s="37" t="s">
        <v>77</v>
      </c>
      <c r="D19" s="1"/>
      <c r="E19" s="1"/>
      <c r="F19" s="1"/>
    </row>
    <row r="20" spans="1:6" ht="23" customHeight="1">
      <c r="A20" s="1"/>
      <c r="B20" s="1"/>
      <c r="C20" s="1"/>
      <c r="D20" s="1"/>
      <c r="E20" s="1"/>
      <c r="F20" s="1"/>
    </row>
    <row r="21" spans="1:6" ht="88" customHeight="1">
      <c r="A21" s="1"/>
      <c r="B21" s="38" t="s">
        <v>78</v>
      </c>
      <c r="C21" s="37" t="s">
        <v>79</v>
      </c>
      <c r="D21" s="1"/>
      <c r="E21" s="1"/>
      <c r="F21" s="1"/>
    </row>
    <row r="22" spans="1:6" ht="23" customHeight="1">
      <c r="A22" s="1"/>
      <c r="B22" s="1"/>
      <c r="C22" s="1"/>
      <c r="D22" s="1"/>
      <c r="E22" s="1"/>
      <c r="F22" s="1"/>
    </row>
    <row r="23" spans="1:6" ht="66" customHeight="1">
      <c r="A23" s="1"/>
      <c r="B23" s="38" t="s">
        <v>80</v>
      </c>
      <c r="C23" s="37" t="s">
        <v>81</v>
      </c>
      <c r="D23" s="1"/>
      <c r="E23" s="1"/>
      <c r="F23" s="1"/>
    </row>
    <row r="24" spans="1:6" ht="23" customHeight="1">
      <c r="A24" s="1"/>
      <c r="B24" s="1"/>
      <c r="C24" s="1"/>
      <c r="D24" s="1"/>
      <c r="E24" s="1"/>
      <c r="F24" s="1"/>
    </row>
    <row r="25" spans="1:6" ht="66" customHeight="1">
      <c r="A25" s="1"/>
      <c r="B25" s="38" t="s">
        <v>82</v>
      </c>
      <c r="C25" s="37" t="s">
        <v>83</v>
      </c>
      <c r="D25" s="1"/>
      <c r="E25" s="1"/>
      <c r="F25" s="1"/>
    </row>
    <row r="26" spans="1:6" ht="23" customHeight="1">
      <c r="A26" s="1"/>
      <c r="B26" s="1"/>
      <c r="C26" s="1"/>
      <c r="D26" s="1"/>
      <c r="E26" s="1"/>
      <c r="F26" s="1"/>
    </row>
    <row r="27" spans="1:6" ht="66" customHeight="1">
      <c r="A27" s="1"/>
      <c r="B27" s="38" t="s">
        <v>84</v>
      </c>
      <c r="C27" s="37" t="s">
        <v>85</v>
      </c>
      <c r="D27" s="1"/>
      <c r="E27" s="1"/>
      <c r="F27" s="1"/>
    </row>
    <row r="28" spans="1:6" ht="23" customHeight="1">
      <c r="A28" s="1"/>
      <c r="B28" s="1"/>
      <c r="C28" s="1"/>
      <c r="D28" s="1"/>
      <c r="E28" s="1"/>
      <c r="F28" s="1"/>
    </row>
    <row r="29" spans="1:6" ht="66" customHeight="1">
      <c r="A29" s="1"/>
      <c r="B29" s="38" t="s">
        <v>86</v>
      </c>
      <c r="C29" s="37" t="s">
        <v>87</v>
      </c>
      <c r="D29" s="1"/>
      <c r="E29" s="1"/>
      <c r="F29" s="1"/>
    </row>
    <row r="30" spans="1:6" ht="23" customHeight="1">
      <c r="A30" s="1"/>
      <c r="B30" s="1"/>
      <c r="C30" s="1"/>
      <c r="D30" s="1"/>
      <c r="E30" s="1"/>
      <c r="F30" s="1"/>
    </row>
    <row r="31" spans="1:6" ht="23" customHeight="1">
      <c r="A31" s="1"/>
      <c r="B31" s="1"/>
      <c r="C31" s="1"/>
      <c r="D31" s="1"/>
      <c r="E31" s="1"/>
      <c r="F31" s="1"/>
    </row>
    <row r="32" spans="1:6" ht="23" customHeight="1">
      <c r="A32" s="1"/>
      <c r="B32" s="1" t="s">
        <v>88</v>
      </c>
      <c r="C32" s="39" t="s">
        <v>89</v>
      </c>
      <c r="D32" s="1"/>
      <c r="E32" s="1"/>
      <c r="F32" s="1"/>
    </row>
    <row r="33" spans="1:6" ht="23" customHeight="1">
      <c r="A33" s="1"/>
      <c r="B33" s="1"/>
      <c r="C33" s="39"/>
      <c r="D33" s="1"/>
      <c r="E33" s="1"/>
      <c r="F33" s="1"/>
    </row>
    <row r="34" spans="1:6" ht="23" customHeight="1">
      <c r="A34" s="1"/>
      <c r="B34" s="1" t="s">
        <v>86</v>
      </c>
      <c r="C34" s="39" t="s">
        <v>90</v>
      </c>
      <c r="D34" s="1"/>
      <c r="E34" s="1"/>
      <c r="F34" s="1"/>
    </row>
    <row r="35" spans="1:6" ht="23" customHeight="1">
      <c r="A35" s="1"/>
      <c r="B35" s="1"/>
      <c r="C35" s="1"/>
      <c r="D35" s="1"/>
      <c r="E35" s="1"/>
      <c r="F35" s="1"/>
    </row>
    <row r="36" spans="1:6" ht="23" customHeight="1">
      <c r="A36" s="1"/>
      <c r="B36" s="1"/>
      <c r="C36" s="1"/>
      <c r="D36" s="1"/>
      <c r="E36" s="1"/>
      <c r="F36" s="1"/>
    </row>
    <row r="37" spans="1:6" ht="23" customHeight="1">
      <c r="A37" s="1"/>
      <c r="B37" s="1"/>
      <c r="C37" s="1"/>
      <c r="D37" s="1"/>
      <c r="E37" s="1"/>
      <c r="F37" s="1"/>
    </row>
    <row r="38" spans="1:6" ht="23" customHeight="1">
      <c r="A38" s="1"/>
      <c r="B38" s="1"/>
      <c r="C38" s="1"/>
      <c r="D38" s="1"/>
      <c r="E38" s="1"/>
      <c r="F38" s="1"/>
    </row>
    <row r="39" spans="1:6" ht="23" customHeight="1">
      <c r="A39" s="1"/>
      <c r="B39" s="1"/>
      <c r="C39" s="1"/>
      <c r="D39" s="1"/>
      <c r="E39" s="1"/>
      <c r="F39" s="1"/>
    </row>
    <row r="40" spans="1:6" ht="23" customHeight="1">
      <c r="A40" s="1"/>
      <c r="B40" s="1"/>
      <c r="C40" s="1"/>
      <c r="D40" s="1"/>
      <c r="E40" s="1"/>
      <c r="F4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4</vt:i4>
      </vt:variant>
    </vt:vector>
  </HeadingPairs>
  <TitlesOfParts>
    <vt:vector size="4" baseType="lpstr">
      <vt:lpstr>Simulatie</vt:lpstr>
      <vt:lpstr>Aflossingen</vt:lpstr>
      <vt:lpstr>Per jaar</vt:lpstr>
      <vt:lpstr>Uitleg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Vincent Meesters | Meesters Accountants</cp:lastModifiedBy>
  <dcterms:modified xsi:type="dcterms:W3CDTF">2026-10-26T21:27:34Z</dcterms:modified>
</cp:coreProperties>
</file>