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sarah\Desktop\"/>
    </mc:Choice>
  </mc:AlternateContent>
  <xr:revisionPtr revIDLastSave="0" documentId="8_{1524F5BC-7EFC-4F06-9881-E96B1C30F11F}" xr6:coauthVersionLast="47" xr6:coauthVersionMax="47" xr10:uidLastSave="{00000000-0000-0000-0000-000000000000}"/>
  <bookViews>
    <workbookView xWindow="1560" yWindow="1560" windowWidth="18240" windowHeight="9720" firstSheet="1" activeTab="1" xr2:uid="{00000000-000D-0000-FFFF-FFFF00000000}"/>
  </bookViews>
  <sheets>
    <sheet name="Assumptions and Drivers" sheetId="1" r:id="rId1"/>
    <sheet name="Model" sheetId="2" r:id="rId2"/>
    <sheet name="Payroll Mode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2" l="1"/>
  <c r="E100" i="2"/>
  <c r="E99" i="2"/>
  <c r="E98" i="2"/>
  <c r="D102" i="2"/>
  <c r="D98" i="2"/>
  <c r="D99" i="2"/>
  <c r="D101" i="2"/>
  <c r="D100" i="2"/>
  <c r="AP59" i="2"/>
  <c r="AP60" i="2"/>
  <c r="AP61" i="2"/>
  <c r="AP62" i="2"/>
  <c r="AP63" i="2"/>
  <c r="AP64" i="2"/>
  <c r="AP66" i="2"/>
  <c r="I14" i="2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AL14" i="2" s="1"/>
  <c r="B34" i="1"/>
  <c r="I25" i="1"/>
  <c r="I26" i="1" s="1"/>
  <c r="I27" i="1" s="1"/>
  <c r="I28" i="1" s="1"/>
  <c r="H25" i="1"/>
  <c r="H26" i="1" s="1"/>
  <c r="H27" i="1" s="1"/>
  <c r="H28" i="1" s="1"/>
  <c r="H30" i="1" s="1"/>
  <c r="H31" i="1" l="1"/>
  <c r="I30" i="1"/>
  <c r="B27" i="2" l="1"/>
  <c r="W32" i="3"/>
  <c r="X32" i="3" s="1"/>
  <c r="Y32" i="3" s="1"/>
  <c r="Z32" i="3" s="1"/>
  <c r="AA32" i="3" s="1"/>
  <c r="AB32" i="3" s="1"/>
  <c r="AC32" i="3" s="1"/>
  <c r="AD32" i="3" s="1"/>
  <c r="AE32" i="3" s="1"/>
  <c r="AF32" i="3" s="1"/>
  <c r="AG32" i="3" s="1"/>
  <c r="AH32" i="3" s="1"/>
  <c r="AI32" i="3" s="1"/>
  <c r="AJ32" i="3" s="1"/>
  <c r="AK32" i="3" s="1"/>
  <c r="AL32" i="3" s="1"/>
  <c r="AM32" i="3" s="1"/>
  <c r="D14" i="2"/>
  <c r="E14" i="2"/>
  <c r="E32" i="2" s="1"/>
  <c r="F14" i="2"/>
  <c r="F32" i="2" s="1"/>
  <c r="G14" i="2"/>
  <c r="C14" i="2"/>
  <c r="C35" i="3"/>
  <c r="C36" i="3" s="1"/>
  <c r="E30" i="3"/>
  <c r="F30" i="3" s="1"/>
  <c r="G30" i="3" s="1"/>
  <c r="H30" i="3" s="1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AF30" i="3" s="1"/>
  <c r="AG30" i="3" s="1"/>
  <c r="AH30" i="3" s="1"/>
  <c r="AI30" i="3" s="1"/>
  <c r="AJ30" i="3" s="1"/>
  <c r="AK30" i="3" s="1"/>
  <c r="AL30" i="3" s="1"/>
  <c r="AM30" i="3" s="1"/>
  <c r="J29" i="3"/>
  <c r="K29" i="3" s="1"/>
  <c r="L29" i="3" s="1"/>
  <c r="M29" i="3" s="1"/>
  <c r="N29" i="3" s="1"/>
  <c r="O29" i="3" s="1"/>
  <c r="P29" i="3" s="1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AH29" i="3" s="1"/>
  <c r="AI29" i="3" s="1"/>
  <c r="AJ29" i="3" s="1"/>
  <c r="AK29" i="3" s="1"/>
  <c r="AL29" i="3" s="1"/>
  <c r="AM29" i="3" s="1"/>
  <c r="W24" i="3"/>
  <c r="X24" i="3" s="1"/>
  <c r="Y24" i="3" s="1"/>
  <c r="Z24" i="3" s="1"/>
  <c r="AA24" i="3" s="1"/>
  <c r="AB24" i="3" s="1"/>
  <c r="AC24" i="3" s="1"/>
  <c r="AD24" i="3" s="1"/>
  <c r="AE24" i="3" s="1"/>
  <c r="AF24" i="3" s="1"/>
  <c r="AG24" i="3" s="1"/>
  <c r="AH24" i="3" s="1"/>
  <c r="AI24" i="3" s="1"/>
  <c r="AJ24" i="3" s="1"/>
  <c r="AK24" i="3" s="1"/>
  <c r="AL24" i="3" s="1"/>
  <c r="AM24" i="3" s="1"/>
  <c r="W23" i="3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AH23" i="3" s="1"/>
  <c r="AI23" i="3" s="1"/>
  <c r="AJ23" i="3" s="1"/>
  <c r="AK23" i="3" s="1"/>
  <c r="AL23" i="3" s="1"/>
  <c r="AM23" i="3" s="1"/>
  <c r="D22" i="3"/>
  <c r="E22" i="3" s="1"/>
  <c r="F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AH22" i="3" s="1"/>
  <c r="AI22" i="3" s="1"/>
  <c r="AJ22" i="3" s="1"/>
  <c r="AK22" i="3" s="1"/>
  <c r="AL22" i="3" s="1"/>
  <c r="AM22" i="3" s="1"/>
  <c r="W26" i="3"/>
  <c r="X26" i="3" s="1"/>
  <c r="Y26" i="3" s="1"/>
  <c r="Z26" i="3" s="1"/>
  <c r="AA26" i="3" s="1"/>
  <c r="AB26" i="3" s="1"/>
  <c r="AC26" i="3" s="1"/>
  <c r="AD26" i="3" s="1"/>
  <c r="AE26" i="3" s="1"/>
  <c r="AF26" i="3" s="1"/>
  <c r="AG26" i="3" s="1"/>
  <c r="AH26" i="3" s="1"/>
  <c r="AI26" i="3" s="1"/>
  <c r="AJ26" i="3" s="1"/>
  <c r="AK26" i="3" s="1"/>
  <c r="AL26" i="3" s="1"/>
  <c r="AM26" i="3" s="1"/>
  <c r="W25" i="3"/>
  <c r="X25" i="3" s="1"/>
  <c r="Y25" i="3" s="1"/>
  <c r="Z25" i="3" s="1"/>
  <c r="AA25" i="3" s="1"/>
  <c r="AB25" i="3" s="1"/>
  <c r="AC25" i="3" s="1"/>
  <c r="AD25" i="3" s="1"/>
  <c r="AE25" i="3" s="1"/>
  <c r="AF25" i="3" s="1"/>
  <c r="AG25" i="3" s="1"/>
  <c r="AH25" i="3" s="1"/>
  <c r="AI25" i="3" s="1"/>
  <c r="AJ25" i="3" s="1"/>
  <c r="AK25" i="3" s="1"/>
  <c r="AL25" i="3" s="1"/>
  <c r="AM25" i="3" s="1"/>
  <c r="N19" i="3"/>
  <c r="O19" i="3" s="1"/>
  <c r="P19" i="3" s="1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AG19" i="3" s="1"/>
  <c r="AH19" i="3" s="1"/>
  <c r="AI19" i="3" s="1"/>
  <c r="AJ19" i="3" s="1"/>
  <c r="AK19" i="3" s="1"/>
  <c r="AL19" i="3" s="1"/>
  <c r="AM19" i="3" s="1"/>
  <c r="W18" i="3"/>
  <c r="X18" i="3" s="1"/>
  <c r="Y18" i="3" s="1"/>
  <c r="Z18" i="3" s="1"/>
  <c r="AA18" i="3" s="1"/>
  <c r="AB18" i="3" s="1"/>
  <c r="AC18" i="3" s="1"/>
  <c r="AD18" i="3" s="1"/>
  <c r="AE18" i="3" s="1"/>
  <c r="AF18" i="3" s="1"/>
  <c r="AG18" i="3" s="1"/>
  <c r="AH18" i="3" s="1"/>
  <c r="AI18" i="3" s="1"/>
  <c r="AJ18" i="3" s="1"/>
  <c r="AK18" i="3" s="1"/>
  <c r="AL18" i="3" s="1"/>
  <c r="AM18" i="3" s="1"/>
  <c r="W17" i="3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Q12" i="3"/>
  <c r="R12" i="3" s="1"/>
  <c r="S12" i="3" s="1"/>
  <c r="T12" i="3" s="1"/>
  <c r="U12" i="3" s="1"/>
  <c r="V12" i="3" s="1"/>
  <c r="W12" i="3" s="1"/>
  <c r="X12" i="3" s="1"/>
  <c r="Y12" i="3" s="1"/>
  <c r="Z12" i="3" s="1"/>
  <c r="AA12" i="3" s="1"/>
  <c r="AB12" i="3" s="1"/>
  <c r="AC12" i="3" s="1"/>
  <c r="AD12" i="3" s="1"/>
  <c r="AE12" i="3" s="1"/>
  <c r="AF12" i="3" s="1"/>
  <c r="AG12" i="3" s="1"/>
  <c r="AH12" i="3" s="1"/>
  <c r="AI12" i="3" s="1"/>
  <c r="AJ12" i="3" s="1"/>
  <c r="AK12" i="3" s="1"/>
  <c r="AL12" i="3" s="1"/>
  <c r="AM12" i="3" s="1"/>
  <c r="J11" i="3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G10" i="3"/>
  <c r="H10" i="3" s="1"/>
  <c r="D16" i="3"/>
  <c r="D35" i="3" s="1"/>
  <c r="D36" i="3" s="1"/>
  <c r="P15" i="3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AH15" i="3" s="1"/>
  <c r="AI15" i="3" s="1"/>
  <c r="AJ15" i="3" s="1"/>
  <c r="AK15" i="3" s="1"/>
  <c r="AL15" i="3" s="1"/>
  <c r="AM15" i="3" s="1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C7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C67" i="2"/>
  <c r="B28" i="1"/>
  <c r="H9" i="1"/>
  <c r="H10" i="1" s="1"/>
  <c r="H4" i="1"/>
  <c r="H5" i="1" s="1"/>
  <c r="H12" i="1" s="1"/>
  <c r="B43" i="1"/>
  <c r="B45" i="1" s="1"/>
  <c r="C46" i="1" s="1"/>
  <c r="C20" i="1"/>
  <c r="C23" i="2" s="1"/>
  <c r="C17" i="2"/>
  <c r="C35" i="1"/>
  <c r="C16" i="2"/>
  <c r="D15" i="2"/>
  <c r="D7" i="2"/>
  <c r="E7" i="2"/>
  <c r="F7" i="2"/>
  <c r="G7" i="2"/>
  <c r="C7" i="2"/>
  <c r="C27" i="1"/>
  <c r="D6" i="2"/>
  <c r="D31" i="2" s="1"/>
  <c r="E6" i="2"/>
  <c r="E31" i="2" s="1"/>
  <c r="F6" i="2"/>
  <c r="F9" i="2" s="1"/>
  <c r="G6" i="2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C6" i="2"/>
  <c r="C21" i="1"/>
  <c r="C19" i="1"/>
  <c r="C19" i="2" s="1"/>
  <c r="B11" i="2"/>
  <c r="C32" i="2" l="1"/>
  <c r="AP14" i="2"/>
  <c r="C31" i="2"/>
  <c r="C36" i="2" s="1"/>
  <c r="AP6" i="2"/>
  <c r="AP67" i="2"/>
  <c r="C38" i="3"/>
  <c r="D38" i="3"/>
  <c r="C65" i="2" s="1"/>
  <c r="H14" i="1"/>
  <c r="I10" i="3"/>
  <c r="E16" i="3"/>
  <c r="B39" i="1"/>
  <c r="B36" i="1"/>
  <c r="D18" i="2"/>
  <c r="H7" i="2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E9" i="2"/>
  <c r="D9" i="2"/>
  <c r="Y32" i="2"/>
  <c r="X32" i="2"/>
  <c r="I32" i="2"/>
  <c r="H32" i="2"/>
  <c r="G32" i="2"/>
  <c r="D32" i="2"/>
  <c r="G31" i="2"/>
  <c r="F31" i="2"/>
  <c r="F36" i="2" s="1"/>
  <c r="W32" i="2"/>
  <c r="AJ32" i="2"/>
  <c r="S32" i="2"/>
  <c r="V32" i="2"/>
  <c r="Q32" i="2"/>
  <c r="P32" i="2"/>
  <c r="O32" i="2"/>
  <c r="AD32" i="2"/>
  <c r="AC32" i="2"/>
  <c r="M32" i="2"/>
  <c r="T32" i="2"/>
  <c r="R32" i="2"/>
  <c r="AG32" i="2"/>
  <c r="AA32" i="2"/>
  <c r="K32" i="2"/>
  <c r="U32" i="2"/>
  <c r="AI32" i="2"/>
  <c r="AH32" i="2"/>
  <c r="AF32" i="2"/>
  <c r="AE32" i="2"/>
  <c r="N32" i="2"/>
  <c r="AB32" i="2"/>
  <c r="L32" i="2"/>
  <c r="Z32" i="2"/>
  <c r="J32" i="2"/>
  <c r="G9" i="2"/>
  <c r="C15" i="2"/>
  <c r="C18" i="2" s="1"/>
  <c r="G15" i="2"/>
  <c r="F15" i="2"/>
  <c r="F18" i="2" s="1"/>
  <c r="E15" i="2"/>
  <c r="E18" i="2" s="1"/>
  <c r="C10" i="2"/>
  <c r="C8" i="2"/>
  <c r="E37" i="2" l="1"/>
  <c r="F37" i="2"/>
  <c r="C37" i="2"/>
  <c r="C68" i="2"/>
  <c r="H31" i="2"/>
  <c r="F16" i="3"/>
  <c r="E35" i="3"/>
  <c r="J10" i="3"/>
  <c r="D37" i="2"/>
  <c r="E36" i="2"/>
  <c r="D36" i="2"/>
  <c r="G36" i="2"/>
  <c r="C20" i="2"/>
  <c r="D17" i="2" s="1"/>
  <c r="H9" i="2"/>
  <c r="I9" i="2"/>
  <c r="I31" i="2"/>
  <c r="AL32" i="2"/>
  <c r="AK32" i="2"/>
  <c r="H15" i="2"/>
  <c r="G18" i="2"/>
  <c r="C11" i="2"/>
  <c r="C43" i="2" s="1"/>
  <c r="C45" i="2" s="1"/>
  <c r="G37" i="2" l="1"/>
  <c r="C46" i="2"/>
  <c r="E36" i="3"/>
  <c r="E38" i="3" s="1"/>
  <c r="D65" i="2" s="1"/>
  <c r="K10" i="3"/>
  <c r="F35" i="3"/>
  <c r="G16" i="3"/>
  <c r="I36" i="2"/>
  <c r="H36" i="2"/>
  <c r="D19" i="2"/>
  <c r="D20" i="2" s="1"/>
  <c r="E19" i="2" s="1"/>
  <c r="AP32" i="2"/>
  <c r="J9" i="2"/>
  <c r="J31" i="2"/>
  <c r="D10" i="2"/>
  <c r="C22" i="2"/>
  <c r="I15" i="2"/>
  <c r="H18" i="2"/>
  <c r="D8" i="2"/>
  <c r="H37" i="2" l="1"/>
  <c r="C25" i="2"/>
  <c r="C34" i="2" s="1"/>
  <c r="C28" i="2"/>
  <c r="D68" i="2"/>
  <c r="F36" i="3"/>
  <c r="F38" i="3"/>
  <c r="E65" i="2" s="1"/>
  <c r="E68" i="2" s="1"/>
  <c r="H16" i="3"/>
  <c r="G35" i="3"/>
  <c r="L10" i="3"/>
  <c r="J36" i="2"/>
  <c r="E17" i="2"/>
  <c r="D23" i="2"/>
  <c r="C26" i="2"/>
  <c r="C27" i="2" s="1"/>
  <c r="D21" i="2"/>
  <c r="K9" i="2"/>
  <c r="K31" i="2"/>
  <c r="J15" i="2"/>
  <c r="I18" i="2"/>
  <c r="D11" i="2"/>
  <c r="D43" i="2" s="1"/>
  <c r="I37" i="2" l="1"/>
  <c r="G36" i="3"/>
  <c r="G38" i="3" s="1"/>
  <c r="F65" i="2" s="1"/>
  <c r="F68" i="2" s="1"/>
  <c r="M10" i="3"/>
  <c r="I16" i="3"/>
  <c r="H35" i="3"/>
  <c r="K36" i="2"/>
  <c r="E20" i="2"/>
  <c r="D16" i="2"/>
  <c r="C35" i="2"/>
  <c r="C38" i="2" s="1"/>
  <c r="C40" i="2" s="1"/>
  <c r="D22" i="2"/>
  <c r="L9" i="2"/>
  <c r="L31" i="2"/>
  <c r="K15" i="2"/>
  <c r="J18" i="2"/>
  <c r="E10" i="2"/>
  <c r="E8" i="2"/>
  <c r="J37" i="2" l="1"/>
  <c r="D25" i="2"/>
  <c r="D34" i="2" s="1"/>
  <c r="D28" i="2"/>
  <c r="H36" i="3"/>
  <c r="H38" i="3"/>
  <c r="G65" i="2" s="1"/>
  <c r="J16" i="3"/>
  <c r="I35" i="3"/>
  <c r="N10" i="3"/>
  <c r="L36" i="2"/>
  <c r="C48" i="2"/>
  <c r="M9" i="2"/>
  <c r="M31" i="2"/>
  <c r="L15" i="2"/>
  <c r="K18" i="2"/>
  <c r="E11" i="2"/>
  <c r="E43" i="2" s="1"/>
  <c r="K37" i="2" l="1"/>
  <c r="G68" i="2"/>
  <c r="I36" i="3"/>
  <c r="I38" i="3" s="1"/>
  <c r="H65" i="2" s="1"/>
  <c r="H68" i="2" s="1"/>
  <c r="C51" i="2"/>
  <c r="C56" i="2" s="1"/>
  <c r="O10" i="3"/>
  <c r="K16" i="3"/>
  <c r="J35" i="3"/>
  <c r="M36" i="2"/>
  <c r="E23" i="2"/>
  <c r="D26" i="2"/>
  <c r="E21" i="2"/>
  <c r="D35" i="2"/>
  <c r="D38" i="2" s="1"/>
  <c r="D40" i="2" s="1"/>
  <c r="N9" i="2"/>
  <c r="N31" i="2"/>
  <c r="F10" i="2"/>
  <c r="E22" i="2"/>
  <c r="E28" i="2" s="1"/>
  <c r="L18" i="2"/>
  <c r="M15" i="2"/>
  <c r="F8" i="2"/>
  <c r="L37" i="2" l="1"/>
  <c r="C69" i="2"/>
  <c r="C77" i="2" s="1"/>
  <c r="D44" i="2"/>
  <c r="D45" i="2" s="1"/>
  <c r="D27" i="2"/>
  <c r="J36" i="3"/>
  <c r="J38" i="3" s="1"/>
  <c r="I65" i="2" s="1"/>
  <c r="I68" i="2" s="1"/>
  <c r="L16" i="3"/>
  <c r="K35" i="3"/>
  <c r="P10" i="3"/>
  <c r="E16" i="2"/>
  <c r="E25" i="2"/>
  <c r="E34" i="2" s="1"/>
  <c r="N36" i="2"/>
  <c r="F17" i="2"/>
  <c r="F19" i="2"/>
  <c r="F20" i="2" s="1"/>
  <c r="O9" i="2"/>
  <c r="O31" i="2"/>
  <c r="N15" i="2"/>
  <c r="M18" i="2"/>
  <c r="F11" i="2"/>
  <c r="F43" i="2" s="1"/>
  <c r="M37" i="2" l="1"/>
  <c r="D46" i="2"/>
  <c r="C47" i="2"/>
  <c r="D48" i="2"/>
  <c r="D51" i="2" s="1"/>
  <c r="D56" i="2" s="1"/>
  <c r="D69" i="2" s="1"/>
  <c r="D77" i="2" s="1"/>
  <c r="C78" i="2" s="1"/>
  <c r="C72" i="2"/>
  <c r="C73" i="2" s="1"/>
  <c r="C74" i="2" s="1"/>
  <c r="K36" i="3"/>
  <c r="K38" i="3" s="1"/>
  <c r="J65" i="2" s="1"/>
  <c r="J68" i="2" s="1"/>
  <c r="Q10" i="3"/>
  <c r="M16" i="3"/>
  <c r="L35" i="3"/>
  <c r="O36" i="2"/>
  <c r="F23" i="2"/>
  <c r="E26" i="2"/>
  <c r="F21" i="2"/>
  <c r="E35" i="2"/>
  <c r="E38" i="2" s="1"/>
  <c r="E40" i="2" s="1"/>
  <c r="P9" i="2"/>
  <c r="P31" i="2"/>
  <c r="G10" i="2"/>
  <c r="F22" i="2"/>
  <c r="F28" i="2" s="1"/>
  <c r="O15" i="2"/>
  <c r="N18" i="2"/>
  <c r="G8" i="2"/>
  <c r="N37" i="2" l="1"/>
  <c r="E44" i="2"/>
  <c r="E45" i="2" s="1"/>
  <c r="E27" i="2"/>
  <c r="L36" i="3"/>
  <c r="L38" i="3" s="1"/>
  <c r="K65" i="2" s="1"/>
  <c r="K68" i="2" s="1"/>
  <c r="N16" i="3"/>
  <c r="M35" i="3"/>
  <c r="R10" i="3"/>
  <c r="D72" i="2"/>
  <c r="F25" i="2"/>
  <c r="F34" i="2" s="1"/>
  <c r="P36" i="2"/>
  <c r="F16" i="2"/>
  <c r="Q9" i="2"/>
  <c r="Q31" i="2"/>
  <c r="P15" i="2"/>
  <c r="O18" i="2"/>
  <c r="G11" i="2"/>
  <c r="G43" i="2" s="1"/>
  <c r="O37" i="2" l="1"/>
  <c r="E46" i="2"/>
  <c r="E48" i="2"/>
  <c r="E51" i="2" s="1"/>
  <c r="E56" i="2" s="1"/>
  <c r="E69" i="2" s="1"/>
  <c r="E77" i="2" s="1"/>
  <c r="M36" i="3"/>
  <c r="M38" i="3"/>
  <c r="L65" i="2" s="1"/>
  <c r="L68" i="2" s="1"/>
  <c r="S10" i="3"/>
  <c r="O16" i="3"/>
  <c r="N35" i="3"/>
  <c r="D73" i="2"/>
  <c r="D74" i="2" s="1"/>
  <c r="F35" i="2"/>
  <c r="F38" i="2" s="1"/>
  <c r="F40" i="2" s="1"/>
  <c r="Q36" i="2"/>
  <c r="F26" i="2"/>
  <c r="G23" i="2"/>
  <c r="G21" i="2"/>
  <c r="G17" i="2"/>
  <c r="G16" i="2" s="1"/>
  <c r="G19" i="2"/>
  <c r="R9" i="2"/>
  <c r="R31" i="2"/>
  <c r="H10" i="2"/>
  <c r="G22" i="2"/>
  <c r="G28" i="2" s="1"/>
  <c r="Q15" i="2"/>
  <c r="P18" i="2"/>
  <c r="H8" i="2"/>
  <c r="P37" i="2" l="1"/>
  <c r="F44" i="2"/>
  <c r="F45" i="2" s="1"/>
  <c r="F27" i="2"/>
  <c r="N36" i="3"/>
  <c r="N38" i="3"/>
  <c r="M65" i="2" s="1"/>
  <c r="M68" i="2" s="1"/>
  <c r="P16" i="3"/>
  <c r="O35" i="3"/>
  <c r="T10" i="3"/>
  <c r="E72" i="2"/>
  <c r="G20" i="2"/>
  <c r="H19" i="2" s="1"/>
  <c r="R36" i="2"/>
  <c r="G25" i="2"/>
  <c r="G34" i="2" s="1"/>
  <c r="S9" i="2"/>
  <c r="S31" i="2"/>
  <c r="R15" i="2"/>
  <c r="Q18" i="2"/>
  <c r="H11" i="2"/>
  <c r="H43" i="2" s="1"/>
  <c r="Q37" i="2" l="1"/>
  <c r="F48" i="2"/>
  <c r="F51" i="2" s="1"/>
  <c r="F56" i="2" s="1"/>
  <c r="F46" i="2"/>
  <c r="F69" i="2"/>
  <c r="F72" i="2" s="1"/>
  <c r="F73" i="2" s="1"/>
  <c r="F74" i="2" s="1"/>
  <c r="F77" i="2"/>
  <c r="H17" i="2"/>
  <c r="H20" i="2" s="1"/>
  <c r="I19" i="2" s="1"/>
  <c r="O36" i="3"/>
  <c r="O38" i="3"/>
  <c r="N65" i="2" s="1"/>
  <c r="N68" i="2" s="1"/>
  <c r="U10" i="3"/>
  <c r="Q16" i="3"/>
  <c r="P35" i="3"/>
  <c r="E73" i="2"/>
  <c r="E74" i="2" s="1"/>
  <c r="S36" i="2"/>
  <c r="G26" i="2"/>
  <c r="H21" i="2"/>
  <c r="H23" i="2"/>
  <c r="G35" i="2"/>
  <c r="G38" i="2" s="1"/>
  <c r="G40" i="2" s="1"/>
  <c r="T9" i="2"/>
  <c r="T31" i="2"/>
  <c r="I10" i="2"/>
  <c r="H22" i="2"/>
  <c r="H28" i="2" s="1"/>
  <c r="R18" i="2"/>
  <c r="S15" i="2"/>
  <c r="I8" i="2"/>
  <c r="R37" i="2" l="1"/>
  <c r="G44" i="2"/>
  <c r="G45" i="2" s="1"/>
  <c r="G27" i="2"/>
  <c r="P36" i="3"/>
  <c r="P37" i="3"/>
  <c r="R16" i="3"/>
  <c r="Q35" i="3"/>
  <c r="V10" i="3"/>
  <c r="T36" i="2"/>
  <c r="H16" i="2"/>
  <c r="H25" i="2"/>
  <c r="H34" i="2" s="1"/>
  <c r="I17" i="2"/>
  <c r="U9" i="2"/>
  <c r="U31" i="2"/>
  <c r="S18" i="2"/>
  <c r="T15" i="2"/>
  <c r="I11" i="2"/>
  <c r="I43" i="2" s="1"/>
  <c r="S37" i="2" l="1"/>
  <c r="G46" i="2"/>
  <c r="E47" i="2"/>
  <c r="G48" i="2"/>
  <c r="G51" i="2" s="1"/>
  <c r="G56" i="2" s="1"/>
  <c r="G69" i="2" s="1"/>
  <c r="G77" i="2" s="1"/>
  <c r="E78" i="2" s="1"/>
  <c r="P38" i="3"/>
  <c r="O65" i="2" s="1"/>
  <c r="O68" i="2" s="1"/>
  <c r="Q36" i="3"/>
  <c r="Q37" i="3"/>
  <c r="Q38" i="3" s="1"/>
  <c r="P65" i="2" s="1"/>
  <c r="P68" i="2" s="1"/>
  <c r="W10" i="3"/>
  <c r="S16" i="3"/>
  <c r="R35" i="3"/>
  <c r="U36" i="2"/>
  <c r="I20" i="2"/>
  <c r="J17" i="2" s="1"/>
  <c r="H26" i="2"/>
  <c r="I23" i="2"/>
  <c r="I21" i="2"/>
  <c r="H35" i="2"/>
  <c r="H38" i="2" s="1"/>
  <c r="H40" i="2" s="1"/>
  <c r="V9" i="2"/>
  <c r="V31" i="2"/>
  <c r="J10" i="2"/>
  <c r="J24" i="2" s="1"/>
  <c r="I22" i="2"/>
  <c r="I28" i="2" s="1"/>
  <c r="U15" i="2"/>
  <c r="T18" i="2"/>
  <c r="J8" i="2"/>
  <c r="T37" i="2" l="1"/>
  <c r="H44" i="2"/>
  <c r="H45" i="2" s="1"/>
  <c r="H27" i="2"/>
  <c r="R36" i="3"/>
  <c r="R37" i="3"/>
  <c r="T16" i="3"/>
  <c r="S35" i="3"/>
  <c r="X10" i="3"/>
  <c r="G72" i="2"/>
  <c r="I25" i="2"/>
  <c r="I34" i="2" s="1"/>
  <c r="J19" i="2"/>
  <c r="J20" i="2" s="1"/>
  <c r="K17" i="2" s="1"/>
  <c r="V36" i="2"/>
  <c r="I16" i="2"/>
  <c r="W9" i="2"/>
  <c r="W31" i="2"/>
  <c r="V15" i="2"/>
  <c r="U18" i="2"/>
  <c r="J11" i="2"/>
  <c r="J43" i="2" s="1"/>
  <c r="U37" i="2" l="1"/>
  <c r="H46" i="2"/>
  <c r="H52" i="2"/>
  <c r="H48" i="2"/>
  <c r="H51" i="2" s="1"/>
  <c r="H56" i="2" s="1"/>
  <c r="H69" i="2" s="1"/>
  <c r="H77" i="2" s="1"/>
  <c r="R38" i="3"/>
  <c r="Q65" i="2" s="1"/>
  <c r="Q68" i="2" s="1"/>
  <c r="S36" i="3"/>
  <c r="S37" i="3"/>
  <c r="Y10" i="3"/>
  <c r="U16" i="3"/>
  <c r="T35" i="3"/>
  <c r="G73" i="2"/>
  <c r="G74" i="2" s="1"/>
  <c r="W36" i="2"/>
  <c r="I26" i="2"/>
  <c r="J23" i="2"/>
  <c r="J21" i="2"/>
  <c r="K19" i="2"/>
  <c r="K20" i="2" s="1"/>
  <c r="L17" i="2" s="1"/>
  <c r="I35" i="2"/>
  <c r="X9" i="2"/>
  <c r="X31" i="2"/>
  <c r="K10" i="2"/>
  <c r="K24" i="2" s="1"/>
  <c r="J22" i="2"/>
  <c r="J28" i="2" s="1"/>
  <c r="W15" i="2"/>
  <c r="V18" i="2"/>
  <c r="K8" i="2"/>
  <c r="V37" i="2" l="1"/>
  <c r="S38" i="3"/>
  <c r="R65" i="2" s="1"/>
  <c r="R68" i="2" s="1"/>
  <c r="I44" i="2"/>
  <c r="I45" i="2" s="1"/>
  <c r="I27" i="2"/>
  <c r="T36" i="3"/>
  <c r="T38" i="3" s="1"/>
  <c r="S65" i="2" s="1"/>
  <c r="S68" i="2" s="1"/>
  <c r="T37" i="3"/>
  <c r="V16" i="3"/>
  <c r="U35" i="3"/>
  <c r="Z10" i="3"/>
  <c r="H72" i="2"/>
  <c r="J16" i="2"/>
  <c r="J25" i="2"/>
  <c r="J34" i="2" s="1"/>
  <c r="I38" i="2"/>
  <c r="I40" i="2" s="1"/>
  <c r="X36" i="2"/>
  <c r="Y9" i="2"/>
  <c r="Y31" i="2"/>
  <c r="X15" i="2"/>
  <c r="W18" i="2"/>
  <c r="K11" i="2"/>
  <c r="K43" i="2" s="1"/>
  <c r="W37" i="2" l="1"/>
  <c r="I46" i="2"/>
  <c r="I52" i="2"/>
  <c r="I48" i="2"/>
  <c r="I51" i="2" s="1"/>
  <c r="U36" i="3"/>
  <c r="U37" i="3"/>
  <c r="U38" i="3" s="1"/>
  <c r="T65" i="2" s="1"/>
  <c r="T68" i="2" s="1"/>
  <c r="AA10" i="3"/>
  <c r="W16" i="3"/>
  <c r="V35" i="3"/>
  <c r="H73" i="2"/>
  <c r="H74" i="2" s="1"/>
  <c r="Y36" i="2"/>
  <c r="J26" i="2"/>
  <c r="K23" i="2"/>
  <c r="K21" i="2"/>
  <c r="L19" i="2"/>
  <c r="L20" i="2" s="1"/>
  <c r="M17" i="2" s="1"/>
  <c r="J35" i="2"/>
  <c r="Z9" i="2"/>
  <c r="Z31" i="2"/>
  <c r="L10" i="2"/>
  <c r="L24" i="2" s="1"/>
  <c r="K22" i="2"/>
  <c r="K28" i="2" s="1"/>
  <c r="Y15" i="2"/>
  <c r="X18" i="2"/>
  <c r="L8" i="2"/>
  <c r="X37" i="2" l="1"/>
  <c r="I56" i="2"/>
  <c r="I69" i="2" s="1"/>
  <c r="I77" i="2" s="1"/>
  <c r="J44" i="2"/>
  <c r="J45" i="2" s="1"/>
  <c r="J27" i="2"/>
  <c r="V36" i="3"/>
  <c r="V37" i="3"/>
  <c r="X16" i="3"/>
  <c r="W35" i="3"/>
  <c r="AB10" i="3"/>
  <c r="K25" i="2"/>
  <c r="K34" i="2" s="1"/>
  <c r="J38" i="2"/>
  <c r="J40" i="2" s="1"/>
  <c r="Z36" i="2"/>
  <c r="K16" i="2"/>
  <c r="AA9" i="2"/>
  <c r="AA31" i="2"/>
  <c r="Z15" i="2"/>
  <c r="Y18" i="2"/>
  <c r="L11" i="2"/>
  <c r="L43" i="2" s="1"/>
  <c r="Y37" i="2" l="1"/>
  <c r="J48" i="2"/>
  <c r="J51" i="2" s="1"/>
  <c r="H47" i="2"/>
  <c r="V38" i="3"/>
  <c r="U65" i="2" s="1"/>
  <c r="U68" i="2" s="1"/>
  <c r="I72" i="2"/>
  <c r="I73" i="2" s="1"/>
  <c r="I74" i="2" s="1"/>
  <c r="J46" i="2"/>
  <c r="J52" i="2"/>
  <c r="J56" i="2" s="1"/>
  <c r="J69" i="2" s="1"/>
  <c r="W36" i="3"/>
  <c r="W37" i="3"/>
  <c r="W38" i="3" s="1"/>
  <c r="V65" i="2" s="1"/>
  <c r="V68" i="2" s="1"/>
  <c r="AC10" i="3"/>
  <c r="Y16" i="3"/>
  <c r="X35" i="3"/>
  <c r="AA36" i="2"/>
  <c r="K26" i="2"/>
  <c r="L21" i="2"/>
  <c r="L23" i="2"/>
  <c r="M19" i="2"/>
  <c r="M20" i="2" s="1"/>
  <c r="N17" i="2" s="1"/>
  <c r="K35" i="2"/>
  <c r="AB9" i="2"/>
  <c r="AB31" i="2"/>
  <c r="M10" i="2"/>
  <c r="M24" i="2" s="1"/>
  <c r="L22" i="2"/>
  <c r="L28" i="2" s="1"/>
  <c r="Z18" i="2"/>
  <c r="AA15" i="2"/>
  <c r="M8" i="2"/>
  <c r="Z37" i="2" l="1"/>
  <c r="J77" i="2"/>
  <c r="H78" i="2" s="1"/>
  <c r="J72" i="2"/>
  <c r="J73" i="2" s="1"/>
  <c r="J74" i="2" s="1"/>
  <c r="K44" i="2"/>
  <c r="K45" i="2" s="1"/>
  <c r="K27" i="2"/>
  <c r="X36" i="3"/>
  <c r="X37" i="3"/>
  <c r="X38" i="3" s="1"/>
  <c r="W65" i="2" s="1"/>
  <c r="W68" i="2" s="1"/>
  <c r="Z16" i="3"/>
  <c r="Y35" i="3"/>
  <c r="AD10" i="3"/>
  <c r="AB36" i="2"/>
  <c r="L25" i="2"/>
  <c r="L34" i="2" s="1"/>
  <c r="K38" i="2"/>
  <c r="K40" i="2" s="1"/>
  <c r="L16" i="2"/>
  <c r="AC9" i="2"/>
  <c r="AC31" i="2"/>
  <c r="AB15" i="2"/>
  <c r="AA18" i="2"/>
  <c r="M11" i="2"/>
  <c r="M43" i="2" s="1"/>
  <c r="AA37" i="2" l="1"/>
  <c r="K48" i="2"/>
  <c r="K51" i="2" s="1"/>
  <c r="K46" i="2"/>
  <c r="K52" i="2"/>
  <c r="Y36" i="3"/>
  <c r="Y37" i="3"/>
  <c r="Y38" i="3" s="1"/>
  <c r="X65" i="2" s="1"/>
  <c r="X68" i="2" s="1"/>
  <c r="AE10" i="3"/>
  <c r="AA16" i="3"/>
  <c r="Z35" i="3"/>
  <c r="AC36" i="2"/>
  <c r="L26" i="2"/>
  <c r="M23" i="2"/>
  <c r="M21" i="2"/>
  <c r="N19" i="2"/>
  <c r="N20" i="2" s="1"/>
  <c r="O17" i="2" s="1"/>
  <c r="L35" i="2"/>
  <c r="AD9" i="2"/>
  <c r="AD31" i="2"/>
  <c r="N10" i="2"/>
  <c r="N24" i="2" s="1"/>
  <c r="M22" i="2"/>
  <c r="M28" i="2" s="1"/>
  <c r="AB18" i="2"/>
  <c r="AC15" i="2"/>
  <c r="N8" i="2"/>
  <c r="AB37" i="2" l="1"/>
  <c r="K56" i="2"/>
  <c r="K69" i="2" s="1"/>
  <c r="K77" i="2"/>
  <c r="K72" i="2"/>
  <c r="K73" i="2" s="1"/>
  <c r="K74" i="2" s="1"/>
  <c r="L44" i="2"/>
  <c r="L45" i="2" s="1"/>
  <c r="L27" i="2"/>
  <c r="Z36" i="3"/>
  <c r="Z37" i="3"/>
  <c r="Z38" i="3" s="1"/>
  <c r="Y65" i="2" s="1"/>
  <c r="Y68" i="2" s="1"/>
  <c r="AB16" i="3"/>
  <c r="AA35" i="3"/>
  <c r="AF10" i="3"/>
  <c r="AD36" i="2"/>
  <c r="M16" i="2"/>
  <c r="M25" i="2"/>
  <c r="M34" i="2" s="1"/>
  <c r="L38" i="2"/>
  <c r="L40" i="2" s="1"/>
  <c r="AE9" i="2"/>
  <c r="AE31" i="2"/>
  <c r="AC18" i="2"/>
  <c r="AD15" i="2"/>
  <c r="N11" i="2"/>
  <c r="N43" i="2" s="1"/>
  <c r="AC37" i="2" l="1"/>
  <c r="L46" i="2"/>
  <c r="L52" i="2"/>
  <c r="L48" i="2"/>
  <c r="L51" i="2" s="1"/>
  <c r="AA36" i="3"/>
  <c r="AA37" i="3"/>
  <c r="AG10" i="3"/>
  <c r="AC16" i="3"/>
  <c r="AB35" i="3"/>
  <c r="AE36" i="2"/>
  <c r="M26" i="2"/>
  <c r="N23" i="2"/>
  <c r="N21" i="2"/>
  <c r="O19" i="2"/>
  <c r="O20" i="2" s="1"/>
  <c r="P17" i="2" s="1"/>
  <c r="M35" i="2"/>
  <c r="AF9" i="2"/>
  <c r="AF31" i="2"/>
  <c r="O10" i="2"/>
  <c r="O24" i="2" s="1"/>
  <c r="N22" i="2"/>
  <c r="N28" i="2" s="1"/>
  <c r="AD18" i="2"/>
  <c r="AE15" i="2"/>
  <c r="O8" i="2"/>
  <c r="AD37" i="2" l="1"/>
  <c r="L56" i="2"/>
  <c r="L69" i="2" s="1"/>
  <c r="L72" i="2" s="1"/>
  <c r="L73" i="2" s="1"/>
  <c r="L74" i="2" s="1"/>
  <c r="M44" i="2"/>
  <c r="M45" i="2" s="1"/>
  <c r="M27" i="2"/>
  <c r="AA38" i="3"/>
  <c r="Z65" i="2" s="1"/>
  <c r="Z68" i="2" s="1"/>
  <c r="AB36" i="3"/>
  <c r="AB37" i="3"/>
  <c r="AD16" i="3"/>
  <c r="AC35" i="3"/>
  <c r="AH10" i="3"/>
  <c r="N25" i="2"/>
  <c r="N34" i="2" s="1"/>
  <c r="M38" i="2"/>
  <c r="M40" i="2" s="1"/>
  <c r="AF36" i="2"/>
  <c r="N16" i="2"/>
  <c r="AG9" i="2"/>
  <c r="AG31" i="2"/>
  <c r="AF15" i="2"/>
  <c r="AE18" i="2"/>
  <c r="O11" i="2"/>
  <c r="O43" i="2" s="1"/>
  <c r="AE37" i="2" l="1"/>
  <c r="M48" i="2"/>
  <c r="M51" i="2" s="1"/>
  <c r="K47" i="2"/>
  <c r="L77" i="2"/>
  <c r="M46" i="2"/>
  <c r="M52" i="2"/>
  <c r="M56" i="2" s="1"/>
  <c r="M69" i="2" s="1"/>
  <c r="AB38" i="3"/>
  <c r="AA65" i="2" s="1"/>
  <c r="AA68" i="2" s="1"/>
  <c r="AC36" i="3"/>
  <c r="AC37" i="3"/>
  <c r="AC38" i="3" s="1"/>
  <c r="AB65" i="2" s="1"/>
  <c r="AB68" i="2" s="1"/>
  <c r="AI10" i="3"/>
  <c r="AE16" i="3"/>
  <c r="AD35" i="3"/>
  <c r="AG36" i="2"/>
  <c r="N26" i="2"/>
  <c r="O23" i="2"/>
  <c r="O21" i="2"/>
  <c r="P19" i="2"/>
  <c r="P20" i="2" s="1"/>
  <c r="Q17" i="2" s="1"/>
  <c r="N35" i="2"/>
  <c r="AH9" i="2"/>
  <c r="AH31" i="2"/>
  <c r="P10" i="2"/>
  <c r="P24" i="2" s="1"/>
  <c r="O22" i="2"/>
  <c r="O28" i="2" s="1"/>
  <c r="AG15" i="2"/>
  <c r="AF18" i="2"/>
  <c r="P8" i="2"/>
  <c r="AF37" i="2" l="1"/>
  <c r="M72" i="2"/>
  <c r="M73" i="2" s="1"/>
  <c r="M74" i="2" s="1"/>
  <c r="M77" i="2"/>
  <c r="K78" i="2" s="1"/>
  <c r="N44" i="2"/>
  <c r="N45" i="2" s="1"/>
  <c r="N27" i="2"/>
  <c r="AD36" i="3"/>
  <c r="AD37" i="3"/>
  <c r="AF16" i="3"/>
  <c r="AE35" i="3"/>
  <c r="AJ10" i="3"/>
  <c r="O25" i="2"/>
  <c r="O34" i="2" s="1"/>
  <c r="N38" i="2"/>
  <c r="N40" i="2" s="1"/>
  <c r="AH36" i="2"/>
  <c r="O16" i="2"/>
  <c r="AI9" i="2"/>
  <c r="AI31" i="2"/>
  <c r="AG18" i="2"/>
  <c r="AH15" i="2"/>
  <c r="P11" i="2"/>
  <c r="P43" i="2" s="1"/>
  <c r="AG37" i="2" l="1"/>
  <c r="N46" i="2"/>
  <c r="N52" i="2"/>
  <c r="N48" i="2"/>
  <c r="N51" i="2" s="1"/>
  <c r="AD38" i="3"/>
  <c r="AC65" i="2" s="1"/>
  <c r="AC68" i="2" s="1"/>
  <c r="AE36" i="3"/>
  <c r="AE37" i="3"/>
  <c r="AK10" i="3"/>
  <c r="AG16" i="3"/>
  <c r="AF35" i="3"/>
  <c r="AI36" i="2"/>
  <c r="O26" i="2"/>
  <c r="P23" i="2"/>
  <c r="P21" i="2"/>
  <c r="Q19" i="2"/>
  <c r="Q20" i="2" s="1"/>
  <c r="R17" i="2" s="1"/>
  <c r="O35" i="2"/>
  <c r="AJ9" i="2"/>
  <c r="AJ31" i="2"/>
  <c r="Q10" i="2"/>
  <c r="Q24" i="2" s="1"/>
  <c r="P22" i="2"/>
  <c r="P28" i="2" s="1"/>
  <c r="AI15" i="2"/>
  <c r="AH18" i="2"/>
  <c r="Q8" i="2"/>
  <c r="AH37" i="2" l="1"/>
  <c r="N56" i="2"/>
  <c r="N69" i="2" s="1"/>
  <c r="N77" i="2" s="1"/>
  <c r="O44" i="2"/>
  <c r="O45" i="2" s="1"/>
  <c r="O27" i="2"/>
  <c r="AE38" i="3"/>
  <c r="AD65" i="2" s="1"/>
  <c r="AD68" i="2" s="1"/>
  <c r="AF36" i="3"/>
  <c r="AF37" i="3"/>
  <c r="AH16" i="3"/>
  <c r="AG35" i="3"/>
  <c r="AL10" i="3"/>
  <c r="P25" i="2"/>
  <c r="P34" i="2" s="1"/>
  <c r="O38" i="2"/>
  <c r="O40" i="2" s="1"/>
  <c r="AJ36" i="2"/>
  <c r="P16" i="2"/>
  <c r="AK9" i="2"/>
  <c r="AK31" i="2"/>
  <c r="AI18" i="2"/>
  <c r="AJ15" i="2"/>
  <c r="Q11" i="2"/>
  <c r="Q43" i="2" s="1"/>
  <c r="AI37" i="2" l="1"/>
  <c r="O48" i="2"/>
  <c r="O51" i="2" s="1"/>
  <c r="N72" i="2"/>
  <c r="N73" i="2" s="1"/>
  <c r="N74" i="2" s="1"/>
  <c r="O46" i="2"/>
  <c r="O52" i="2"/>
  <c r="O56" i="2" s="1"/>
  <c r="O69" i="2" s="1"/>
  <c r="AF38" i="3"/>
  <c r="AE65" i="2" s="1"/>
  <c r="AE68" i="2" s="1"/>
  <c r="AG36" i="3"/>
  <c r="AG37" i="3"/>
  <c r="AM10" i="3"/>
  <c r="AI16" i="3"/>
  <c r="AH35" i="3"/>
  <c r="AK36" i="2"/>
  <c r="P26" i="2"/>
  <c r="Q23" i="2"/>
  <c r="Q21" i="2"/>
  <c r="R19" i="2"/>
  <c r="R20" i="2" s="1"/>
  <c r="S17" i="2" s="1"/>
  <c r="P35" i="2"/>
  <c r="AL9" i="2"/>
  <c r="AL31" i="2"/>
  <c r="R10" i="2"/>
  <c r="R24" i="2" s="1"/>
  <c r="Q22" i="2"/>
  <c r="Q28" i="2" s="1"/>
  <c r="AK15" i="2"/>
  <c r="AJ18" i="2"/>
  <c r="R8" i="2"/>
  <c r="AJ37" i="2" l="1"/>
  <c r="AG38" i="3"/>
  <c r="AF65" i="2" s="1"/>
  <c r="AF68" i="2" s="1"/>
  <c r="O72" i="2"/>
  <c r="O73" i="2" s="1"/>
  <c r="O74" i="2" s="1"/>
  <c r="O77" i="2"/>
  <c r="P44" i="2"/>
  <c r="P45" i="2" s="1"/>
  <c r="N47" i="2" s="1"/>
  <c r="P27" i="2"/>
  <c r="AH36" i="3"/>
  <c r="AH37" i="3"/>
  <c r="AH38" i="3"/>
  <c r="AG65" i="2" s="1"/>
  <c r="AG68" i="2" s="1"/>
  <c r="AJ16" i="3"/>
  <c r="AI35" i="3"/>
  <c r="Q25" i="2"/>
  <c r="Q34" i="2" s="1"/>
  <c r="P38" i="2"/>
  <c r="P40" i="2" s="1"/>
  <c r="AL36" i="2"/>
  <c r="AP9" i="2"/>
  <c r="Q16" i="2"/>
  <c r="AP31" i="2"/>
  <c r="AK18" i="2"/>
  <c r="AL15" i="2"/>
  <c r="AL18" i="2" s="1"/>
  <c r="R11" i="2"/>
  <c r="R43" i="2" s="1"/>
  <c r="AL37" i="2" l="1"/>
  <c r="AK37" i="2"/>
  <c r="P46" i="2"/>
  <c r="P52" i="2"/>
  <c r="P48" i="2"/>
  <c r="P51" i="2" s="1"/>
  <c r="P56" i="2" s="1"/>
  <c r="P69" i="2" s="1"/>
  <c r="P72" i="2" s="1"/>
  <c r="P73" i="2" s="1"/>
  <c r="AI36" i="3"/>
  <c r="AI37" i="3"/>
  <c r="AK16" i="3"/>
  <c r="AJ35" i="3"/>
  <c r="Q26" i="2"/>
  <c r="R23" i="2"/>
  <c r="R21" i="2"/>
  <c r="AP18" i="2"/>
  <c r="Q35" i="2"/>
  <c r="S10" i="2"/>
  <c r="S24" i="2" s="1"/>
  <c r="R22" i="2"/>
  <c r="R28" i="2" s="1"/>
  <c r="S8" i="2"/>
  <c r="P77" i="2" l="1"/>
  <c r="N78" i="2" s="1"/>
  <c r="Q44" i="2"/>
  <c r="Q45" i="2" s="1"/>
  <c r="Q27" i="2"/>
  <c r="AI38" i="3"/>
  <c r="AH65" i="2" s="1"/>
  <c r="AH68" i="2" s="1"/>
  <c r="AJ36" i="3"/>
  <c r="AJ37" i="3"/>
  <c r="P74" i="2"/>
  <c r="AL16" i="3"/>
  <c r="AK35" i="3"/>
  <c r="R25" i="2"/>
  <c r="R34" i="2" s="1"/>
  <c r="Q38" i="2"/>
  <c r="Q40" i="2" s="1"/>
  <c r="R16" i="2"/>
  <c r="S19" i="2"/>
  <c r="S20" i="2" s="1"/>
  <c r="T17" i="2" s="1"/>
  <c r="S11" i="2"/>
  <c r="S43" i="2" s="1"/>
  <c r="Q48" i="2" l="1"/>
  <c r="Q51" i="2" s="1"/>
  <c r="Q46" i="2"/>
  <c r="Q52" i="2"/>
  <c r="Q56" i="2" s="1"/>
  <c r="Q69" i="2" s="1"/>
  <c r="AJ38" i="3"/>
  <c r="AI65" i="2" s="1"/>
  <c r="AI68" i="2" s="1"/>
  <c r="AK36" i="3"/>
  <c r="AK37" i="3"/>
  <c r="AM16" i="3"/>
  <c r="AM35" i="3" s="1"/>
  <c r="AL35" i="3"/>
  <c r="R26" i="2"/>
  <c r="S21" i="2"/>
  <c r="S23" i="2"/>
  <c r="T19" i="2"/>
  <c r="T20" i="2" s="1"/>
  <c r="U17" i="2" s="1"/>
  <c r="R35" i="2"/>
  <c r="R38" i="2" s="1"/>
  <c r="R40" i="2" s="1"/>
  <c r="T10" i="2"/>
  <c r="T24" i="2" s="1"/>
  <c r="S22" i="2"/>
  <c r="S28" i="2" s="1"/>
  <c r="T8" i="2"/>
  <c r="Q72" i="2" l="1"/>
  <c r="Q73" i="2" s="1"/>
  <c r="Q77" i="2"/>
  <c r="R44" i="2"/>
  <c r="R45" i="2" s="1"/>
  <c r="R27" i="2"/>
  <c r="AK38" i="3"/>
  <c r="AJ65" i="2" s="1"/>
  <c r="AJ68" i="2" s="1"/>
  <c r="AL36" i="3"/>
  <c r="AL37" i="3"/>
  <c r="AM36" i="3"/>
  <c r="AM37" i="3"/>
  <c r="S25" i="2"/>
  <c r="S34" i="2" s="1"/>
  <c r="S16" i="2"/>
  <c r="T11" i="2"/>
  <c r="T43" i="2" s="1"/>
  <c r="Q74" i="2" l="1"/>
  <c r="R46" i="2"/>
  <c r="R52" i="2"/>
  <c r="R48" i="2"/>
  <c r="R51" i="2" s="1"/>
  <c r="AL38" i="3"/>
  <c r="AK65" i="2" s="1"/>
  <c r="AK68" i="2" s="1"/>
  <c r="AM38" i="3"/>
  <c r="AL65" i="2" s="1"/>
  <c r="S26" i="2"/>
  <c r="T23" i="2"/>
  <c r="T21" i="2"/>
  <c r="S35" i="2"/>
  <c r="U10" i="2"/>
  <c r="U24" i="2" s="1"/>
  <c r="T22" i="2"/>
  <c r="T28" i="2" s="1"/>
  <c r="U8" i="2"/>
  <c r="AL68" i="2" l="1"/>
  <c r="AP68" i="2" s="1"/>
  <c r="AP65" i="2"/>
  <c r="R56" i="2"/>
  <c r="R69" i="2" s="1"/>
  <c r="R72" i="2" s="1"/>
  <c r="R73" i="2" s="1"/>
  <c r="S44" i="2"/>
  <c r="S45" i="2" s="1"/>
  <c r="Q47" i="2" s="1"/>
  <c r="S27" i="2"/>
  <c r="T25" i="2"/>
  <c r="T34" i="2" s="1"/>
  <c r="S38" i="2"/>
  <c r="S40" i="2" s="1"/>
  <c r="T16" i="2"/>
  <c r="U19" i="2"/>
  <c r="U20" i="2" s="1"/>
  <c r="V17" i="2" s="1"/>
  <c r="U11" i="2"/>
  <c r="U43" i="2" s="1"/>
  <c r="R74" i="2" l="1"/>
  <c r="R77" i="2"/>
  <c r="S46" i="2"/>
  <c r="S52" i="2"/>
  <c r="S48" i="2"/>
  <c r="S51" i="2" s="1"/>
  <c r="T26" i="2"/>
  <c r="U21" i="2"/>
  <c r="U23" i="2"/>
  <c r="V19" i="2"/>
  <c r="V20" i="2" s="1"/>
  <c r="W17" i="2" s="1"/>
  <c r="T35" i="2"/>
  <c r="V10" i="2"/>
  <c r="V24" i="2" s="1"/>
  <c r="U22" i="2"/>
  <c r="U28" i="2" s="1"/>
  <c r="V8" i="2"/>
  <c r="S56" i="2" l="1"/>
  <c r="S69" i="2" s="1"/>
  <c r="S77" i="2" s="1"/>
  <c r="B79" i="2" s="1"/>
  <c r="T44" i="2"/>
  <c r="T45" i="2" s="1"/>
  <c r="T27" i="2"/>
  <c r="U25" i="2"/>
  <c r="U34" i="2" s="1"/>
  <c r="T38" i="2"/>
  <c r="T40" i="2" s="1"/>
  <c r="U16" i="2"/>
  <c r="V11" i="2"/>
  <c r="V43" i="2" s="1"/>
  <c r="Q78" i="2" l="1"/>
  <c r="T48" i="2"/>
  <c r="T51" i="2" s="1"/>
  <c r="S72" i="2"/>
  <c r="S73" i="2" s="1"/>
  <c r="S74" i="2" s="1"/>
  <c r="T46" i="2"/>
  <c r="T52" i="2"/>
  <c r="T56" i="2" s="1"/>
  <c r="T69" i="2" s="1"/>
  <c r="U26" i="2"/>
  <c r="V23" i="2"/>
  <c r="V21" i="2"/>
  <c r="W19" i="2"/>
  <c r="W20" i="2" s="1"/>
  <c r="X17" i="2" s="1"/>
  <c r="U35" i="2"/>
  <c r="W10" i="2"/>
  <c r="W24" i="2" s="1"/>
  <c r="V22" i="2"/>
  <c r="V28" i="2" s="1"/>
  <c r="W8" i="2"/>
  <c r="T72" i="2" l="1"/>
  <c r="T73" i="2" s="1"/>
  <c r="T74" i="2" s="1"/>
  <c r="T77" i="2"/>
  <c r="U44" i="2"/>
  <c r="U45" i="2" s="1"/>
  <c r="U27" i="2"/>
  <c r="V16" i="2"/>
  <c r="V25" i="2"/>
  <c r="V34" i="2" s="1"/>
  <c r="U38" i="2"/>
  <c r="U40" i="2" s="1"/>
  <c r="W11" i="2"/>
  <c r="W43" i="2" s="1"/>
  <c r="U48" i="2" l="1"/>
  <c r="U51" i="2" s="1"/>
  <c r="U46" i="2"/>
  <c r="U52" i="2"/>
  <c r="V26" i="2"/>
  <c r="W23" i="2"/>
  <c r="W21" i="2"/>
  <c r="V35" i="2"/>
  <c r="X10" i="2"/>
  <c r="X24" i="2" s="1"/>
  <c r="W22" i="2"/>
  <c r="W28" i="2" s="1"/>
  <c r="X8" i="2"/>
  <c r="U56" i="2" l="1"/>
  <c r="U69" i="2" s="1"/>
  <c r="U72" i="2"/>
  <c r="U73" i="2" s="1"/>
  <c r="U74" i="2" s="1"/>
  <c r="U77" i="2"/>
  <c r="V44" i="2"/>
  <c r="V45" i="2" s="1"/>
  <c r="V27" i="2"/>
  <c r="W25" i="2"/>
  <c r="W34" i="2" s="1"/>
  <c r="V38" i="2"/>
  <c r="V40" i="2" s="1"/>
  <c r="W16" i="2"/>
  <c r="X19" i="2"/>
  <c r="X20" i="2" s="1"/>
  <c r="Y17" i="2" s="1"/>
  <c r="X11" i="2"/>
  <c r="X43" i="2" s="1"/>
  <c r="V48" i="2" l="1"/>
  <c r="V51" i="2" s="1"/>
  <c r="T47" i="2"/>
  <c r="V46" i="2"/>
  <c r="V52" i="2"/>
  <c r="V56" i="2" s="1"/>
  <c r="V69" i="2" s="1"/>
  <c r="W26" i="2"/>
  <c r="X21" i="2"/>
  <c r="X23" i="2"/>
  <c r="Y19" i="2"/>
  <c r="Y20" i="2" s="1"/>
  <c r="Z17" i="2" s="1"/>
  <c r="W35" i="2"/>
  <c r="Y10" i="2"/>
  <c r="Y24" i="2" s="1"/>
  <c r="X22" i="2"/>
  <c r="X28" i="2" s="1"/>
  <c r="Y8" i="2"/>
  <c r="V72" i="2" l="1"/>
  <c r="V73" i="2" s="1"/>
  <c r="V74" i="2" s="1"/>
  <c r="V77" i="2"/>
  <c r="T78" i="2" s="1"/>
  <c r="W44" i="2"/>
  <c r="W45" i="2" s="1"/>
  <c r="W27" i="2"/>
  <c r="X25" i="2"/>
  <c r="X34" i="2" s="1"/>
  <c r="W38" i="2"/>
  <c r="W40" i="2" s="1"/>
  <c r="X16" i="2"/>
  <c r="Y11" i="2"/>
  <c r="Y43" i="2" s="1"/>
  <c r="W46" i="2" l="1"/>
  <c r="W52" i="2"/>
  <c r="W48" i="2"/>
  <c r="W51" i="2" s="1"/>
  <c r="X26" i="2"/>
  <c r="Y23" i="2"/>
  <c r="Y21" i="2"/>
  <c r="X35" i="2"/>
  <c r="Z10" i="2"/>
  <c r="Z24" i="2" s="1"/>
  <c r="Y22" i="2"/>
  <c r="Y28" i="2" s="1"/>
  <c r="Z8" i="2"/>
  <c r="W56" i="2" l="1"/>
  <c r="W69" i="2" s="1"/>
  <c r="W72" i="2" s="1"/>
  <c r="W73" i="2" s="1"/>
  <c r="W74" i="2" s="1"/>
  <c r="X44" i="2"/>
  <c r="X45" i="2" s="1"/>
  <c r="X27" i="2"/>
  <c r="Y25" i="2"/>
  <c r="Y34" i="2" s="1"/>
  <c r="X38" i="2"/>
  <c r="X40" i="2" s="1"/>
  <c r="Y16" i="2"/>
  <c r="Z19" i="2"/>
  <c r="Z20" i="2" s="1"/>
  <c r="AA17" i="2" s="1"/>
  <c r="Z11" i="2"/>
  <c r="Z43" i="2" s="1"/>
  <c r="W77" i="2" l="1"/>
  <c r="X46" i="2"/>
  <c r="X52" i="2"/>
  <c r="X48" i="2"/>
  <c r="X51" i="2" s="1"/>
  <c r="Y26" i="2"/>
  <c r="Z23" i="2"/>
  <c r="Z21" i="2"/>
  <c r="AA19" i="2"/>
  <c r="AA20" i="2" s="1"/>
  <c r="AB17" i="2" s="1"/>
  <c r="Y35" i="2"/>
  <c r="AA10" i="2"/>
  <c r="AA24" i="2" s="1"/>
  <c r="Z22" i="2"/>
  <c r="Z28" i="2" s="1"/>
  <c r="AA8" i="2"/>
  <c r="X56" i="2" l="1"/>
  <c r="X69" i="2" s="1"/>
  <c r="X72" i="2" s="1"/>
  <c r="X73" i="2" s="1"/>
  <c r="X74" i="2" s="1"/>
  <c r="Y44" i="2"/>
  <c r="Y45" i="2" s="1"/>
  <c r="W47" i="2" s="1"/>
  <c r="Y27" i="2"/>
  <c r="Z25" i="2"/>
  <c r="Z34" i="2" s="1"/>
  <c r="Y38" i="2"/>
  <c r="Y40" i="2" s="1"/>
  <c r="Z16" i="2"/>
  <c r="AA11" i="2"/>
  <c r="AA43" i="2" s="1"/>
  <c r="X77" i="2" l="1"/>
  <c r="Y46" i="2"/>
  <c r="Y52" i="2"/>
  <c r="Y48" i="2"/>
  <c r="Y51" i="2" s="1"/>
  <c r="Z26" i="2"/>
  <c r="AA23" i="2"/>
  <c r="AA21" i="2"/>
  <c r="Z35" i="2"/>
  <c r="AB10" i="2"/>
  <c r="AB24" i="2" s="1"/>
  <c r="AA22" i="2"/>
  <c r="AA28" i="2" s="1"/>
  <c r="AB8" i="2"/>
  <c r="Y56" i="2" l="1"/>
  <c r="Y69" i="2" s="1"/>
  <c r="Y72" i="2" s="1"/>
  <c r="Y73" i="2" s="1"/>
  <c r="Y74" i="2" s="1"/>
  <c r="Z44" i="2"/>
  <c r="Z45" i="2" s="1"/>
  <c r="Z27" i="2"/>
  <c r="AA25" i="2"/>
  <c r="AA34" i="2" s="1"/>
  <c r="Z38" i="2"/>
  <c r="Z40" i="2" s="1"/>
  <c r="AA16" i="2"/>
  <c r="AB19" i="2"/>
  <c r="AB20" i="2" s="1"/>
  <c r="AC17" i="2" s="1"/>
  <c r="AB11" i="2"/>
  <c r="AB43" i="2" s="1"/>
  <c r="Y77" i="2" l="1"/>
  <c r="W78" i="2" s="1"/>
  <c r="Z46" i="2"/>
  <c r="Z52" i="2"/>
  <c r="Z48" i="2"/>
  <c r="Z51" i="2" s="1"/>
  <c r="AA26" i="2"/>
  <c r="AB23" i="2"/>
  <c r="AB21" i="2"/>
  <c r="AC19" i="2"/>
  <c r="AC20" i="2" s="1"/>
  <c r="AD17" i="2" s="1"/>
  <c r="AA35" i="2"/>
  <c r="AC10" i="2"/>
  <c r="AC24" i="2" s="1"/>
  <c r="AB22" i="2"/>
  <c r="AB28" i="2" s="1"/>
  <c r="AC8" i="2"/>
  <c r="Z56" i="2" l="1"/>
  <c r="Z69" i="2" s="1"/>
  <c r="Z72" i="2" s="1"/>
  <c r="Z73" i="2" s="1"/>
  <c r="Z74" i="2" s="1"/>
  <c r="AA44" i="2"/>
  <c r="AA45" i="2" s="1"/>
  <c r="AA27" i="2"/>
  <c r="AB25" i="2"/>
  <c r="AB34" i="2" s="1"/>
  <c r="AA38" i="2"/>
  <c r="AA40" i="2" s="1"/>
  <c r="AB16" i="2"/>
  <c r="AC11" i="2"/>
  <c r="AC43" i="2" s="1"/>
  <c r="AA48" i="2" l="1"/>
  <c r="AA51" i="2" s="1"/>
  <c r="Z77" i="2"/>
  <c r="AA46" i="2"/>
  <c r="AA52" i="2"/>
  <c r="AA56" i="2" s="1"/>
  <c r="AA69" i="2" s="1"/>
  <c r="AB26" i="2"/>
  <c r="AC23" i="2"/>
  <c r="AC21" i="2"/>
  <c r="AB35" i="2"/>
  <c r="AD10" i="2"/>
  <c r="AD24" i="2" s="1"/>
  <c r="AC22" i="2"/>
  <c r="AC28" i="2" s="1"/>
  <c r="AD8" i="2"/>
  <c r="AA72" i="2" l="1"/>
  <c r="AA73" i="2" s="1"/>
  <c r="AA74" i="2" s="1"/>
  <c r="AA77" i="2"/>
  <c r="AB44" i="2"/>
  <c r="AB45" i="2" s="1"/>
  <c r="AB27" i="2"/>
  <c r="AC25" i="2"/>
  <c r="AC34" i="2" s="1"/>
  <c r="AB38" i="2"/>
  <c r="AB40" i="2" s="1"/>
  <c r="AC16" i="2"/>
  <c r="AD19" i="2"/>
  <c r="AD20" i="2" s="1"/>
  <c r="AE17" i="2" s="1"/>
  <c r="AD11" i="2"/>
  <c r="AD43" i="2" s="1"/>
  <c r="AB48" i="2" l="1"/>
  <c r="AB51" i="2" s="1"/>
  <c r="Z47" i="2"/>
  <c r="AB46" i="2"/>
  <c r="AB52" i="2"/>
  <c r="AB56" i="2" s="1"/>
  <c r="AB69" i="2" s="1"/>
  <c r="AC26" i="2"/>
  <c r="AD23" i="2"/>
  <c r="AD21" i="2"/>
  <c r="AC35" i="2"/>
  <c r="AE10" i="2"/>
  <c r="AE24" i="2" s="1"/>
  <c r="AD22" i="2"/>
  <c r="AD28" i="2" s="1"/>
  <c r="AE8" i="2"/>
  <c r="AB72" i="2" l="1"/>
  <c r="AB73" i="2" s="1"/>
  <c r="AB74" i="2" s="1"/>
  <c r="AB77" i="2"/>
  <c r="Z78" i="2" s="1"/>
  <c r="AC44" i="2"/>
  <c r="AC45" i="2" s="1"/>
  <c r="AC27" i="2"/>
  <c r="AD25" i="2"/>
  <c r="AD34" i="2" s="1"/>
  <c r="AC38" i="2"/>
  <c r="AC40" i="2" s="1"/>
  <c r="AD16" i="2"/>
  <c r="AE19" i="2"/>
  <c r="AE20" i="2" s="1"/>
  <c r="AF17" i="2" s="1"/>
  <c r="AE11" i="2"/>
  <c r="AE43" i="2" s="1"/>
  <c r="AC48" i="2" l="1"/>
  <c r="AC51" i="2" s="1"/>
  <c r="AC46" i="2"/>
  <c r="AC52" i="2"/>
  <c r="AC56" i="2" s="1"/>
  <c r="AC69" i="2" s="1"/>
  <c r="AD26" i="2"/>
  <c r="AE23" i="2"/>
  <c r="AE21" i="2"/>
  <c r="AF19" i="2"/>
  <c r="AF20" i="2" s="1"/>
  <c r="AG17" i="2" s="1"/>
  <c r="AD35" i="2"/>
  <c r="AF10" i="2"/>
  <c r="AF24" i="2" s="1"/>
  <c r="AE22" i="2"/>
  <c r="AE28" i="2" s="1"/>
  <c r="AF8" i="2"/>
  <c r="AC72" i="2" l="1"/>
  <c r="AC73" i="2" s="1"/>
  <c r="AC74" i="2" s="1"/>
  <c r="AC77" i="2"/>
  <c r="AD44" i="2"/>
  <c r="AD45" i="2" s="1"/>
  <c r="AD27" i="2"/>
  <c r="AE25" i="2"/>
  <c r="AE34" i="2" s="1"/>
  <c r="AD38" i="2"/>
  <c r="AD40" i="2" s="1"/>
  <c r="AE16" i="2"/>
  <c r="AF11" i="2"/>
  <c r="AF43" i="2" s="1"/>
  <c r="AD48" i="2" l="1"/>
  <c r="AD51" i="2" s="1"/>
  <c r="AD46" i="2"/>
  <c r="AD52" i="2"/>
  <c r="AD56" i="2" s="1"/>
  <c r="AD69" i="2" s="1"/>
  <c r="AE26" i="2"/>
  <c r="AF21" i="2"/>
  <c r="AF23" i="2"/>
  <c r="AG19" i="2"/>
  <c r="AG20" i="2" s="1"/>
  <c r="AH17" i="2" s="1"/>
  <c r="AE35" i="2"/>
  <c r="AG10" i="2"/>
  <c r="AG24" i="2" s="1"/>
  <c r="AF22" i="2"/>
  <c r="AF28" i="2" s="1"/>
  <c r="AG8" i="2"/>
  <c r="AD72" i="2" l="1"/>
  <c r="AD73" i="2" s="1"/>
  <c r="AD74" i="2" s="1"/>
  <c r="AD77" i="2"/>
  <c r="AE44" i="2"/>
  <c r="AE45" i="2" s="1"/>
  <c r="AC47" i="2" s="1"/>
  <c r="AE27" i="2"/>
  <c r="AF25" i="2"/>
  <c r="AF34" i="2" s="1"/>
  <c r="AE38" i="2"/>
  <c r="AE40" i="2" s="1"/>
  <c r="AF16" i="2"/>
  <c r="AG11" i="2"/>
  <c r="AG43" i="2" s="1"/>
  <c r="AE46" i="2" l="1"/>
  <c r="AE52" i="2"/>
  <c r="AE48" i="2"/>
  <c r="AE51" i="2" s="1"/>
  <c r="AE56" i="2" s="1"/>
  <c r="AE69" i="2" s="1"/>
  <c r="AE72" i="2" s="1"/>
  <c r="AE73" i="2" s="1"/>
  <c r="AF26" i="2"/>
  <c r="AG23" i="2"/>
  <c r="AG21" i="2"/>
  <c r="AF35" i="2"/>
  <c r="AF38" i="2" s="1"/>
  <c r="AF40" i="2" s="1"/>
  <c r="AH10" i="2"/>
  <c r="AH24" i="2" s="1"/>
  <c r="AG22" i="2"/>
  <c r="AG28" i="2" s="1"/>
  <c r="AH8" i="2"/>
  <c r="AE77" i="2" l="1"/>
  <c r="AC78" i="2" s="1"/>
  <c r="AF44" i="2"/>
  <c r="AF45" i="2" s="1"/>
  <c r="AF27" i="2"/>
  <c r="AE74" i="2"/>
  <c r="AG25" i="2"/>
  <c r="AG34" i="2" s="1"/>
  <c r="AG16" i="2"/>
  <c r="AH19" i="2"/>
  <c r="AH20" i="2" s="1"/>
  <c r="AI17" i="2" s="1"/>
  <c r="AH11" i="2"/>
  <c r="AH43" i="2" s="1"/>
  <c r="AF46" i="2" l="1"/>
  <c r="AF52" i="2"/>
  <c r="AF48" i="2"/>
  <c r="AF51" i="2" s="1"/>
  <c r="AG26" i="2"/>
  <c r="AH23" i="2"/>
  <c r="AH21" i="2"/>
  <c r="AG35" i="2"/>
  <c r="AI10" i="2"/>
  <c r="AI24" i="2" s="1"/>
  <c r="AH22" i="2"/>
  <c r="AH28" i="2" s="1"/>
  <c r="AI8" i="2"/>
  <c r="AF56" i="2" l="1"/>
  <c r="AF69" i="2" s="1"/>
  <c r="AF72" i="2" s="1"/>
  <c r="AF73" i="2" s="1"/>
  <c r="AG44" i="2"/>
  <c r="AG45" i="2" s="1"/>
  <c r="AG27" i="2"/>
  <c r="AH25" i="2"/>
  <c r="AH34" i="2" s="1"/>
  <c r="AG38" i="2"/>
  <c r="AG40" i="2" s="1"/>
  <c r="AH16" i="2"/>
  <c r="AI19" i="2"/>
  <c r="AI20" i="2" s="1"/>
  <c r="AJ17" i="2" s="1"/>
  <c r="AI11" i="2"/>
  <c r="AI43" i="2" s="1"/>
  <c r="AG48" i="2" l="1"/>
  <c r="AG51" i="2" s="1"/>
  <c r="AF74" i="2"/>
  <c r="AF77" i="2"/>
  <c r="AG46" i="2"/>
  <c r="AG52" i="2"/>
  <c r="AG56" i="2" s="1"/>
  <c r="AG69" i="2" s="1"/>
  <c r="AH26" i="2"/>
  <c r="AI23" i="2"/>
  <c r="AI21" i="2"/>
  <c r="AJ19" i="2"/>
  <c r="AJ20" i="2" s="1"/>
  <c r="AK17" i="2" s="1"/>
  <c r="AH35" i="2"/>
  <c r="AJ10" i="2"/>
  <c r="AJ24" i="2" s="1"/>
  <c r="AI22" i="2"/>
  <c r="AI28" i="2" s="1"/>
  <c r="AJ8" i="2"/>
  <c r="AG72" i="2" l="1"/>
  <c r="AG73" i="2" s="1"/>
  <c r="AG74" i="2" s="1"/>
  <c r="AG77" i="2"/>
  <c r="AH44" i="2"/>
  <c r="AH45" i="2" s="1"/>
  <c r="AF47" i="2" s="1"/>
  <c r="AH27" i="2"/>
  <c r="AI25" i="2"/>
  <c r="AI34" i="2" s="1"/>
  <c r="AH38" i="2"/>
  <c r="AH40" i="2" s="1"/>
  <c r="AI16" i="2"/>
  <c r="AJ11" i="2"/>
  <c r="AJ43" i="2" s="1"/>
  <c r="AH46" i="2" l="1"/>
  <c r="AH52" i="2"/>
  <c r="AH48" i="2"/>
  <c r="AH51" i="2" s="1"/>
  <c r="AI26" i="2"/>
  <c r="AJ23" i="2"/>
  <c r="AJ21" i="2"/>
  <c r="AK19" i="2"/>
  <c r="AK20" i="2" s="1"/>
  <c r="AL17" i="2" s="1"/>
  <c r="AI35" i="2"/>
  <c r="AI38" i="2" s="1"/>
  <c r="AI40" i="2" s="1"/>
  <c r="AK10" i="2"/>
  <c r="AK24" i="2" s="1"/>
  <c r="AJ22" i="2"/>
  <c r="AJ28" i="2" s="1"/>
  <c r="AK8" i="2"/>
  <c r="AH56" i="2" l="1"/>
  <c r="AH69" i="2" s="1"/>
  <c r="AH72" i="2" s="1"/>
  <c r="AH73" i="2" s="1"/>
  <c r="AI44" i="2"/>
  <c r="AI45" i="2" s="1"/>
  <c r="AI27" i="2"/>
  <c r="AJ25" i="2"/>
  <c r="AJ34" i="2" s="1"/>
  <c r="AJ16" i="2"/>
  <c r="AK11" i="2"/>
  <c r="AK43" i="2" s="1"/>
  <c r="AI48" i="2" l="1"/>
  <c r="AI51" i="2" s="1"/>
  <c r="AH77" i="2"/>
  <c r="AF78" i="2" s="1"/>
  <c r="AH74" i="2"/>
  <c r="AI46" i="2"/>
  <c r="AI52" i="2"/>
  <c r="AI56" i="2" s="1"/>
  <c r="AI69" i="2" s="1"/>
  <c r="AJ26" i="2"/>
  <c r="AK23" i="2"/>
  <c r="AK21" i="2"/>
  <c r="AL19" i="2"/>
  <c r="AL20" i="2" s="1"/>
  <c r="AJ35" i="2"/>
  <c r="AJ38" i="2" s="1"/>
  <c r="AJ40" i="2" s="1"/>
  <c r="AL10" i="2"/>
  <c r="AK22" i="2"/>
  <c r="AK28" i="2" s="1"/>
  <c r="AL8" i="2"/>
  <c r="AI72" i="2" l="1"/>
  <c r="AI73" i="2" s="1"/>
  <c r="AI74" i="2" s="1"/>
  <c r="AI77" i="2"/>
  <c r="AJ44" i="2"/>
  <c r="AJ45" i="2" s="1"/>
  <c r="AJ27" i="2"/>
  <c r="AP10" i="2"/>
  <c r="AL24" i="2"/>
  <c r="AP24" i="2" s="1"/>
  <c r="AK25" i="2"/>
  <c r="AK34" i="2" s="1"/>
  <c r="AK16" i="2"/>
  <c r="AL11" i="2"/>
  <c r="AL43" i="2" s="1"/>
  <c r="AP43" i="2" s="1"/>
  <c r="AJ46" i="2" l="1"/>
  <c r="AJ52" i="2"/>
  <c r="AJ48" i="2"/>
  <c r="AJ51" i="2" s="1"/>
  <c r="AJ56" i="2" s="1"/>
  <c r="AJ69" i="2" s="1"/>
  <c r="AJ72" i="2" s="1"/>
  <c r="AJ73" i="2" s="1"/>
  <c r="AJ74" i="2" s="1"/>
  <c r="AP11" i="2"/>
  <c r="AK26" i="2"/>
  <c r="AL23" i="2"/>
  <c r="AP23" i="2" s="1"/>
  <c r="AL21" i="2"/>
  <c r="AP19" i="2"/>
  <c r="AL22" i="2"/>
  <c r="AL28" i="2" s="1"/>
  <c r="AK35" i="2"/>
  <c r="AJ77" i="2" l="1"/>
  <c r="AK44" i="2"/>
  <c r="AK45" i="2" s="1"/>
  <c r="AK27" i="2"/>
  <c r="AL25" i="2"/>
  <c r="AL34" i="2" s="1"/>
  <c r="AL35" i="2" s="1"/>
  <c r="AK38" i="2"/>
  <c r="AK40" i="2" s="1"/>
  <c r="AP20" i="2"/>
  <c r="AL16" i="2"/>
  <c r="AP22" i="2"/>
  <c r="AK48" i="2" l="1"/>
  <c r="AK51" i="2" s="1"/>
  <c r="AI47" i="2"/>
  <c r="AL26" i="2"/>
  <c r="AL44" i="2" s="1"/>
  <c r="AK46" i="2"/>
  <c r="AK52" i="2"/>
  <c r="AK56" i="2" s="1"/>
  <c r="AK69" i="2" s="1"/>
  <c r="AP25" i="2"/>
  <c r="AP26" i="2"/>
  <c r="AP34" i="2"/>
  <c r="AP35" i="2"/>
  <c r="AL38" i="2"/>
  <c r="AL45" i="2" l="1"/>
  <c r="AP45" i="2" s="1"/>
  <c r="AP44" i="2"/>
  <c r="AL27" i="2"/>
  <c r="AK77" i="2"/>
  <c r="AI78" i="2" s="1"/>
  <c r="AK72" i="2"/>
  <c r="AK73" i="2" s="1"/>
  <c r="AP38" i="2"/>
  <c r="AL40" i="2"/>
  <c r="AL48" i="2" l="1"/>
  <c r="AP48" i="2" s="1"/>
  <c r="AL52" i="2"/>
  <c r="AL46" i="2"/>
  <c r="AK74" i="2"/>
  <c r="AL51" i="2" l="1"/>
  <c r="AL56" i="2" s="1"/>
  <c r="AL69" i="2" s="1"/>
  <c r="AL77" i="2" s="1"/>
  <c r="B80" i="2" s="1"/>
  <c r="AP56" i="2" l="1"/>
  <c r="AL72" i="2"/>
  <c r="AP69" i="2"/>
  <c r="AL73" i="2" l="1"/>
  <c r="AL74" i="2" s="1"/>
  <c r="AP74" i="2" s="1"/>
  <c r="AP72" i="2"/>
</calcChain>
</file>

<file path=xl/sharedStrings.xml><?xml version="1.0" encoding="utf-8"?>
<sst xmlns="http://schemas.openxmlformats.org/spreadsheetml/2006/main" count="370" uniqueCount="241">
  <si>
    <t>Revenue Projections</t>
  </si>
  <si>
    <t>Platform Subscriptions</t>
  </si>
  <si>
    <t>One time fee</t>
  </si>
  <si>
    <t>Monthly</t>
  </si>
  <si>
    <t>Yearly</t>
  </si>
  <si>
    <t>Revenue and cost assumptions</t>
  </si>
  <si>
    <t>Subscription Revenue - GU</t>
  </si>
  <si>
    <t>Percent of general user paying monthly</t>
  </si>
  <si>
    <t>Subscription Revenue - Instructors</t>
  </si>
  <si>
    <t>Percent of general user paying yearly</t>
  </si>
  <si>
    <t>Trainer Level Sales</t>
  </si>
  <si>
    <t>Average revenue from general user (monthly)</t>
  </si>
  <si>
    <t>Additional Services - Consultation (30 min)</t>
  </si>
  <si>
    <t>Additional Services - Consultation (1 hr)</t>
  </si>
  <si>
    <t>Instructor freemium (months)</t>
  </si>
  <si>
    <t>The lifestyle blueprint (Course)</t>
  </si>
  <si>
    <t>Pro Regimen</t>
  </si>
  <si>
    <t>1-on-1 personal training - 8 sessions</t>
  </si>
  <si>
    <t>1-on-1 personal training - 12 sessions</t>
  </si>
  <si>
    <t>1-on-1 personal training - 16 sessions</t>
  </si>
  <si>
    <t xml:space="preserve">Affiliate payment for instructor per user </t>
  </si>
  <si>
    <t>1-on-1 personal training - 20 sessions</t>
  </si>
  <si>
    <t>Affiliate program duration (months)</t>
  </si>
  <si>
    <t>infiniti</t>
  </si>
  <si>
    <t>Workout plan development</t>
  </si>
  <si>
    <t>Sales cost assumed per user (organic)</t>
  </si>
  <si>
    <t>Revenue Drivers</t>
  </si>
  <si>
    <t>Monthly Equivalent</t>
  </si>
  <si>
    <t>Is KPI?</t>
  </si>
  <si>
    <t>Role</t>
  </si>
  <si>
    <t>New Subscribers - GU</t>
  </si>
  <si>
    <t>Yes</t>
  </si>
  <si>
    <t>Sales &amp; Marketing</t>
  </si>
  <si>
    <t>IOS</t>
  </si>
  <si>
    <t>Android</t>
  </si>
  <si>
    <t>New Subscribers - Instructors</t>
  </si>
  <si>
    <t>Cost per 1000 impressions (CPM)</t>
  </si>
  <si>
    <t>Annual Churn - GU (organic)</t>
  </si>
  <si>
    <t>Customer Success</t>
  </si>
  <si>
    <t>Annual Churn - GU (instructor driven)</t>
  </si>
  <si>
    <t>Customer Success and instructor</t>
  </si>
  <si>
    <t>CTR</t>
  </si>
  <si>
    <t>Annual Churn - Instructors</t>
  </si>
  <si>
    <t>CVR</t>
  </si>
  <si>
    <t>Sub CR</t>
  </si>
  <si>
    <t>CAC Assumptions - Instructors</t>
  </si>
  <si>
    <t>Marketing Spend - Instructors</t>
  </si>
  <si>
    <t>No</t>
  </si>
  <si>
    <t>Spend</t>
  </si>
  <si>
    <t>Expected New Instructors</t>
  </si>
  <si>
    <t>Impressions</t>
  </si>
  <si>
    <t>CAC - Instructors</t>
  </si>
  <si>
    <t>Clicks</t>
  </si>
  <si>
    <t>CAC Improvement - Instructors</t>
  </si>
  <si>
    <t>Installs</t>
  </si>
  <si>
    <t>CAC Floor - Instructors</t>
  </si>
  <si>
    <t>Subscribers</t>
  </si>
  <si>
    <t>Annual Increase in Marketing Spend</t>
  </si>
  <si>
    <t>CPA</t>
  </si>
  <si>
    <t>CAC Assumptions - General Users</t>
  </si>
  <si>
    <t>Marketing Spend - GU</t>
  </si>
  <si>
    <t>Expected New GU</t>
  </si>
  <si>
    <t>CAC - GU</t>
  </si>
  <si>
    <t>CAC Improvement - GU</t>
  </si>
  <si>
    <t>CAC Floor - GU</t>
  </si>
  <si>
    <t>Blended CAC per user (marketing)</t>
  </si>
  <si>
    <t>Instructors performance</t>
  </si>
  <si>
    <t>Starting number of users</t>
  </si>
  <si>
    <t>Instructor's life time based on churn</t>
  </si>
  <si>
    <t>Increase in number of user</t>
  </si>
  <si>
    <t>Instructor</t>
  </si>
  <si>
    <t>Total number of user over lifetime</t>
  </si>
  <si>
    <t>Average number of users per month</t>
  </si>
  <si>
    <t>Month no.</t>
  </si>
  <si>
    <t>Today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</si>
  <si>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</si>
  <si>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</si>
  <si>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</si>
  <si>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</si>
  <si>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</si>
  <si>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</si>
  <si>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</si>
  <si>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</si>
  <si>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</si>
  <si>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</si>
  <si>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</si>
  <si>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</si>
  <si>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</si>
  <si>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</si>
  <si>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</si>
  <si>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</si>
  <si>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</si>
  <si>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</si>
  <si>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</si>
  <si>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</si>
  <si>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</si>
  <si>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</si>
  <si>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</si>
  <si>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</si>
  <si>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</si>
  <si>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</si>
  <si>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</si>
  <si>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</si>
  <si>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</si>
  <si>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</si>
  <si>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</si>
  <si>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</si>
  <si>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</si>
  <si>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</si>
  <si>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</si>
  <si>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</si>
  <si>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Year 4</t>
  </si>
  <si>
    <t>Year 5</t>
  </si>
  <si>
    <t>Totals</t>
  </si>
  <si>
    <t>Year</t>
  </si>
  <si>
    <t xml:space="preserve">Quarter </t>
  </si>
  <si>
    <t>Q3-2024</t>
  </si>
  <si>
    <t>Q4-2024</t>
  </si>
  <si>
    <t>Q1-2025</t>
  </si>
  <si>
    <t>Q2-2025</t>
  </si>
  <si>
    <t>Q3-2025</t>
  </si>
  <si>
    <t>Q4-2025</t>
  </si>
  <si>
    <t>Q1-2026</t>
  </si>
  <si>
    <t>Q2-2026</t>
  </si>
  <si>
    <t>Q3-2026</t>
  </si>
  <si>
    <t>Q4-2026</t>
  </si>
  <si>
    <t>Q1-2027</t>
  </si>
  <si>
    <t>Q2-2027</t>
  </si>
  <si>
    <t>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</si>
  <si>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</si>
  <si>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</si>
  <si>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</si>
  <si>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</si>
  <si>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</si>
  <si>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</si>
  <si>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</si>
  <si>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</si>
  <si>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</si>
  <si>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</si>
  <si>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</si>
  <si>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</si>
  <si>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Instructors acquisition projections</t>
  </si>
  <si>
    <t>Marketing Spend</t>
  </si>
  <si>
    <t>CAC</t>
  </si>
  <si>
    <t>Total Instructors - beginning</t>
  </si>
  <si>
    <t>Instructors added</t>
  </si>
  <si>
    <t>Instructors churned</t>
  </si>
  <si>
    <t>Total Instructors - ending</t>
  </si>
  <si>
    <t>General Users acquisition projections</t>
  </si>
  <si>
    <t>Marketing Spend on general users</t>
  </si>
  <si>
    <t>Total GU - beginning</t>
  </si>
  <si>
    <t>GU beginning (organic)</t>
  </si>
  <si>
    <t>GU added (organic)</t>
  </si>
  <si>
    <t>GU churned (organic)</t>
  </si>
  <si>
    <t>GU ending (organic)</t>
  </si>
  <si>
    <t>GU beginning (instructor driven)</t>
  </si>
  <si>
    <t>GU added (total instructor driven)</t>
  </si>
  <si>
    <t>GU churned (instructor driven)</t>
  </si>
  <si>
    <t>GU lost due to instructor churn</t>
  </si>
  <si>
    <t>GU ending (instructor driven)</t>
  </si>
  <si>
    <t>Total GU - ending</t>
  </si>
  <si>
    <t>Free users</t>
  </si>
  <si>
    <t>Number of new paid users (monthly)</t>
  </si>
  <si>
    <t>Cost on marketing and sales</t>
  </si>
  <si>
    <t>Marketing expenses on instructor acquisition</t>
  </si>
  <si>
    <t>Marketing expenses on general user acquisition</t>
  </si>
  <si>
    <t>Sales expenses on instructor acquisition</t>
  </si>
  <si>
    <t>Sales expenses on general user acquisition (instructor driven)</t>
  </si>
  <si>
    <t>Total cost on marketing and sales</t>
  </si>
  <si>
    <t>Average cost  instructor</t>
  </si>
  <si>
    <t>Average cost  general user</t>
  </si>
  <si>
    <t>Blended CAC</t>
  </si>
  <si>
    <t>Average cost per user added (Blended CAC)</t>
  </si>
  <si>
    <t>User LTV</t>
  </si>
  <si>
    <t>LTV:CAC (x)</t>
  </si>
  <si>
    <t>Revenue from sales</t>
  </si>
  <si>
    <t>Revenue from instructors (monthly)</t>
  </si>
  <si>
    <t>Revenue from general users (monthly)</t>
  </si>
  <si>
    <r>
      <t>Total revenue from sales (</t>
    </r>
    <r>
      <rPr>
        <b/>
        <i/>
        <u/>
        <sz val="11"/>
        <color theme="1"/>
        <rFont val="Aptos Narrow"/>
        <family val="2"/>
        <scheme val="minor"/>
      </rPr>
      <t>MRR</t>
    </r>
    <r>
      <rPr>
        <b/>
        <u/>
        <sz val="11"/>
        <color theme="1"/>
        <rFont val="Aptos Narrow"/>
        <family val="2"/>
        <scheme val="minor"/>
      </rPr>
      <t>)</t>
    </r>
  </si>
  <si>
    <t>ARR</t>
  </si>
  <si>
    <t>Revenue</t>
  </si>
  <si>
    <t>Gross Profit</t>
  </si>
  <si>
    <t>COGS (app stores commission)</t>
  </si>
  <si>
    <t>Hosting fees</t>
  </si>
  <si>
    <t>Cloud</t>
  </si>
  <si>
    <t>Deployment</t>
  </si>
  <si>
    <t>OpEX</t>
  </si>
  <si>
    <t>Sales &amp; Marketing (ex salaries)</t>
  </si>
  <si>
    <t>Development of AI features</t>
  </si>
  <si>
    <t xml:space="preserve">Translation of app and copywriting </t>
  </si>
  <si>
    <t>Creative resources</t>
  </si>
  <si>
    <t>Consulting Expenses (App Dev.)</t>
  </si>
  <si>
    <t>Travel &amp; Entertainment</t>
  </si>
  <si>
    <t>Payroll + Payroll tax</t>
  </si>
  <si>
    <t>IT Expenses (incl. subscriptions excl. hosting fees)</t>
  </si>
  <si>
    <t>Professional fees (legal and accounting)</t>
  </si>
  <si>
    <t>Total OPEX</t>
  </si>
  <si>
    <t>EBITDA</t>
  </si>
  <si>
    <t>Depreciation and Amortization</t>
  </si>
  <si>
    <t>Interest Expenses</t>
  </si>
  <si>
    <t>EBT</t>
  </si>
  <si>
    <t>Provisions for Taxes</t>
  </si>
  <si>
    <t>Net Profit</t>
  </si>
  <si>
    <t>Addbacks</t>
  </si>
  <si>
    <t>Adjusted EBITDA</t>
  </si>
  <si>
    <t>Missing cash flow</t>
  </si>
  <si>
    <t>Cash in 3  years</t>
  </si>
  <si>
    <t>Total</t>
  </si>
  <si>
    <t>%</t>
  </si>
  <si>
    <t>Dev</t>
  </si>
  <si>
    <t>Payroll</t>
  </si>
  <si>
    <t>Other G&amp;A</t>
  </si>
  <si>
    <t>Assumptions</t>
  </si>
  <si>
    <t>Yearly raise</t>
  </si>
  <si>
    <t>Raise month</t>
  </si>
  <si>
    <t>Payroll tax</t>
  </si>
  <si>
    <t>Bonuses</t>
  </si>
  <si>
    <t>Operational</t>
  </si>
  <si>
    <t>Start Date</t>
  </si>
  <si>
    <t>Elie Tanbelian (CEO)</t>
  </si>
  <si>
    <t xml:space="preserve">(COO) </t>
  </si>
  <si>
    <t>(CFO)</t>
  </si>
  <si>
    <t>Development</t>
  </si>
  <si>
    <t>(CTO)</t>
  </si>
  <si>
    <t>Rafayel Jamalyan (Team lead)</t>
  </si>
  <si>
    <t>Back-end developer</t>
  </si>
  <si>
    <t>Front-end developer</t>
  </si>
  <si>
    <t>AI developer</t>
  </si>
  <si>
    <t>Graphics and copywriting</t>
  </si>
  <si>
    <t>Anya Gharibian (UI/UX)</t>
  </si>
  <si>
    <t>Animator</t>
  </si>
  <si>
    <t>Video editor</t>
  </si>
  <si>
    <t>Tranalator</t>
  </si>
  <si>
    <t>Copywriter</t>
  </si>
  <si>
    <t>Sales and marketing</t>
  </si>
  <si>
    <t>Harout (CMO)</t>
  </si>
  <si>
    <t>Marketing admin</t>
  </si>
  <si>
    <t>Sales</t>
  </si>
  <si>
    <t>Customer success</t>
  </si>
  <si>
    <t>Total payroll before taxes</t>
  </si>
  <si>
    <t>Total payroll after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</si>
</sst>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_-* #,##0_-;\-* #,##0_-;_-* &quot;-&quot;??_-;_-@_-"/>
    <numFmt numFmtId="168" formatCode="_-&quot;$&quot;* #,##0_-;\-&quot;$&quot;* #,##0_-;_-&quot;$&quot;* &quot;-&quot;??_-;_-@_-"/>
  </numFmts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74BF7"/>
      <name val="Aptos Narrow"/>
      <family val="2"/>
      <scheme val="minor"/>
    </font>
    <font>
      <b/>
      <sz val="11"/>
      <color rgb="FF074BF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2" fillId="0" borderId="0" xfId="0" applyFont="1"/>
    <xf numFmtId="0" fontId="3" fillId="0" borderId="0" xfId="0" applyFont="1"/>
    <xf numFmtId="9" fontId="2" fillId="0" borderId="0" xfId="0" applyNumberFormat="1" applyFont="1"/>
    <xf numFmtId="166" fontId="0" fillId="0" borderId="0" xfId="0" applyNumberFormat="1"/>
    <xf numFmtId="10" fontId="0" fillId="0" borderId="0" xfId="0" applyNumberFormat="1"/>
    <xf numFmtId="0" fontId="0" fillId="0" borderId="0" xfId="0" quotePrefix="1"/>
    <xf numFmtId="1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 indent="1"/>
    </xf>
    <xf numFmtId="165" fontId="0" fillId="0" borderId="0" xfId="1" applyFont="1"/>
    <xf numFmtId="165" fontId="5" fillId="0" borderId="0" xfId="1" applyFont="1"/>
    <xf numFmtId="0" fontId="0" fillId="2" borderId="0" xfId="0" applyFill="1" applyAlignment="1">
      <alignment horizontal="left" indent="1"/>
    </xf>
    <xf numFmtId="0" fontId="0" fillId="0" borderId="0" xfId="0" applyAlignment="1">
      <alignment horizontal="center"/>
    </xf>
    <xf numFmtId="164" fontId="2" fillId="0" borderId="0" xfId="2" applyFont="1"/>
    <xf numFmtId="164" fontId="2" fillId="0" borderId="0" xfId="2" applyFont="1" applyAlignment="1">
      <alignment horizontal="center"/>
    </xf>
    <xf numFmtId="164" fontId="0" fillId="0" borderId="0" xfId="2" applyFont="1"/>
    <xf numFmtId="164" fontId="0" fillId="0" borderId="0" xfId="2" applyFont="1" applyAlignment="1">
      <alignment horizontal="center"/>
    </xf>
    <xf numFmtId="164" fontId="0" fillId="0" borderId="0" xfId="0" applyNumberFormat="1"/>
    <xf numFmtId="164" fontId="1" fillId="0" borderId="0" xfId="2" applyFont="1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left" indent="1"/>
    </xf>
    <xf numFmtId="49" fontId="6" fillId="0" borderId="0" xfId="0" applyNumberFormat="1" applyFont="1" applyAlignment="1">
      <alignment horizontal="right" indent="1"/>
    </xf>
    <xf numFmtId="49" fontId="6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6" fillId="0" borderId="0" xfId="2" applyNumberFormat="1" applyFont="1" applyAlignment="1">
      <alignment horizontal="right"/>
    </xf>
    <xf numFmtId="49" fontId="0" fillId="0" borderId="0" xfId="2" applyNumberFormat="1" applyFont="1" applyAlignment="1">
      <alignment horizontal="left" indent="1"/>
    </xf>
    <xf numFmtId="164" fontId="0" fillId="0" borderId="0" xfId="2" applyFont="1" applyFill="1"/>
    <xf numFmtId="49" fontId="0" fillId="0" borderId="0" xfId="2" applyNumberFormat="1" applyFont="1" applyAlignment="1">
      <alignment horizontal="right"/>
    </xf>
    <xf numFmtId="0" fontId="8" fillId="0" borderId="0" xfId="0" applyFont="1"/>
    <xf numFmtId="49" fontId="9" fillId="0" borderId="0" xfId="0" applyNumberFormat="1" applyFont="1" applyAlignment="1">
      <alignment horizontal="left" indent="1"/>
    </xf>
    <xf numFmtId="0" fontId="9" fillId="0" borderId="0" xfId="0" applyFont="1"/>
    <xf numFmtId="49" fontId="7" fillId="0" borderId="0" xfId="0" applyNumberFormat="1" applyFont="1" applyAlignment="1">
      <alignment horizontal="left" indent="1"/>
    </xf>
    <xf numFmtId="0" fontId="7" fillId="0" borderId="0" xfId="0" applyFont="1"/>
    <xf numFmtId="49" fontId="10" fillId="0" borderId="0" xfId="0" applyNumberFormat="1" applyFont="1" applyAlignment="1">
      <alignment horizontal="left" indent="1"/>
    </xf>
    <xf numFmtId="0" fontId="10" fillId="0" borderId="0" xfId="0" applyFont="1"/>
    <xf numFmtId="49" fontId="11" fillId="0" borderId="0" xfId="0" applyNumberFormat="1" applyFont="1" applyAlignment="1">
      <alignment horizontal="left" indent="1"/>
    </xf>
    <xf numFmtId="0" fontId="11" fillId="0" borderId="0" xfId="0" applyFont="1"/>
    <xf numFmtId="0" fontId="12" fillId="0" borderId="0" xfId="0" applyFont="1"/>
    <xf numFmtId="49" fontId="12" fillId="0" borderId="0" xfId="0" applyNumberFormat="1" applyFont="1" applyAlignment="1">
      <alignment horizontal="right" inden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2" xfId="0" applyBorder="1"/>
    <xf numFmtId="0" fontId="0" fillId="0" borderId="2" xfId="0" applyBorder="1" applyAlignment="1">
      <alignment horizontal="center"/>
    </xf>
    <xf numFmtId="9" fontId="2" fillId="0" borderId="2" xfId="0" applyNumberFormat="1" applyFont="1" applyBorder="1"/>
    <xf numFmtId="0" fontId="0" fillId="2" borderId="2" xfId="0" applyFill="1" applyBorder="1" applyAlignment="1">
      <alignment horizontal="left" indent="1"/>
    </xf>
    <xf numFmtId="166" fontId="0" fillId="0" borderId="2" xfId="0" applyNumberFormat="1" applyBorder="1"/>
    <xf numFmtId="164" fontId="2" fillId="0" borderId="2" xfId="2" applyFont="1" applyBorder="1"/>
    <xf numFmtId="164" fontId="0" fillId="0" borderId="2" xfId="2" applyFont="1" applyBorder="1"/>
    <xf numFmtId="164" fontId="0" fillId="0" borderId="2" xfId="2" applyFont="1" applyBorder="1" applyAlignment="1">
      <alignment horizontal="center"/>
    </xf>
    <xf numFmtId="9" fontId="8" fillId="0" borderId="0" xfId="0" applyNumberFormat="1" applyFont="1"/>
    <xf numFmtId="1" fontId="8" fillId="0" borderId="0" xfId="0" applyNumberFormat="1" applyFont="1"/>
    <xf numFmtId="164" fontId="1" fillId="0" borderId="0" xfId="0" applyNumberFormat="1" applyFont="1"/>
    <xf numFmtId="166" fontId="2" fillId="0" borderId="0" xfId="0" applyNumberFormat="1" applyFont="1"/>
    <xf numFmtId="49" fontId="0" fillId="0" borderId="0" xfId="2" applyNumberFormat="1" applyFont="1" applyFill="1" applyAlignment="1">
      <alignment horizontal="left" indent="1"/>
    </xf>
    <xf numFmtId="0" fontId="8" fillId="0" borderId="0" xfId="0" applyFont="1" applyAlignment="1">
      <alignment horizontal="left" indent="1"/>
    </xf>
    <xf numFmtId="164" fontId="8" fillId="0" borderId="0" xfId="0" applyNumberFormat="1" applyFont="1"/>
    <xf numFmtId="0" fontId="8" fillId="0" borderId="2" xfId="0" applyFont="1" applyBorder="1" applyAlignment="1">
      <alignment horizontal="left" indent="1"/>
    </xf>
    <xf numFmtId="164" fontId="8" fillId="0" borderId="2" xfId="0" applyNumberFormat="1" applyFont="1" applyBorder="1"/>
    <xf numFmtId="167" fontId="0" fillId="0" borderId="0" xfId="1" applyNumberFormat="1" applyFont="1"/>
    <xf numFmtId="168" fontId="0" fillId="0" borderId="0" xfId="2" applyNumberFormat="1" applyFont="1"/>
    <xf numFmtId="168" fontId="1" fillId="0" borderId="0" xfId="2" applyNumberFormat="1" applyFont="1"/>
    <xf numFmtId="168" fontId="0" fillId="0" borderId="0" xfId="0" applyNumberFormat="1"/>
    <xf numFmtId="167" fontId="0" fillId="0" borderId="0" xfId="2" applyNumberFormat="1" applyFont="1"/>
    <xf numFmtId="167" fontId="1" fillId="0" borderId="0" xfId="1" applyNumberFormat="1" applyFont="1"/>
    <xf numFmtId="167" fontId="12" fillId="0" borderId="0" xfId="1" applyNumberFormat="1" applyFont="1"/>
    <xf numFmtId="167" fontId="9" fillId="0" borderId="0" xfId="1" applyNumberFormat="1" applyFont="1"/>
    <xf numFmtId="167" fontId="7" fillId="0" borderId="0" xfId="1" applyNumberFormat="1" applyFont="1"/>
    <xf numFmtId="167" fontId="10" fillId="0" borderId="0" xfId="1" applyNumberFormat="1" applyFont="1"/>
    <xf numFmtId="167" fontId="11" fillId="0" borderId="0" xfId="1" applyNumberFormat="1" applyFont="1"/>
    <xf numFmtId="167" fontId="1" fillId="0" borderId="0" xfId="2" applyNumberFormat="1" applyFont="1"/>
    <xf numFmtId="6" fontId="0" fillId="0" borderId="0" xfId="2" applyNumberFormat="1" applyFont="1"/>
    <xf numFmtId="6" fontId="0" fillId="0" borderId="0" xfId="2" applyNumberFormat="1" applyFont="1" applyFill="1"/>
    <xf numFmtId="6" fontId="1" fillId="0" borderId="0" xfId="2" applyNumberFormat="1" applyFont="1"/>
    <xf numFmtId="6" fontId="1" fillId="0" borderId="0" xfId="2" applyNumberFormat="1" applyFont="1" applyFill="1"/>
    <xf numFmtId="6" fontId="0" fillId="0" borderId="0" xfId="1" applyNumberFormat="1" applyFont="1"/>
    <xf numFmtId="6" fontId="0" fillId="0" borderId="0" xfId="0" applyNumberFormat="1"/>
    <xf numFmtId="1" fontId="13" fillId="0" borderId="0" xfId="1" applyNumberFormat="1" applyFont="1"/>
    <xf numFmtId="49" fontId="14" fillId="0" borderId="0" xfId="0" applyNumberFormat="1" applyFont="1" applyAlignment="1">
      <alignment horizontal="right"/>
    </xf>
    <xf numFmtId="9" fontId="0" fillId="0" borderId="0" xfId="0" applyNumberFormat="1"/>
    <xf numFmtId="6" fontId="1" fillId="0" borderId="0" xfId="0" applyNumberFormat="1" applyFont="1"/>
    <xf numFmtId="49" fontId="0" fillId="3" borderId="0" xfId="0" applyNumberFormat="1" applyFill="1"/>
    <xf numFmtId="0" fontId="0" fillId="3" borderId="0" xfId="0" applyFill="1"/>
    <xf numFmtId="6" fontId="0" fillId="3" borderId="0" xfId="0" applyNumberFormat="1" applyFill="1"/>
    <xf numFmtId="0" fontId="0" fillId="0" borderId="0" xfId="0" applyAlignment="1">
      <alignment horizontal="right" indent="1"/>
    </xf>
    <xf numFmtId="9" fontId="0" fillId="0" borderId="0" xfId="0" applyNumberFormat="1" applyAlignment="1">
      <alignment horizontal="right" indent="1"/>
    </xf>
    <xf numFmtId="0" fontId="0" fillId="0" borderId="0" xfId="0" applyAlignment="1">
      <alignment horizontal="right" indent="2"/>
    </xf>
    <xf numFmtId="0" fontId="1" fillId="0" borderId="0" xfId="0" applyFont="1" applyAlignment="1">
      <alignment horizontal="right" indent="2"/>
    </xf>
    <xf numFmtId="0" fontId="5" fillId="0" borderId="0" xfId="0" applyFont="1" applyAlignment="1">
      <alignment horizontal="right" indent="1"/>
    </xf>
    <xf numFmtId="49" fontId="1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 indent="1"/>
    </xf>
    <xf numFmtId="9" fontId="0" fillId="0" borderId="2" xfId="0" applyNumberFormat="1" applyBorder="1"/>
    <xf numFmtId="0" fontId="5" fillId="0" borderId="0" xfId="0" applyFont="1" applyAlignment="1">
      <alignment horizontal="right"/>
    </xf>
    <xf numFmtId="167" fontId="1" fillId="0" borderId="0" xfId="1" applyNumberFormat="1" applyFont="1" applyAlignment="1">
      <alignment horizontal="right" vertical="center"/>
    </xf>
    <xf numFmtId="167" fontId="1" fillId="0" borderId="0" xfId="1" applyNumberFormat="1" applyFont="1" applyAlignment="1">
      <alignment vertical="center"/>
    </xf>
    <xf numFmtId="0" fontId="0" fillId="4" borderId="0" xfId="0" applyFill="1"/>
    <xf numFmtId="1" fontId="0" fillId="4" borderId="0" xfId="0" applyNumberFormat="1" applyFill="1"/>
    <xf numFmtId="0" fontId="12" fillId="4" borderId="0" xfId="0" applyFont="1" applyFill="1"/>
    <xf numFmtId="0" fontId="9" fillId="4" borderId="0" xfId="0" applyFont="1" applyFill="1"/>
    <xf numFmtId="0" fontId="7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1" fillId="4" borderId="0" xfId="0" applyFont="1" applyFill="1"/>
    <xf numFmtId="167" fontId="1" fillId="4" borderId="0" xfId="1" applyNumberFormat="1" applyFont="1" applyFill="1" applyAlignment="1">
      <alignment vertical="center"/>
    </xf>
    <xf numFmtId="6" fontId="0" fillId="4" borderId="0" xfId="2" applyNumberFormat="1" applyFont="1" applyFill="1"/>
    <xf numFmtId="6" fontId="1" fillId="4" borderId="0" xfId="2" applyNumberFormat="1" applyFont="1" applyFill="1"/>
    <xf numFmtId="1" fontId="13" fillId="4" borderId="0" xfId="1" applyNumberFormat="1" applyFont="1" applyFill="1"/>
    <xf numFmtId="6" fontId="0" fillId="4" borderId="0" xfId="0" applyNumberFormat="1" applyFill="1"/>
    <xf numFmtId="6" fontId="1" fillId="4" borderId="0" xfId="0" applyNumberFormat="1" applyFont="1" applyFill="1"/>
    <xf numFmtId="49" fontId="0" fillId="5" borderId="0" xfId="0" applyNumberFormat="1" applyFill="1" applyAlignment="1">
      <alignment horizontal="left" indent="1"/>
    </xf>
    <xf numFmtId="6" fontId="0" fillId="5" borderId="0" xfId="0" applyNumberFormat="1" applyFill="1"/>
    <xf numFmtId="0" fontId="0" fillId="5" borderId="0" xfId="0" applyFill="1"/>
    <xf numFmtId="167" fontId="0" fillId="0" borderId="0" xfId="1" applyNumberFormat="1" applyFont="1" applyBorder="1"/>
    <xf numFmtId="168" fontId="2" fillId="0" borderId="0" xfId="2" applyNumberFormat="1" applyFont="1" applyBorder="1"/>
    <xf numFmtId="168" fontId="2" fillId="0" borderId="0" xfId="2" applyNumberFormat="1" applyFont="1" applyBorder="1" applyAlignment="1">
      <alignment horizontal="right"/>
    </xf>
    <xf numFmtId="0" fontId="12" fillId="0" borderId="0" xfId="0" applyFont="1" applyAlignment="1">
      <alignment horizontal="left" indent="1"/>
    </xf>
    <xf numFmtId="164" fontId="1" fillId="0" borderId="0" xfId="2" applyFont="1" applyBorder="1"/>
    <xf numFmtId="0" fontId="16" fillId="0" borderId="0" xfId="0" applyFont="1" applyAlignment="1">
      <alignment horizontal="center" vertical="center"/>
    </xf>
    <xf numFmtId="167" fontId="8" fillId="0" borderId="0" xfId="1" applyNumberFormat="1" applyFont="1"/>
    <xf numFmtId="49" fontId="1" fillId="0" borderId="0" xfId="0" applyNumberFormat="1" applyFont="1" applyAlignment="1">
      <alignment horizontal="right" indent="1"/>
    </xf>
    <xf numFmtId="49" fontId="0" fillId="0" borderId="0" xfId="0" applyNumberFormat="1" applyAlignment="1">
      <alignment horizontal="right"/>
    </xf>
    <xf numFmtId="49" fontId="17" fillId="0" borderId="0" xfId="0" applyNumberFormat="1" applyFont="1" applyAlignment="1">
      <alignment horizontal="right"/>
    </xf>
    <xf numFmtId="6" fontId="5" fillId="0" borderId="0" xfId="2" applyNumberFormat="1" applyFont="1"/>
    <xf numFmtId="6" fontId="5" fillId="4" borderId="0" xfId="2" applyNumberFormat="1" applyFont="1" applyFill="1"/>
    <xf numFmtId="167" fontId="18" fillId="0" borderId="0" xfId="2" applyNumberFormat="1" applyFont="1"/>
    <xf numFmtId="6" fontId="0" fillId="0" borderId="3" xfId="0" applyNumberFormat="1" applyBorder="1"/>
    <xf numFmtId="164" fontId="0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6" fontId="0" fillId="3" borderId="0" xfId="0" applyNumberForma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Medium9"/>
  <colors>
    <mruColors>
      <color rgb="FF074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OpEx Categories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B1A-44A4-95E0-8DEC5EA56AB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B1A-44A4-95E0-8DEC5EA56AB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B1A-44A4-95E0-8DEC5EA56AB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B1A-44A4-95E0-8DEC5EA56AB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B1A-44A4-95E0-8DEC5EA56AB5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B1A-44A4-95E0-8DEC5EA56AB5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B1A-44A4-95E0-8DEC5EA56AB5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Model!$A$59:$A$67</c15:sqref>
                  </c15:fullRef>
                </c:ext>
              </c:extLst>
              <c:f>(Model!$A$60,Model!$A$62:$A$67)</c:f>
              <c:strCache>
                <c:ptCount val="7"/>
                <c:pt idx="0">
                  <c:v>Development of AI features</c:v>
                </c:pt>
                <c:pt idx="1">
                  <c:v>Creative resources</c:v>
                </c:pt>
                <c:pt idx="2">
                  <c:v>Consulting Expenses (App Dev.)</c:v>
                </c:pt>
                <c:pt idx="3">
                  <c:v>Travel &amp; Entertainment</c:v>
                </c:pt>
                <c:pt idx="4">
                  <c:v>Payroll + Payroll tax</c:v>
                </c:pt>
                <c:pt idx="5">
                  <c:v>IT Expenses (incl. subscriptions excl. hosting fees)</c:v>
                </c:pt>
                <c:pt idx="6">
                  <c:v>Professional fees (legal and accounting)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Model!$AP$59:$AP$67</c15:sqref>
                  </c15:fullRef>
                </c:ext>
              </c:extLst>
              <c:f>(Model!$AP$60,Model!$AP$62:$AP$67)</c:f>
              <c:numCache>
                <c:formatCode>"$"#,##0_);[Red]\("$"#,##0\)</c:formatCode>
                <c:ptCount val="7"/>
                <c:pt idx="0">
                  <c:v>10500</c:v>
                </c:pt>
                <c:pt idx="1">
                  <c:v>15000</c:v>
                </c:pt>
                <c:pt idx="2">
                  <c:v>66000</c:v>
                </c:pt>
                <c:pt idx="3">
                  <c:v>35000</c:v>
                </c:pt>
                <c:pt idx="4">
                  <c:v>890899.00000000058</c:v>
                </c:pt>
                <c:pt idx="5">
                  <c:v>17400</c:v>
                </c:pt>
                <c:pt idx="6">
                  <c:v>45000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B1A-44A4-95E0-8DEC5EA56AB5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166666666666672"/>
          <c:y val="0.1388888888888889"/>
          <c:w val="0.34166666666666667"/>
          <c:h val="0.8611110593424342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and EBITDA - 3Y Projections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Model!$A$47</c:f>
              <c:strCache>
                <c:ptCount val="1"/>
                <c:pt idx="0">
                  <c:v>Revenue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Model!$C$3:$AL$3</c:f>
              <c:strCache>
                <c:ptCount val="33"/>
                <c:pt idx="0">
                  <c:v>Q3-2024</c:v>
                </c:pt>
                <c:pt idx="2">
                  <c:v>Q4-2024</c:v>
                </c:pt>
                <c:pt idx="5">
                  <c:v>Q1-2025</c:v>
                </c:pt>
                <c:pt idx="8">
                  <c:v>Q2-2025</c:v>
                </c:pt>
                <c:pt idx="11">
                  <c:v>Q3-2025</c:v>
                </c:pt>
                <c:pt idx="14">
                  <c:v>Q4-2025</c:v>
                </c:pt>
                <c:pt idx="17">
                  <c:v>Q1-2026</c:v>
                </c:pt>
                <c:pt idx="20">
                  <c:v>Q2-2026</c:v>
                </c:pt>
                <c:pt idx="23">
                  <c:v>Q3-2026</c:v>
                </c:pt>
                <c:pt idx="26">
                  <c:v>Q4-2026</c:v>
                </c:pt>
                <c:pt idx="29">
                  <c:v>Q1-2027</c:v>
                </c:pt>
                <c:pt idx="32">
                  <c:v>Q2-2027</c:v>
                </c:pt>
              </c:strCache>
            </c:strRef>
          </c:cat>
          <c:val>
            <c:numRef>
              <c:f>Model!$C$47:$AK$47</c:f>
              <c:numCache>
                <c:formatCode>"$"#,##0_);[Red]\("$"#,##0\)</c:formatCode>
                <c:ptCount val="35"/>
                <c:pt idx="0">
                  <c:v>1966.6666666666665</c:v>
                </c:pt>
                <c:pt idx="2">
                  <c:v>13941.666666666664</c:v>
                </c:pt>
                <c:pt idx="5">
                  <c:v>38838.333333333328</c:v>
                </c:pt>
                <c:pt idx="8">
                  <c:v>71311.666666666657</c:v>
                </c:pt>
                <c:pt idx="11">
                  <c:v>108030</c:v>
                </c:pt>
                <c:pt idx="14">
                  <c:v>143750</c:v>
                </c:pt>
                <c:pt idx="17">
                  <c:v>185123.33333333331</c:v>
                </c:pt>
                <c:pt idx="20">
                  <c:v>228693.33333333331</c:v>
                </c:pt>
                <c:pt idx="23">
                  <c:v>274135</c:v>
                </c:pt>
                <c:pt idx="26">
                  <c:v>312619.16666666663</c:v>
                </c:pt>
                <c:pt idx="29">
                  <c:v>352156.66666666663</c:v>
                </c:pt>
                <c:pt idx="32">
                  <c:v>395820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1-4835-BF27-4AB3C63327FF}"/>
            </c:ext>
          </c:extLst>
        </c:ser>
        <c:ser>
          <c:idx val="1"/>
          <c:order val="1"/>
          <c:tx>
            <c:strRef>
              <c:f>Model!$A$78</c:f>
              <c:strCache>
                <c:ptCount val="1"/>
                <c:pt idx="0">
                  <c:v>EBITDA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Model!$C$3:$AL$3</c:f>
              <c:strCache>
                <c:ptCount val="33"/>
                <c:pt idx="0">
                  <c:v>Q3-2024</c:v>
                </c:pt>
                <c:pt idx="2">
                  <c:v>Q4-2024</c:v>
                </c:pt>
                <c:pt idx="5">
                  <c:v>Q1-2025</c:v>
                </c:pt>
                <c:pt idx="8">
                  <c:v>Q2-2025</c:v>
                </c:pt>
                <c:pt idx="11">
                  <c:v>Q3-2025</c:v>
                </c:pt>
                <c:pt idx="14">
                  <c:v>Q4-2025</c:v>
                </c:pt>
                <c:pt idx="17">
                  <c:v>Q1-2026</c:v>
                </c:pt>
                <c:pt idx="20">
                  <c:v>Q2-2026</c:v>
                </c:pt>
                <c:pt idx="23">
                  <c:v>Q3-2026</c:v>
                </c:pt>
                <c:pt idx="26">
                  <c:v>Q4-2026</c:v>
                </c:pt>
                <c:pt idx="29">
                  <c:v>Q1-2027</c:v>
                </c:pt>
                <c:pt idx="32">
                  <c:v>Q2-2027</c:v>
                </c:pt>
              </c:strCache>
            </c:strRef>
          </c:cat>
          <c:val>
            <c:numRef>
              <c:f>Model!$C$78:$AK$78</c:f>
              <c:numCache>
                <c:formatCode>"$"#,##0_);[Red]\("$"#,##0\)</c:formatCode>
                <c:ptCount val="35"/>
                <c:pt idx="0">
                  <c:v>-17837</c:v>
                </c:pt>
                <c:pt idx="2">
                  <c:v>-32257.500000000004</c:v>
                </c:pt>
                <c:pt idx="5">
                  <c:v>-52643.5</c:v>
                </c:pt>
                <c:pt idx="8">
                  <c:v>-31164</c:v>
                </c:pt>
                <c:pt idx="11">
                  <c:v>-32955.4</c:v>
                </c:pt>
                <c:pt idx="14">
                  <c:v>-19881.100000000002</c:v>
                </c:pt>
                <c:pt idx="17">
                  <c:v>16835.899999999991</c:v>
                </c:pt>
                <c:pt idx="20">
                  <c:v>40703.566666666651</c:v>
                </c:pt>
                <c:pt idx="23">
                  <c:v>64287.783333333326</c:v>
                </c:pt>
                <c:pt idx="26">
                  <c:v>87796.391666666663</c:v>
                </c:pt>
                <c:pt idx="29">
                  <c:v>114021.43333333332</c:v>
                </c:pt>
                <c:pt idx="32">
                  <c:v>145204.43333333332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1-4835-BF27-4AB3C6332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4"/>
        <c:axId val="635757967"/>
        <c:axId val="635758447"/>
      </c:barChart>
      <c:catAx>
        <c:axId val="635757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758447"/>
        <c:crosses val="autoZero"/>
        <c:auto val="1"/>
        <c:lblAlgn val="ctr"/>
        <c:lblOffset val="100"/>
        <c:noMultiLvlLbl val="0"/>
      </c:catAx>
      <c:valAx>
        <c:axId val="63575844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_);[White]\(&quot;$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757967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CAC and New Paid Users - 3Y Projections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Model!$A$38</c:f>
              <c:strCache>
                <c:ptCount val="1"/>
                <c:pt idx="0">
                  <c:v>Average cost per user added (Blended CAC)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solidFill>
                <a:srgbClr val="00B050">
                  <a:alpha val="76000"/>
                </a:srgb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Model!$C$3:$AK$3</c15:sqref>
                  </c15:fullRef>
                </c:ext>
              </c:extLst>
              <c:f>(Model!$C$3,Model!$E$3,Model!$H$3,Model!$K$3,Model!$N$3,Model!$Q$3,Model!$T$3,Model!$W$3,Model!$Z$3,Model!$AC$3,Model!$AF$3,Model!$AI$3)</c:f>
              <c:strCache>
                <c:ptCount val="12"/>
                <c:pt idx="0">
                  <c:v>Q3-2024</c:v>
                </c:pt>
                <c:pt idx="1">
                  <c:v>Q4-2024</c:v>
                </c:pt>
                <c:pt idx="2">
                  <c:v>Q1-2025</c:v>
                </c:pt>
                <c:pt idx="3">
                  <c:v>Q2-2025</c:v>
                </c:pt>
                <c:pt idx="4">
                  <c:v>Q3-2025</c:v>
                </c:pt>
                <c:pt idx="5">
                  <c:v>Q4-2025</c:v>
                </c:pt>
                <c:pt idx="6">
                  <c:v>Q1-2026</c:v>
                </c:pt>
                <c:pt idx="7">
                  <c:v>Q2-2026</c:v>
                </c:pt>
                <c:pt idx="8">
                  <c:v>Q3-2026</c:v>
                </c:pt>
                <c:pt idx="9">
                  <c:v>Q4-2026</c:v>
                </c:pt>
                <c:pt idx="10">
                  <c:v>Q1-2027</c:v>
                </c:pt>
                <c:pt idx="11">
                  <c:v>Q2-2027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Model!$D$38:$AL$38</c15:sqref>
                  </c15:fullRef>
                </c:ext>
              </c:extLst>
              <c:f>(Model!$D$38,Model!$F$38,Model!$I$38,Model!$L$38,Model!$O$38,Model!$R$38,Model!$U$38,Model!$X$38,Model!$AA$38,Model!$AD$38,Model!$AG$38,Model!$AJ$38)</c:f>
              <c:numCache>
                <c:formatCode>"$"#,##0_);[Red]\("$"#,##0\)</c:formatCode>
                <c:ptCount val="12"/>
                <c:pt idx="0">
                  <c:v>38.854460093896712</c:v>
                </c:pt>
                <c:pt idx="1">
                  <c:v>22.87844611528822</c:v>
                </c:pt>
                <c:pt idx="2">
                  <c:v>21.350806451612904</c:v>
                </c:pt>
                <c:pt idx="3">
                  <c:v>19.270567375886525</c:v>
                </c:pt>
                <c:pt idx="4">
                  <c:v>18.25503742084053</c:v>
                </c:pt>
                <c:pt idx="5">
                  <c:v>17.695919370698132</c:v>
                </c:pt>
                <c:pt idx="6">
                  <c:v>17.997108632796365</c:v>
                </c:pt>
                <c:pt idx="7">
                  <c:v>17.911946259985474</c:v>
                </c:pt>
                <c:pt idx="8">
                  <c:v>18.154993514915692</c:v>
                </c:pt>
                <c:pt idx="9">
                  <c:v>17.811823236757387</c:v>
                </c:pt>
                <c:pt idx="10">
                  <c:v>17.756310174342961</c:v>
                </c:pt>
                <c:pt idx="11">
                  <c:v>17.605232007575754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0-4296-9BA8-94E11EAC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01300111"/>
        <c:axId val="1101308751"/>
      </c:barChart>
      <c:lineChart>
        <c:grouping val="standard"/>
        <c:varyColors val="0"/>
        <c:ser>
          <c:idx val="2"/>
          <c:order val="2"/>
          <c:tx>
            <c:strRef>
              <c:f>Model!$A$28</c:f>
              <c:strCache>
                <c:ptCount val="1"/>
                <c:pt idx="0">
                  <c:v> Number of new paid users (monthly)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50800">
                <a:solidFill>
                  <a:schemeClr val="accent3">
                    <a:lumMod val="60000"/>
                    <a:lumOff val="40000"/>
                  </a:schemeClr>
                </a:solidFill>
                <a:bevel/>
              </a:ln>
              <a:effectLst/>
            </c:spPr>
          </c:marker>
          <c:cat>
            <c:strLit>
              <c:ptCount val="13"/>
              <c:pt idx="0">
                <c:v>1</c:v>
              </c:pt>
              <c:pt idx="1">
                <c:v>3</c:v>
              </c:pt>
              <c:pt idx="2">
                <c:v>6</c:v>
              </c:pt>
              <c:pt idx="3">
                <c:v>9</c:v>
              </c:pt>
              <c:pt idx="4">
                <c:v>12</c:v>
              </c:pt>
              <c:pt idx="5">
                <c:v>15</c:v>
              </c:pt>
              <c:pt idx="6">
                <c:v>18</c:v>
              </c:pt>
              <c:pt idx="7">
                <c:v>21</c:v>
              </c:pt>
              <c:pt idx="8">
                <c:v>24</c:v>
              </c:pt>
              <c:pt idx="9">
                <c:v>27</c:v>
              </c:pt>
              <c:pt idx="10">
                <c:v>30</c:v>
              </c:pt>
              <c:pt idx="11">
                <c:v>33</c:v>
              </c:pt>
              <c:pt idx="12">
                <c:v>36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Model!$C$28:$AL$28</c15:sqref>
                  </c15:fullRef>
                </c:ext>
              </c:extLst>
              <c:f>(Model!$C$28,Model!$E$28,Model!$H$28,Model!$K$28,Model!$N$28,Model!$Q$28,Model!$T$28,Model!$W$28,Model!$Z$28,Model!$AC$28,Model!$AF$28,Model!$AI$28,Model!$AL$28)</c:f>
              <c:numCache>
                <c:formatCode>_-* #,##0_-;\-* #,##0_-;_-* "-"??_-;_-@_-</c:formatCode>
                <c:ptCount val="13"/>
                <c:pt idx="0">
                  <c:v>39</c:v>
                </c:pt>
                <c:pt idx="1">
                  <c:v>102</c:v>
                </c:pt>
                <c:pt idx="2">
                  <c:v>335</c:v>
                </c:pt>
                <c:pt idx="3">
                  <c:v>437</c:v>
                </c:pt>
                <c:pt idx="4">
                  <c:v>543</c:v>
                </c:pt>
                <c:pt idx="5">
                  <c:v>645</c:v>
                </c:pt>
                <c:pt idx="6">
                  <c:v>766</c:v>
                </c:pt>
                <c:pt idx="7">
                  <c:v>880</c:v>
                </c:pt>
                <c:pt idx="8">
                  <c:v>992</c:v>
                </c:pt>
                <c:pt idx="9">
                  <c:v>1102</c:v>
                </c:pt>
                <c:pt idx="10">
                  <c:v>1240</c:v>
                </c:pt>
                <c:pt idx="11">
                  <c:v>1363</c:v>
                </c:pt>
                <c:pt idx="12">
                  <c:v>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0-4296-9BA8-94E11EAC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430576"/>
        <c:axId val="82343009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Model!$A$14</c15:sqref>
                        </c15:formulaRef>
                      </c:ext>
                    </c:extLst>
                    <c:strCache>
                      <c:ptCount val="1"/>
                      <c:pt idx="0">
                        <c:v>Marketing Spend on general users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ullRef>
                          <c15:sqref>Model!$C$14:$AL$14</c15:sqref>
                        </c15:fullRef>
                        <c15:formulaRef>
                          <c15:sqref>(Model!$C$14,Model!$E$14,Model!$H$14,Model!$K$14,Model!$N$14,Model!$Q$14,Model!$T$14,Model!$W$14,Model!$Z$14,Model!$AC$14,Model!$AF$14,Model!$AI$14,Model!$AL$14)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1100</c:v>
                      </c:pt>
                      <c:pt idx="1">
                        <c:v>1100</c:v>
                      </c:pt>
                      <c:pt idx="2">
                        <c:v>5000</c:v>
                      </c:pt>
                      <c:pt idx="3">
                        <c:v>5000</c:v>
                      </c:pt>
                      <c:pt idx="4">
                        <c:v>5000</c:v>
                      </c:pt>
                      <c:pt idx="5">
                        <c:v>5000</c:v>
                      </c:pt>
                      <c:pt idx="6">
                        <c:v>5500</c:v>
                      </c:pt>
                      <c:pt idx="7">
                        <c:v>5500</c:v>
                      </c:pt>
                      <c:pt idx="8">
                        <c:v>5500</c:v>
                      </c:pt>
                      <c:pt idx="9">
                        <c:v>5500</c:v>
                      </c:pt>
                      <c:pt idx="10">
                        <c:v>6050</c:v>
                      </c:pt>
                      <c:pt idx="11">
                        <c:v>6050</c:v>
                      </c:pt>
                      <c:pt idx="12">
                        <c:v>6050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3A0-4296-9BA8-94E11EAC7CF8}"/>
                  </c:ext>
                </c:extLst>
              </c15:ser>
            </c15:filteredLineSeries>
          </c:ext>
        </c:extLst>
      </c:lineChart>
      <c:catAx>
        <c:axId val="1101300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308751"/>
        <c:crosses val="autoZero"/>
        <c:auto val="1"/>
        <c:lblAlgn val="ctr"/>
        <c:lblOffset val="100"/>
        <c:noMultiLvlLbl val="0"/>
      </c:catAx>
      <c:valAx>
        <c:axId val="110130875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300111"/>
        <c:crosses val="autoZero"/>
        <c:crossBetween val="between"/>
      </c:valAx>
      <c:valAx>
        <c:axId val="8234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3430576"/>
        <c:crosses val="max"/>
        <c:crossBetween val="between"/>
      </c:valAx>
      <c:catAx>
        <c:axId val="823430576"/>
        <c:scaling>
          <c:orientation val="minMax"/>
        </c:scaling>
        <c:delete val="1"/>
        <c:axPos val="b"/>
        <c:majorTickMark val="out"/>
        <c:minorTickMark val="none"/>
        <c:tickLblPos val="nextTo"/>
        <c:crossAx val="823430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190506</xdr:colOff>
      <xdr:row>27</xdr:row>
      <xdr:rowOff>413385</xdr:rowOff>
    </xdr:from>
    <xdr:to>
      <xdr:col>51</xdr:col>
      <xdr:colOff>381000</xdr:colOff>
      <xdr:row>53</xdr:row>
      <xdr:rowOff>179070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7C4F47CD-7344-9102-C767-CF2B5CE36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370211</xdr:colOff>
      <xdr:row>4</xdr:row>
      <xdr:rowOff>635</xdr:rowOff>
    </xdr:from>
    <xdr:to>
      <xdr:col>69</xdr:col>
      <xdr:colOff>515938</xdr:colOff>
      <xdr:row>26</xdr:row>
      <xdr:rowOff>412750</xdr:rowOff>
    </xdr:to>
    <xdr:graphicFrame macro="">
      <xdr:nvGraphicFramePr>
        <xdr:cNvPr id="101" name="Chart 9">
          <a:extLst>
            <a:ext uri="{FF2B5EF4-FFF2-40B4-BE49-F238E27FC236}">
              <a16:creationId xmlns:a16="http://schemas.microsoft.com/office/drawing/2014/main" id="{AD28B62D-18F6-49E3-5A80-D75B1DE78319}"/>
            </a:ext>
            <a:ext uri="{147F2762-F138-4A5C-976F-8EAC2B608ADB}">
              <a16:predDERef xmlns:a16="http://schemas.microsoft.com/office/drawing/2014/main" pred="{7C4F47CD-7344-9102-C767-CF2B5CE36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102</xdr:colOff>
      <xdr:row>3</xdr:row>
      <xdr:rowOff>159057</xdr:rowOff>
    </xdr:from>
    <xdr:to>
      <xdr:col>55</xdr:col>
      <xdr:colOff>572216</xdr:colOff>
      <xdr:row>26</xdr:row>
      <xdr:rowOff>337779</xdr:rowOff>
    </xdr:to>
    <xdr:graphicFrame macro="">
      <xdr:nvGraphicFramePr>
        <xdr:cNvPr id="5" name="Chart 12">
          <a:extLst>
            <a:ext uri="{FF2B5EF4-FFF2-40B4-BE49-F238E27FC236}">
              <a16:creationId xmlns:a16="http://schemas.microsoft.com/office/drawing/2014/main" id="{79513A9E-C6EE-DBE3-E66F-E1265F21644B}"/>
            </a:ext>
            <a:ext uri="{147F2762-F138-4A5C-976F-8EAC2B608ADB}">
              <a16:predDERef xmlns:a16="http://schemas.microsoft.com/office/drawing/2014/main" pred="{AD28B62D-18F6-49E3-5A80-D75B1DE783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workbookViewId="0">
      <selection activeCell="A27" sqref="A27"/>
    </sheetView>
  </sheetViews>
  <sheetFormatPr defaultRowHeight="15" x14ac:dyDescent="0.25"/>
  <cols>
    <col min="1" max="1" width="41.42578125" customWidth="1"/>
    <col min="2" max="2" width="15.85546875" customWidth="1"/>
    <col min="3" max="3" width="15.85546875" bestFit="1" customWidth="1"/>
    <col min="4" max="4" width="12.5703125" style="15" customWidth="1"/>
    <col min="5" max="5" width="32.7109375" customWidth="1"/>
    <col min="6" max="6" width="12.85546875" customWidth="1"/>
    <col min="7" max="7" width="46.28515625" customWidth="1"/>
    <col min="8" max="8" width="14.140625" bestFit="1" customWidth="1"/>
    <col min="9" max="9" width="13.5703125" bestFit="1" customWidth="1"/>
  </cols>
  <sheetData>
    <row r="1" spans="1:9" x14ac:dyDescent="0.25">
      <c r="A1" s="43" t="s">
        <v>0</v>
      </c>
      <c r="B1" s="44"/>
      <c r="C1" s="44"/>
      <c r="D1" s="45"/>
      <c r="E1" s="44"/>
    </row>
    <row r="2" spans="1:9" x14ac:dyDescent="0.25">
      <c r="A2" s="1" t="s">
        <v>1</v>
      </c>
      <c r="B2" t="s">
        <v>2</v>
      </c>
      <c r="C2" t="s">
        <v>3</v>
      </c>
      <c r="D2" s="15" t="s">
        <v>4</v>
      </c>
      <c r="G2" s="43" t="s">
        <v>5</v>
      </c>
      <c r="H2" s="44"/>
    </row>
    <row r="3" spans="1:9" x14ac:dyDescent="0.25">
      <c r="A3" s="2" t="s">
        <v>6</v>
      </c>
      <c r="B3" s="16"/>
      <c r="C3" s="16">
        <v>10</v>
      </c>
      <c r="D3" s="17">
        <v>100</v>
      </c>
      <c r="G3" s="2" t="s">
        <v>7</v>
      </c>
      <c r="H3" s="5">
        <v>0.5</v>
      </c>
      <c r="I3" s="20"/>
    </row>
    <row r="4" spans="1:9" x14ac:dyDescent="0.25">
      <c r="A4" s="2" t="s">
        <v>8</v>
      </c>
      <c r="B4" s="16"/>
      <c r="C4" s="16">
        <v>40</v>
      </c>
      <c r="D4" s="17">
        <v>360</v>
      </c>
      <c r="G4" s="2" t="s">
        <v>9</v>
      </c>
      <c r="H4" s="55">
        <f>1-H3</f>
        <v>0.5</v>
      </c>
      <c r="I4" s="20"/>
    </row>
    <row r="5" spans="1:9" x14ac:dyDescent="0.25">
      <c r="A5" s="1" t="s">
        <v>10</v>
      </c>
      <c r="B5" s="16"/>
      <c r="C5" s="18"/>
      <c r="D5" s="19"/>
      <c r="G5" s="2" t="s">
        <v>11</v>
      </c>
      <c r="H5" s="57">
        <f>(($C$3*12)*$H$3+$D$3*$H$4)/12</f>
        <v>9.1666666666666661</v>
      </c>
    </row>
    <row r="6" spans="1:9" x14ac:dyDescent="0.25">
      <c r="A6" s="2" t="s">
        <v>12</v>
      </c>
      <c r="B6" s="16">
        <v>30</v>
      </c>
      <c r="C6" s="18"/>
      <c r="D6" s="19"/>
    </row>
    <row r="7" spans="1:9" x14ac:dyDescent="0.25">
      <c r="A7" s="2" t="s">
        <v>13</v>
      </c>
      <c r="B7" s="16">
        <v>50</v>
      </c>
      <c r="C7" s="18"/>
      <c r="D7" s="19"/>
      <c r="G7" s="11" t="s">
        <v>14</v>
      </c>
      <c r="H7" s="10">
        <v>6</v>
      </c>
    </row>
    <row r="8" spans="1:9" x14ac:dyDescent="0.25">
      <c r="A8" s="2" t="s">
        <v>15</v>
      </c>
      <c r="B8" s="16">
        <v>200</v>
      </c>
      <c r="C8" s="18"/>
      <c r="D8" s="19"/>
      <c r="G8" s="2" t="s">
        <v>7</v>
      </c>
      <c r="H8" s="5">
        <v>0.5</v>
      </c>
    </row>
    <row r="9" spans="1:9" x14ac:dyDescent="0.25">
      <c r="A9" s="2" t="s">
        <v>16</v>
      </c>
      <c r="B9" s="16">
        <v>400</v>
      </c>
      <c r="C9" s="18"/>
      <c r="D9" s="19"/>
      <c r="G9" s="2" t="s">
        <v>9</v>
      </c>
      <c r="H9" s="55">
        <f>1-H8</f>
        <v>0.5</v>
      </c>
    </row>
    <row r="10" spans="1:9" x14ac:dyDescent="0.25">
      <c r="A10" s="2" t="s">
        <v>17</v>
      </c>
      <c r="B10" s="16">
        <v>280</v>
      </c>
      <c r="C10" s="18"/>
      <c r="D10" s="19"/>
      <c r="G10" s="2" t="s">
        <v>11</v>
      </c>
      <c r="H10" s="57">
        <f>(($C$4*12)*$H$8+$D$4*$H$9)/12</f>
        <v>35</v>
      </c>
    </row>
    <row r="11" spans="1:9" x14ac:dyDescent="0.25">
      <c r="A11" s="2" t="s">
        <v>18</v>
      </c>
      <c r="B11" s="16">
        <v>360</v>
      </c>
      <c r="C11" s="18"/>
      <c r="D11" s="19"/>
    </row>
    <row r="12" spans="1:9" x14ac:dyDescent="0.25">
      <c r="A12" s="2" t="s">
        <v>19</v>
      </c>
      <c r="B12" s="16">
        <v>420</v>
      </c>
      <c r="C12" s="18"/>
      <c r="D12" s="19"/>
      <c r="G12" s="60" t="s">
        <v>20</v>
      </c>
      <c r="H12" s="61">
        <f>H5*I12</f>
        <v>1.8333333333333333</v>
      </c>
      <c r="I12" s="84">
        <v>0.2</v>
      </c>
    </row>
    <row r="13" spans="1:9" x14ac:dyDescent="0.25">
      <c r="A13" s="2" t="s">
        <v>21</v>
      </c>
      <c r="B13" s="16">
        <v>500</v>
      </c>
      <c r="C13" s="18"/>
      <c r="D13" s="19"/>
      <c r="G13" s="11" t="s">
        <v>22</v>
      </c>
      <c r="H13" s="97" t="s">
        <v>23</v>
      </c>
    </row>
    <row r="14" spans="1:9" ht="15.75" thickBot="1" x14ac:dyDescent="0.3">
      <c r="A14" s="46" t="s">
        <v>24</v>
      </c>
      <c r="B14" s="52">
        <v>35</v>
      </c>
      <c r="C14" s="53"/>
      <c r="D14" s="54"/>
      <c r="E14" s="47"/>
      <c r="G14" s="62" t="s">
        <v>25</v>
      </c>
      <c r="H14" s="63">
        <f>H5*I14</f>
        <v>1.8333333333333333</v>
      </c>
      <c r="I14" s="96">
        <v>0.2</v>
      </c>
    </row>
    <row r="15" spans="1:9" ht="15.75" thickTop="1" x14ac:dyDescent="0.25">
      <c r="B15" s="3"/>
    </row>
    <row r="16" spans="1:9" x14ac:dyDescent="0.25">
      <c r="A16" s="43" t="s">
        <v>26</v>
      </c>
      <c r="B16" s="44"/>
      <c r="C16" s="44" t="s">
        <v>27</v>
      </c>
      <c r="D16" s="45" t="s">
        <v>28</v>
      </c>
      <c r="E16" s="44" t="s">
        <v>29</v>
      </c>
    </row>
    <row r="17" spans="1:9" x14ac:dyDescent="0.25">
      <c r="A17" s="2" t="s">
        <v>30</v>
      </c>
      <c r="B17" s="3"/>
      <c r="D17" s="15" t="s">
        <v>31</v>
      </c>
      <c r="E17" t="s">
        <v>32</v>
      </c>
      <c r="H17" s="122" t="s">
        <v>33</v>
      </c>
      <c r="I17" s="122" t="s">
        <v>34</v>
      </c>
    </row>
    <row r="18" spans="1:9" x14ac:dyDescent="0.25">
      <c r="A18" s="2" t="s">
        <v>35</v>
      </c>
      <c r="B18" s="3"/>
      <c r="D18" s="15" t="s">
        <v>31</v>
      </c>
      <c r="E18" t="s">
        <v>32</v>
      </c>
      <c r="G18" t="s">
        <v>36</v>
      </c>
      <c r="H18" s="16">
        <v>4.5</v>
      </c>
      <c r="I18" s="16">
        <v>3.7</v>
      </c>
    </row>
    <row r="19" spans="1:9" x14ac:dyDescent="0.25">
      <c r="A19" s="14" t="s">
        <v>37</v>
      </c>
      <c r="B19" s="5">
        <v>0.4</v>
      </c>
      <c r="C19" s="6">
        <f>B19/12</f>
        <v>3.3333333333333333E-2</v>
      </c>
      <c r="D19" s="15" t="s">
        <v>31</v>
      </c>
      <c r="E19" t="s">
        <v>38</v>
      </c>
    </row>
    <row r="20" spans="1:9" x14ac:dyDescent="0.25">
      <c r="A20" s="14" t="s">
        <v>39</v>
      </c>
      <c r="B20" s="5">
        <v>0.3</v>
      </c>
      <c r="C20" s="6">
        <f>B20/12</f>
        <v>2.4999999999999998E-2</v>
      </c>
      <c r="D20" s="15" t="s">
        <v>31</v>
      </c>
      <c r="E20" t="s">
        <v>40</v>
      </c>
      <c r="G20" t="s">
        <v>41</v>
      </c>
      <c r="H20" s="7">
        <v>1.4999999999999999E-2</v>
      </c>
      <c r="I20" s="7">
        <v>1.4800000000000001E-2</v>
      </c>
    </row>
    <row r="21" spans="1:9" ht="15.75" thickBot="1" x14ac:dyDescent="0.3">
      <c r="A21" s="50" t="s">
        <v>42</v>
      </c>
      <c r="B21" s="49">
        <v>0.25</v>
      </c>
      <c r="C21" s="51">
        <f>B21/12</f>
        <v>2.0833333333333332E-2</v>
      </c>
      <c r="D21" s="48" t="s">
        <v>31</v>
      </c>
      <c r="E21" s="47" t="s">
        <v>38</v>
      </c>
      <c r="G21" t="s">
        <v>43</v>
      </c>
      <c r="H21" s="84">
        <v>0.25</v>
      </c>
      <c r="I21" s="84">
        <v>0.3</v>
      </c>
    </row>
    <row r="22" spans="1:9" ht="15.75" thickTop="1" x14ac:dyDescent="0.25">
      <c r="G22" t="s">
        <v>44</v>
      </c>
      <c r="H22" s="84">
        <v>0.04</v>
      </c>
      <c r="I22" s="84">
        <v>0.03</v>
      </c>
    </row>
    <row r="23" spans="1:9" x14ac:dyDescent="0.25">
      <c r="A23" s="43" t="s">
        <v>45</v>
      </c>
      <c r="B23" s="44"/>
      <c r="C23" s="44" t="s">
        <v>27</v>
      </c>
      <c r="D23" s="45" t="s">
        <v>28</v>
      </c>
      <c r="E23" s="44"/>
    </row>
    <row r="24" spans="1:9" x14ac:dyDescent="0.25">
      <c r="A24" s="2" t="s">
        <v>46</v>
      </c>
      <c r="B24" s="3">
        <v>1600</v>
      </c>
      <c r="D24" s="15" t="s">
        <v>47</v>
      </c>
      <c r="G24" s="1" t="s">
        <v>48</v>
      </c>
      <c r="H24" s="118">
        <v>10000</v>
      </c>
      <c r="I24" s="119">
        <v>10000</v>
      </c>
    </row>
    <row r="25" spans="1:9" x14ac:dyDescent="0.25">
      <c r="A25" s="2" t="s">
        <v>49</v>
      </c>
      <c r="B25" s="3">
        <v>8</v>
      </c>
      <c r="D25" s="15" t="s">
        <v>47</v>
      </c>
      <c r="G25" s="2" t="s">
        <v>50</v>
      </c>
      <c r="H25" s="117">
        <f>(H24/H18)*1000</f>
        <v>2222222.222222222</v>
      </c>
      <c r="I25" s="117">
        <f>(I24/I18)*1000</f>
        <v>2702702.7027027025</v>
      </c>
    </row>
    <row r="26" spans="1:9" x14ac:dyDescent="0.25">
      <c r="A26" s="14" t="s">
        <v>51</v>
      </c>
      <c r="B26" s="32">
        <v>200</v>
      </c>
      <c r="D26" s="15" t="s">
        <v>31</v>
      </c>
      <c r="E26" t="s">
        <v>32</v>
      </c>
      <c r="G26" s="2" t="s">
        <v>52</v>
      </c>
      <c r="H26" s="117">
        <f t="shared" ref="H26:I28" si="0">H25*H20</f>
        <v>33333.333333333328</v>
      </c>
      <c r="I26" s="117">
        <f t="shared" si="0"/>
        <v>40000</v>
      </c>
    </row>
    <row r="27" spans="1:9" x14ac:dyDescent="0.25">
      <c r="A27" s="14" t="s">
        <v>53</v>
      </c>
      <c r="B27" s="5">
        <v>0.15</v>
      </c>
      <c r="C27" s="7">
        <f>ROUND(B27/12,3)</f>
        <v>1.2999999999999999E-2</v>
      </c>
      <c r="D27" s="15" t="s">
        <v>31</v>
      </c>
      <c r="E27" t="s">
        <v>32</v>
      </c>
      <c r="G27" s="2" t="s">
        <v>54</v>
      </c>
      <c r="H27" s="117">
        <f t="shared" si="0"/>
        <v>8333.3333333333321</v>
      </c>
      <c r="I27" s="117">
        <f t="shared" si="0"/>
        <v>12000</v>
      </c>
    </row>
    <row r="28" spans="1:9" x14ac:dyDescent="0.25">
      <c r="A28" s="2" t="s">
        <v>55</v>
      </c>
      <c r="B28" s="32">
        <f>B26/2</f>
        <v>100</v>
      </c>
      <c r="D28" s="15" t="s">
        <v>47</v>
      </c>
      <c r="G28" s="2" t="s">
        <v>56</v>
      </c>
      <c r="H28" s="117">
        <f t="shared" si="0"/>
        <v>333.33333333333331</v>
      </c>
      <c r="I28" s="117">
        <f t="shared" si="0"/>
        <v>360</v>
      </c>
    </row>
    <row r="29" spans="1:9" ht="15.75" thickBot="1" x14ac:dyDescent="0.3">
      <c r="A29" s="46" t="s">
        <v>57</v>
      </c>
      <c r="B29" s="49">
        <v>0.1</v>
      </c>
      <c r="C29" s="47"/>
      <c r="D29" s="48" t="s">
        <v>47</v>
      </c>
      <c r="E29" s="47"/>
    </row>
    <row r="30" spans="1:9" ht="15.75" thickTop="1" x14ac:dyDescent="0.25">
      <c r="G30" s="120" t="s">
        <v>58</v>
      </c>
      <c r="H30" s="121">
        <f>H24/H28</f>
        <v>30</v>
      </c>
      <c r="I30" s="121">
        <f>I24/I28</f>
        <v>27.777777777777779</v>
      </c>
    </row>
    <row r="31" spans="1:9" x14ac:dyDescent="0.25">
      <c r="A31" s="43" t="s">
        <v>59</v>
      </c>
      <c r="B31" s="44"/>
      <c r="C31" s="44"/>
      <c r="D31" s="45"/>
      <c r="E31" s="44"/>
      <c r="G31" s="2"/>
      <c r="H31" s="131">
        <f>(H24+I24)/(H28+I28)</f>
        <v>28.84615384615385</v>
      </c>
      <c r="I31" s="131"/>
    </row>
    <row r="32" spans="1:9" x14ac:dyDescent="0.25">
      <c r="A32" s="2" t="s">
        <v>60</v>
      </c>
      <c r="B32" s="3">
        <v>1100</v>
      </c>
      <c r="H32" s="20"/>
    </row>
    <row r="33" spans="1:9" x14ac:dyDescent="0.25">
      <c r="A33" s="2" t="s">
        <v>61</v>
      </c>
      <c r="B33" s="3">
        <v>40</v>
      </c>
      <c r="G33" s="60"/>
      <c r="H33" s="20"/>
    </row>
    <row r="34" spans="1:9" x14ac:dyDescent="0.25">
      <c r="A34" s="14" t="s">
        <v>62</v>
      </c>
      <c r="B34" s="56">
        <f>H31</f>
        <v>28.84615384615385</v>
      </c>
      <c r="E34" t="s">
        <v>32</v>
      </c>
      <c r="G34" s="60"/>
      <c r="H34" s="20"/>
    </row>
    <row r="35" spans="1:9" x14ac:dyDescent="0.25">
      <c r="A35" s="14" t="s">
        <v>63</v>
      </c>
      <c r="B35" s="5">
        <v>0.1</v>
      </c>
      <c r="C35" s="7">
        <f>ROUND(B35/12,3)</f>
        <v>8.0000000000000002E-3</v>
      </c>
      <c r="E35" t="s">
        <v>32</v>
      </c>
      <c r="G35" s="60"/>
      <c r="H35" s="20"/>
    </row>
    <row r="36" spans="1:9" x14ac:dyDescent="0.25">
      <c r="A36" s="2" t="s">
        <v>64</v>
      </c>
      <c r="B36" s="123">
        <f>B34/2</f>
        <v>14.423076923076925</v>
      </c>
      <c r="H36" s="67"/>
      <c r="I36" s="67"/>
    </row>
    <row r="37" spans="1:9" ht="15.75" thickBot="1" x14ac:dyDescent="0.3">
      <c r="A37" s="46" t="s">
        <v>57</v>
      </c>
      <c r="B37" s="49">
        <v>0.1</v>
      </c>
      <c r="C37" s="47"/>
      <c r="D37" s="48"/>
      <c r="E37" s="47"/>
      <c r="G37" s="91"/>
      <c r="H37" s="84"/>
      <c r="I37" s="84"/>
    </row>
    <row r="38" spans="1:9" ht="15.75" thickTop="1" x14ac:dyDescent="0.25">
      <c r="G38" s="91"/>
      <c r="H38" s="67"/>
      <c r="I38" s="67"/>
    </row>
    <row r="39" spans="1:9" x14ac:dyDescent="0.25">
      <c r="A39" s="10" t="s">
        <v>65</v>
      </c>
      <c r="B39" s="13">
        <f>(B34+B26)/(C46+1)</f>
        <v>46.703296703296701</v>
      </c>
      <c r="G39" s="92"/>
      <c r="H39" s="67"/>
      <c r="I39" s="67"/>
    </row>
    <row r="41" spans="1:9" x14ac:dyDescent="0.25">
      <c r="A41" s="43" t="s">
        <v>66</v>
      </c>
      <c r="B41" s="44"/>
      <c r="C41" s="44"/>
      <c r="D41" s="45"/>
      <c r="E41" s="44"/>
    </row>
    <row r="42" spans="1:9" x14ac:dyDescent="0.25">
      <c r="A42" s="2" t="s">
        <v>67</v>
      </c>
      <c r="B42" s="3">
        <v>1</v>
      </c>
    </row>
    <row r="43" spans="1:9" x14ac:dyDescent="0.25">
      <c r="A43" s="2" t="s">
        <v>68</v>
      </c>
      <c r="B43">
        <f>1/B21</f>
        <v>4</v>
      </c>
    </row>
    <row r="44" spans="1:9" x14ac:dyDescent="0.25">
      <c r="A44" s="14" t="s">
        <v>69</v>
      </c>
      <c r="C44" s="58">
        <v>0.115</v>
      </c>
      <c r="D44" s="15" t="s">
        <v>31</v>
      </c>
      <c r="E44" t="s">
        <v>70</v>
      </c>
    </row>
    <row r="45" spans="1:9" x14ac:dyDescent="0.25">
      <c r="A45" s="2" t="s">
        <v>71</v>
      </c>
      <c r="B45" s="9">
        <f>B42*(1+$C$44)^(B43*12)</f>
        <v>185.86329600555308</v>
      </c>
    </row>
    <row r="46" spans="1:9" ht="15.75" thickBot="1" x14ac:dyDescent="0.3">
      <c r="A46" s="46" t="s">
        <v>72</v>
      </c>
      <c r="B46" s="47"/>
      <c r="C46" s="47">
        <f>ROUND((B45-B42)/B43/12,1)</f>
        <v>3.9</v>
      </c>
      <c r="D46" s="48"/>
      <c r="E46" s="47"/>
    </row>
    <row r="47" spans="1:9" ht="15.75" thickTop="1" x14ac:dyDescent="0.25"/>
  </sheetData>
  <mergeCells count="1">
    <mergeCell ref="H31:I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6E0AF-DBB7-4903-83CF-A142F5F168E6}">
  <dimension ref="A1:AQ102"/>
  <sheetViews>
    <sheetView tabSelected="1" zoomScaleNormal="100" workbookViewId="0">
      <pane xSplit="1" ySplit="4" topLeftCell="AP5" activePane="bottomRight" state="frozen"/>
      <selection pane="topRight"/>
      <selection pane="bottomLeft"/>
      <selection pane="bottomRight" activeCell="BB31" sqref="BB31"/>
    </sheetView>
  </sheetViews>
  <sheetFormatPr defaultRowHeight="15" x14ac:dyDescent="0.25"/>
  <cols>
    <col min="1" max="1" width="56.140625" style="22" customWidth="1"/>
    <col min="2" max="2" width="13.5703125" customWidth="1"/>
    <col min="3" max="20" width="13.28515625" customWidth="1"/>
    <col min="21" max="21" width="13.28515625" style="100" customWidth="1"/>
    <col min="22" max="38" width="13.28515625" customWidth="1"/>
    <col min="42" max="42" width="16.7109375" style="12" customWidth="1"/>
  </cols>
  <sheetData>
    <row r="1" spans="1:42" x14ac:dyDescent="0.25">
      <c r="A1" s="22" t="s">
        <v>73</v>
      </c>
      <c r="B1" s="1" t="s">
        <v>74</v>
      </c>
      <c r="C1" t="s">
        <v>75</v>
      </c>
      <c r="D1" t="s">
        <v>76</v>
      </c>
      <c r="E1" t="s">
        <v>77</v>
      </c>
      <c r="F1" t="s">
        <v>78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  <c r="L1" t="s">
        <v>84</v>
      </c>
      <c r="M1" t="s">
        <v>85</v>
      </c>
      <c r="N1" t="s">
        <v>86</v>
      </c>
      <c r="O1" t="s">
        <v>87</v>
      </c>
      <c r="P1" t="s">
        <v>88</v>
      </c>
      <c r="Q1" t="s">
        <v>89</v>
      </c>
      <c r="R1" t="s">
        <v>90</v>
      </c>
      <c r="S1" t="s">
        <v>91</v>
      </c>
      <c r="T1" t="s">
        <v>92</v>
      </c>
      <c r="U1" s="100" t="s">
        <v>93</v>
      </c>
      <c r="V1" t="s">
        <v>94</v>
      </c>
      <c r="W1" t="s">
        <v>95</v>
      </c>
      <c r="X1" t="s">
        <v>96</v>
      </c>
      <c r="Y1" t="s">
        <v>97</v>
      </c>
      <c r="Z1" t="s">
        <v>98</v>
      </c>
      <c r="AA1" t="s">
        <v>99</v>
      </c>
      <c r="AB1" t="s">
        <v>100</v>
      </c>
      <c r="AC1" t="s">
        <v>101</v>
      </c>
      <c r="AD1" t="s">
        <v>102</v>
      </c>
      <c r="AE1" t="s">
        <v>103</v>
      </c>
      <c r="AF1" t="s">
        <v>104</v>
      </c>
      <c r="AG1" t="s">
        <v>105</v>
      </c>
      <c r="AH1" t="s">
        <v>106</v>
      </c>
      <c r="AI1" t="s">
        <v>107</v>
      </c>
      <c r="AJ1" t="s">
        <v>108</v>
      </c>
      <c r="AK1" t="s">
        <v>109</v>
      </c>
      <c r="AL1" t="s">
        <v>110</v>
      </c>
      <c r="AM1" t="s">
        <v>111</v>
      </c>
      <c r="AN1" t="s">
        <v>112</v>
      </c>
      <c r="AP1" s="12" t="s">
        <v>113</v>
      </c>
    </row>
    <row r="2" spans="1:42" x14ac:dyDescent="0.25">
      <c r="A2" s="22" t="s">
        <v>114</v>
      </c>
      <c r="B2" s="1"/>
      <c r="C2">
        <v>2024</v>
      </c>
      <c r="D2">
        <v>2024</v>
      </c>
      <c r="E2">
        <v>2024</v>
      </c>
      <c r="F2">
        <v>2024</v>
      </c>
      <c r="G2">
        <v>2024</v>
      </c>
      <c r="H2">
        <v>2025</v>
      </c>
      <c r="I2">
        <v>2025</v>
      </c>
      <c r="J2">
        <v>2025</v>
      </c>
      <c r="K2">
        <v>2025</v>
      </c>
      <c r="L2">
        <v>2025</v>
      </c>
      <c r="M2">
        <v>2025</v>
      </c>
      <c r="N2">
        <v>2025</v>
      </c>
      <c r="O2">
        <v>2025</v>
      </c>
      <c r="P2">
        <v>2025</v>
      </c>
      <c r="Q2">
        <v>2025</v>
      </c>
      <c r="R2">
        <v>2025</v>
      </c>
      <c r="S2">
        <v>2025</v>
      </c>
      <c r="T2">
        <v>2026</v>
      </c>
      <c r="U2">
        <v>2026</v>
      </c>
      <c r="V2">
        <v>2026</v>
      </c>
      <c r="W2">
        <v>2026</v>
      </c>
      <c r="X2">
        <v>2026</v>
      </c>
      <c r="Y2">
        <v>2026</v>
      </c>
      <c r="Z2">
        <v>2026</v>
      </c>
      <c r="AA2">
        <v>2026</v>
      </c>
      <c r="AB2">
        <v>2026</v>
      </c>
      <c r="AC2">
        <v>2026</v>
      </c>
      <c r="AD2">
        <v>2026</v>
      </c>
      <c r="AE2">
        <v>2026</v>
      </c>
      <c r="AF2">
        <v>2027</v>
      </c>
      <c r="AG2">
        <v>2027</v>
      </c>
      <c r="AH2">
        <v>2027</v>
      </c>
      <c r="AI2">
        <v>2027</v>
      </c>
      <c r="AJ2">
        <v>2027</v>
      </c>
      <c r="AK2">
        <v>2027</v>
      </c>
      <c r="AL2">
        <v>2027</v>
      </c>
    </row>
    <row r="3" spans="1:42" x14ac:dyDescent="0.25">
      <c r="A3" s="22" t="s">
        <v>115</v>
      </c>
      <c r="B3" s="1"/>
      <c r="C3" s="132" t="s">
        <v>116</v>
      </c>
      <c r="D3" s="132"/>
      <c r="E3" s="132" t="s">
        <v>117</v>
      </c>
      <c r="F3" s="132"/>
      <c r="G3" s="132"/>
      <c r="H3" s="132" t="s">
        <v>118</v>
      </c>
      <c r="I3" s="132"/>
      <c r="J3" s="132"/>
      <c r="K3" s="132" t="s">
        <v>119</v>
      </c>
      <c r="L3" s="132"/>
      <c r="M3" s="132"/>
      <c r="N3" s="132" t="s">
        <v>120</v>
      </c>
      <c r="O3" s="132"/>
      <c r="P3" s="132"/>
      <c r="Q3" s="132" t="s">
        <v>121</v>
      </c>
      <c r="R3" s="132"/>
      <c r="S3" s="132"/>
      <c r="T3" s="132" t="s">
        <v>122</v>
      </c>
      <c r="U3" s="132"/>
      <c r="V3" s="132"/>
      <c r="W3" s="132" t="s">
        <v>123</v>
      </c>
      <c r="X3" s="132"/>
      <c r="Y3" s="132"/>
      <c r="Z3" s="132" t="s">
        <v>124</v>
      </c>
      <c r="AA3" s="132"/>
      <c r="AB3" s="132"/>
      <c r="AC3" s="132" t="s">
        <v>125</v>
      </c>
      <c r="AD3" s="132"/>
      <c r="AE3" s="132"/>
      <c r="AF3" s="132" t="s">
        <v>126</v>
      </c>
      <c r="AG3" s="132"/>
      <c r="AH3" s="132"/>
      <c r="AI3" s="132" t="s">
        <v>127</v>
      </c>
      <c r="AJ3" s="132"/>
      <c r="AK3" s="132"/>
    </row>
    <row r="4" spans="1:42" x14ac:dyDescent="0.25">
      <c r="A4" s="22" t="s">
        <v>128</v>
      </c>
      <c r="B4" s="1"/>
      <c r="C4" t="s">
        <v>129</v>
      </c>
      <c r="D4" t="s">
        <v>130</v>
      </c>
      <c r="E4" t="s">
        <v>131</v>
      </c>
      <c r="F4" t="s">
        <v>132</v>
      </c>
      <c r="G4" t="s">
        <v>133</v>
      </c>
      <c r="H4" t="s">
        <v>134</v>
      </c>
      <c r="I4" t="s">
        <v>135</v>
      </c>
      <c r="J4" t="s">
        <v>136</v>
      </c>
      <c r="K4" t="s">
        <v>137</v>
      </c>
      <c r="L4" t="s">
        <v>138</v>
      </c>
      <c r="M4" t="s">
        <v>139</v>
      </c>
      <c r="N4" t="s">
        <v>140</v>
      </c>
      <c r="O4" t="s">
        <v>129</v>
      </c>
      <c r="P4" t="s">
        <v>130</v>
      </c>
      <c r="Q4" t="s">
        <v>131</v>
      </c>
      <c r="R4" t="s">
        <v>132</v>
      </c>
      <c r="S4" t="s">
        <v>133</v>
      </c>
      <c r="T4" t="s">
        <v>134</v>
      </c>
      <c r="U4" s="100" t="s">
        <v>135</v>
      </c>
      <c r="V4" t="s">
        <v>136</v>
      </c>
      <c r="W4" t="s">
        <v>137</v>
      </c>
      <c r="X4" t="s">
        <v>138</v>
      </c>
      <c r="Y4" t="s">
        <v>139</v>
      </c>
      <c r="Z4" t="s">
        <v>140</v>
      </c>
      <c r="AA4" t="s">
        <v>129</v>
      </c>
      <c r="AB4" t="s">
        <v>130</v>
      </c>
      <c r="AC4" t="s">
        <v>131</v>
      </c>
      <c r="AD4" t="s">
        <v>132</v>
      </c>
      <c r="AE4" t="s">
        <v>133</v>
      </c>
      <c r="AF4" t="s">
        <v>134</v>
      </c>
      <c r="AG4" t="s">
        <v>135</v>
      </c>
      <c r="AH4" t="s">
        <v>136</v>
      </c>
      <c r="AI4" t="s">
        <v>137</v>
      </c>
      <c r="AJ4" t="s">
        <v>138</v>
      </c>
      <c r="AK4" t="s">
        <v>139</v>
      </c>
      <c r="AL4" t="s">
        <v>140</v>
      </c>
    </row>
    <row r="5" spans="1:42" x14ac:dyDescent="0.25">
      <c r="A5" s="23" t="s">
        <v>141</v>
      </c>
      <c r="B5" s="1"/>
    </row>
    <row r="6" spans="1:42" x14ac:dyDescent="0.25">
      <c r="A6" s="24" t="s">
        <v>142</v>
      </c>
      <c r="B6" s="1"/>
      <c r="C6">
        <f>'Assumptions and Drivers'!$B$24</f>
        <v>1600</v>
      </c>
      <c r="D6">
        <f>'Assumptions and Drivers'!$B$24</f>
        <v>1600</v>
      </c>
      <c r="E6">
        <f>'Assumptions and Drivers'!$B$24</f>
        <v>1600</v>
      </c>
      <c r="F6">
        <f>'Assumptions and Drivers'!$B$24</f>
        <v>1600</v>
      </c>
      <c r="G6">
        <f>'Assumptions and Drivers'!$B$24</f>
        <v>1600</v>
      </c>
      <c r="H6">
        <f>ROUNDUP(G6*(1+IF(H4="Jan",'Assumptions and Drivers'!$B$29,0)),0)</f>
        <v>1760</v>
      </c>
      <c r="I6">
        <f>ROUNDUP(H6*(1+IF(I4="Jan",'Assumptions and Drivers'!$B$29,0)),0)</f>
        <v>1760</v>
      </c>
      <c r="J6">
        <f>ROUNDUP(I6*(1+IF(J4="Jan",'Assumptions and Drivers'!$B$29,0)),0)</f>
        <v>1760</v>
      </c>
      <c r="K6">
        <f>ROUNDUP(J6*(1+IF(K4="Jan",'Assumptions and Drivers'!$B$29,0)),0)</f>
        <v>1760</v>
      </c>
      <c r="L6">
        <f>ROUNDUP(K6*(1+IF(L4="Jan",'Assumptions and Drivers'!$B$29,0)),0)</f>
        <v>1760</v>
      </c>
      <c r="M6">
        <f>ROUNDUP(L6*(1+IF(M4="Jan",'Assumptions and Drivers'!$B$29,0)),0)</f>
        <v>1760</v>
      </c>
      <c r="N6">
        <f>ROUNDUP(M6*(1+IF(N4="Jan",'Assumptions and Drivers'!$B$29,0)),0)</f>
        <v>1760</v>
      </c>
      <c r="O6">
        <f>ROUNDUP(N6*(1+IF(O4="Jan",'Assumptions and Drivers'!$B$29,0)),0)</f>
        <v>1760</v>
      </c>
      <c r="P6">
        <f>ROUNDUP(O6*(1+IF(P4="Jan",'Assumptions and Drivers'!$B$29,0)),0)</f>
        <v>1760</v>
      </c>
      <c r="Q6">
        <f>ROUNDUP(P6*(1+IF(Q4="Jan",'Assumptions and Drivers'!$B$29,0)),0)</f>
        <v>1760</v>
      </c>
      <c r="R6">
        <f>ROUNDUP(Q6*(1+IF(R4="Jan",'Assumptions and Drivers'!$B$29,0)),0)</f>
        <v>1760</v>
      </c>
      <c r="S6">
        <f>ROUNDUP(R6*(1+IF(S4="Jan",'Assumptions and Drivers'!$B$29,0)),0)</f>
        <v>1760</v>
      </c>
      <c r="T6">
        <f>ROUNDUP(S6*(1+IF(T4="Jan",'Assumptions and Drivers'!$B$29,0)),0)</f>
        <v>1936</v>
      </c>
      <c r="U6" s="100">
        <f>ROUNDUP(T6*(1+IF(U4="Jan",'Assumptions and Drivers'!$B$29,0)),0)</f>
        <v>1936</v>
      </c>
      <c r="V6">
        <f>ROUNDUP(U6*(1+IF(V4="Jan",'Assumptions and Drivers'!$B$29,0)),0)</f>
        <v>1936</v>
      </c>
      <c r="W6">
        <f>ROUNDUP(V6*(1+IF(W4="Jan",'Assumptions and Drivers'!$B$29,0)),0)</f>
        <v>1936</v>
      </c>
      <c r="X6">
        <f>ROUNDUP(W6*(1+IF(X4="Jan",'Assumptions and Drivers'!$B$29,0)),0)</f>
        <v>1936</v>
      </c>
      <c r="Y6">
        <f>ROUNDUP(X6*(1+IF(Y4="Jan",'Assumptions and Drivers'!$B$29,0)),0)</f>
        <v>1936</v>
      </c>
      <c r="Z6">
        <f>ROUNDUP(Y6*(1+IF(Z4="Jan",'Assumptions and Drivers'!$B$29,0)),0)</f>
        <v>1936</v>
      </c>
      <c r="AA6">
        <f>ROUNDUP(Z6*(1+IF(AA4="Jan",'Assumptions and Drivers'!$B$29,0)),0)</f>
        <v>1936</v>
      </c>
      <c r="AB6">
        <f>ROUNDUP(AA6*(1+IF(AB4="Jan",'Assumptions and Drivers'!$B$29,0)),0)</f>
        <v>1936</v>
      </c>
      <c r="AC6">
        <f>ROUNDUP(AB6*(1+IF(AC4="Jan",'Assumptions and Drivers'!$B$29,0)),0)</f>
        <v>1936</v>
      </c>
      <c r="AD6">
        <f>ROUNDUP(AC6*(1+IF(AD4="Jan",'Assumptions and Drivers'!$B$29,0)),0)</f>
        <v>1936</v>
      </c>
      <c r="AE6">
        <f>ROUNDUP(AD6*(1+IF(AE4="Jan",'Assumptions and Drivers'!$B$29,0)),0)</f>
        <v>1936</v>
      </c>
      <c r="AF6">
        <f>ROUNDUP(AE6*(1+IF(AF4="Jan",'Assumptions and Drivers'!$B$29,0)),0)</f>
        <v>2130</v>
      </c>
      <c r="AG6">
        <f>ROUNDUP(AF6*(1+IF(AG4="Jan",'Assumptions and Drivers'!$B$29,0)),0)</f>
        <v>2130</v>
      </c>
      <c r="AH6">
        <f>ROUNDUP(AG6*(1+IF(AH4="Jan",'Assumptions and Drivers'!$B$29,0)),0)</f>
        <v>2130</v>
      </c>
      <c r="AI6">
        <f>ROUNDUP(AH6*(1+IF(AI4="Jan",'Assumptions and Drivers'!$B$29,0)),0)</f>
        <v>2130</v>
      </c>
      <c r="AJ6">
        <f>ROUNDUP(AI6*(1+IF(AJ4="Jan",'Assumptions and Drivers'!$B$29,0)),0)</f>
        <v>2130</v>
      </c>
      <c r="AK6">
        <f>ROUNDUP(AJ6*(1+IF(AK4="Jan",'Assumptions and Drivers'!$B$29,0)),0)</f>
        <v>2130</v>
      </c>
      <c r="AL6">
        <f>ROUNDUP(AK6*(1+IF(AL4="Jan",'Assumptions and Drivers'!$B$29,0)),0)</f>
        <v>2130</v>
      </c>
      <c r="AP6" s="72">
        <f>SUM(C6:AL6)</f>
        <v>67262</v>
      </c>
    </row>
    <row r="7" spans="1:42" x14ac:dyDescent="0.25">
      <c r="A7" s="24" t="s">
        <v>143</v>
      </c>
      <c r="B7" s="1"/>
      <c r="C7">
        <f>'Assumptions and Drivers'!$B$26</f>
        <v>200</v>
      </c>
      <c r="D7">
        <f>'Assumptions and Drivers'!$B$26</f>
        <v>200</v>
      </c>
      <c r="E7">
        <f>'Assumptions and Drivers'!$B$26</f>
        <v>200</v>
      </c>
      <c r="F7">
        <f>'Assumptions and Drivers'!$B$26</f>
        <v>200</v>
      </c>
      <c r="G7">
        <f>'Assumptions and Drivers'!$B$26</f>
        <v>200</v>
      </c>
      <c r="H7" s="9">
        <f>MAX(G7*(1-'Assumptions and Drivers'!$C$27),'Assumptions and Drivers'!$B$28)</f>
        <v>197.4</v>
      </c>
      <c r="I7" s="9">
        <f>MAX(H7*(1-'Assumptions and Drivers'!$C$27),'Assumptions and Drivers'!$B$28)</f>
        <v>194.8338</v>
      </c>
      <c r="J7" s="9">
        <f>MAX(I7*(1-'Assumptions and Drivers'!$C$27),'Assumptions and Drivers'!$B$28)</f>
        <v>192.3009606</v>
      </c>
      <c r="K7" s="9">
        <f>MAX(J7*(1-'Assumptions and Drivers'!$C$27),'Assumptions and Drivers'!$B$28)</f>
        <v>189.80104811219999</v>
      </c>
      <c r="L7" s="9">
        <f>MAX(K7*(1-'Assumptions and Drivers'!$C$27),'Assumptions and Drivers'!$B$28)</f>
        <v>187.3336344867414</v>
      </c>
      <c r="M7" s="9">
        <f>MAX(L7*(1-'Assumptions and Drivers'!$C$27),'Assumptions and Drivers'!$B$28)</f>
        <v>184.89829723841376</v>
      </c>
      <c r="N7" s="9">
        <f>MAX(M7*(1-'Assumptions and Drivers'!$C$27),'Assumptions and Drivers'!$B$28)</f>
        <v>182.49461937431437</v>
      </c>
      <c r="O7" s="9">
        <f>MAX(N7*(1-'Assumptions and Drivers'!$C$27),'Assumptions and Drivers'!$B$28)</f>
        <v>180.12218932244829</v>
      </c>
      <c r="P7" s="9">
        <f>MAX(O7*(1-'Assumptions and Drivers'!$C$27),'Assumptions and Drivers'!$B$28)</f>
        <v>177.78060086125646</v>
      </c>
      <c r="Q7" s="9">
        <f>MAX(P7*(1-'Assumptions and Drivers'!$C$27),'Assumptions and Drivers'!$B$28)</f>
        <v>175.46945305006011</v>
      </c>
      <c r="R7" s="9">
        <f>MAX(Q7*(1-'Assumptions and Drivers'!$C$27),'Assumptions and Drivers'!$B$28)</f>
        <v>173.18835016040933</v>
      </c>
      <c r="S7" s="9">
        <f>MAX(R7*(1-'Assumptions and Drivers'!$C$27),'Assumptions and Drivers'!$B$28)</f>
        <v>170.93690160832401</v>
      </c>
      <c r="T7" s="9">
        <f>MAX(S7*(1-'Assumptions and Drivers'!$C$27),'Assumptions and Drivers'!$B$28)</f>
        <v>168.71472188741581</v>
      </c>
      <c r="U7" s="101">
        <f>MAX(T7*(1-'Assumptions and Drivers'!$C$27),'Assumptions and Drivers'!$B$28)</f>
        <v>166.52143050287941</v>
      </c>
      <c r="V7" s="9">
        <f>MAX(U7*(1-'Assumptions and Drivers'!$C$27),'Assumptions and Drivers'!$B$28)</f>
        <v>164.35665190634197</v>
      </c>
      <c r="W7" s="9">
        <f>MAX(V7*(1-'Assumptions and Drivers'!$C$27),'Assumptions and Drivers'!$B$28)</f>
        <v>162.22001543155952</v>
      </c>
      <c r="X7" s="9">
        <f>MAX(W7*(1-'Assumptions and Drivers'!$C$27),'Assumptions and Drivers'!$B$28)</f>
        <v>160.11115523094924</v>
      </c>
      <c r="Y7" s="9">
        <f>MAX(X7*(1-'Assumptions and Drivers'!$C$27),'Assumptions and Drivers'!$B$28)</f>
        <v>158.0297102129469</v>
      </c>
      <c r="Z7" s="9">
        <f>MAX(Y7*(1-'Assumptions and Drivers'!$C$27),'Assumptions and Drivers'!$B$28)</f>
        <v>155.97532398017859</v>
      </c>
      <c r="AA7" s="9">
        <f>MAX(Z7*(1-'Assumptions and Drivers'!$C$27),'Assumptions and Drivers'!$B$28)</f>
        <v>153.94764476843628</v>
      </c>
      <c r="AB7" s="9">
        <f>MAX(AA7*(1-'Assumptions and Drivers'!$C$27),'Assumptions and Drivers'!$B$28)</f>
        <v>151.9463253864466</v>
      </c>
      <c r="AC7" s="9">
        <f>MAX(AB7*(1-'Assumptions and Drivers'!$C$27),'Assumptions and Drivers'!$B$28)</f>
        <v>149.9710231564228</v>
      </c>
      <c r="AD7" s="9">
        <f>MAX(AC7*(1-'Assumptions and Drivers'!$C$27),'Assumptions and Drivers'!$B$28)</f>
        <v>148.02139985538929</v>
      </c>
      <c r="AE7" s="9">
        <f>MAX(AD7*(1-'Assumptions and Drivers'!$C$27),'Assumptions and Drivers'!$B$28)</f>
        <v>146.09712165726924</v>
      </c>
      <c r="AF7" s="9">
        <f>MAX(AE7*(1-'Assumptions and Drivers'!$C$27),'Assumptions and Drivers'!$B$28)</f>
        <v>144.19785907572475</v>
      </c>
      <c r="AG7" s="9">
        <f>MAX(AF7*(1-'Assumptions and Drivers'!$C$27),'Assumptions and Drivers'!$B$28)</f>
        <v>142.32328690774034</v>
      </c>
      <c r="AH7" s="9">
        <f>MAX(AG7*(1-'Assumptions and Drivers'!$C$27),'Assumptions and Drivers'!$B$28)</f>
        <v>140.47308417793971</v>
      </c>
      <c r="AI7" s="9">
        <f>MAX(AH7*(1-'Assumptions and Drivers'!$C$27),'Assumptions and Drivers'!$B$28)</f>
        <v>138.64693408362649</v>
      </c>
      <c r="AJ7" s="9">
        <f>MAX(AI7*(1-'Assumptions and Drivers'!$C$27),'Assumptions and Drivers'!$B$28)</f>
        <v>136.84452394053935</v>
      </c>
      <c r="AK7" s="9">
        <f>MAX(AJ7*(1-'Assumptions and Drivers'!$C$27),'Assumptions and Drivers'!$B$28)</f>
        <v>135.06554512931234</v>
      </c>
      <c r="AL7" s="9">
        <f>MAX(AK7*(1-'Assumptions and Drivers'!$C$27),'Assumptions and Drivers'!$B$28)</f>
        <v>133.30969304263127</v>
      </c>
    </row>
    <row r="8" spans="1:42" x14ac:dyDescent="0.25">
      <c r="A8" s="24" t="s">
        <v>144</v>
      </c>
      <c r="B8" s="4">
        <v>0</v>
      </c>
      <c r="C8">
        <f>B11</f>
        <v>0</v>
      </c>
      <c r="D8">
        <f t="shared" ref="D8:G8" si="0">C11</f>
        <v>0</v>
      </c>
      <c r="E8">
        <f t="shared" si="0"/>
        <v>8</v>
      </c>
      <c r="F8">
        <f t="shared" si="0"/>
        <v>16</v>
      </c>
      <c r="G8">
        <f t="shared" si="0"/>
        <v>24</v>
      </c>
      <c r="H8">
        <f t="shared" ref="H8:AL8" si="1">G11</f>
        <v>32</v>
      </c>
      <c r="I8">
        <f t="shared" si="1"/>
        <v>41</v>
      </c>
      <c r="J8">
        <f t="shared" si="1"/>
        <v>50</v>
      </c>
      <c r="K8">
        <f t="shared" si="1"/>
        <v>58</v>
      </c>
      <c r="L8">
        <f t="shared" si="1"/>
        <v>66</v>
      </c>
      <c r="M8">
        <f t="shared" si="1"/>
        <v>74</v>
      </c>
      <c r="N8">
        <f t="shared" si="1"/>
        <v>83</v>
      </c>
      <c r="O8">
        <f t="shared" si="1"/>
        <v>92</v>
      </c>
      <c r="P8">
        <f t="shared" si="1"/>
        <v>101</v>
      </c>
      <c r="Q8">
        <f t="shared" si="1"/>
        <v>109</v>
      </c>
      <c r="R8">
        <f t="shared" si="1"/>
        <v>117</v>
      </c>
      <c r="S8">
        <f t="shared" si="1"/>
        <v>125</v>
      </c>
      <c r="T8">
        <f t="shared" si="1"/>
        <v>133</v>
      </c>
      <c r="U8" s="100">
        <f t="shared" si="1"/>
        <v>142</v>
      </c>
      <c r="V8">
        <f t="shared" si="1"/>
        <v>152</v>
      </c>
      <c r="W8">
        <f t="shared" si="1"/>
        <v>161</v>
      </c>
      <c r="X8">
        <f t="shared" si="1"/>
        <v>170</v>
      </c>
      <c r="Y8">
        <f t="shared" si="1"/>
        <v>179</v>
      </c>
      <c r="Z8">
        <f t="shared" si="1"/>
        <v>188</v>
      </c>
      <c r="AA8">
        <f t="shared" si="1"/>
        <v>197</v>
      </c>
      <c r="AB8">
        <f t="shared" si="1"/>
        <v>206</v>
      </c>
      <c r="AC8">
        <f t="shared" si="1"/>
        <v>215</v>
      </c>
      <c r="AD8">
        <f t="shared" si="1"/>
        <v>224</v>
      </c>
      <c r="AE8">
        <f t="shared" si="1"/>
        <v>233</v>
      </c>
      <c r="AF8">
        <f t="shared" si="1"/>
        <v>242</v>
      </c>
      <c r="AG8">
        <f t="shared" si="1"/>
        <v>252</v>
      </c>
      <c r="AH8">
        <f t="shared" si="1"/>
        <v>262</v>
      </c>
      <c r="AI8">
        <f t="shared" si="1"/>
        <v>272</v>
      </c>
      <c r="AJ8">
        <f t="shared" si="1"/>
        <v>282</v>
      </c>
      <c r="AK8">
        <f t="shared" si="1"/>
        <v>293</v>
      </c>
      <c r="AL8">
        <f t="shared" si="1"/>
        <v>303</v>
      </c>
      <c r="AP8" s="64"/>
    </row>
    <row r="9" spans="1:42" x14ac:dyDescent="0.25">
      <c r="A9" s="24" t="s">
        <v>145</v>
      </c>
      <c r="B9">
        <v>0</v>
      </c>
      <c r="C9">
        <v>0</v>
      </c>
      <c r="D9">
        <f>ROUNDUP(D6/'Assumptions and Drivers'!$B$26,0)</f>
        <v>8</v>
      </c>
      <c r="E9">
        <f>ROUNDUP(E6/'Assumptions and Drivers'!$B$26,0)</f>
        <v>8</v>
      </c>
      <c r="F9">
        <f>ROUNDUP(F6/'Assumptions and Drivers'!$B$26,0)</f>
        <v>8</v>
      </c>
      <c r="G9">
        <f>ROUNDUP(G6/'Assumptions and Drivers'!$B$26,0)</f>
        <v>8</v>
      </c>
      <c r="H9">
        <f>ROUND(H6/H7,0)</f>
        <v>9</v>
      </c>
      <c r="I9">
        <f t="shared" ref="I9:AL9" si="2">ROUND(I6/I7,0)</f>
        <v>9</v>
      </c>
      <c r="J9">
        <f t="shared" si="2"/>
        <v>9</v>
      </c>
      <c r="K9">
        <f t="shared" si="2"/>
        <v>9</v>
      </c>
      <c r="L9">
        <f t="shared" si="2"/>
        <v>9</v>
      </c>
      <c r="M9">
        <f t="shared" si="2"/>
        <v>10</v>
      </c>
      <c r="N9">
        <f t="shared" si="2"/>
        <v>10</v>
      </c>
      <c r="O9">
        <f t="shared" si="2"/>
        <v>10</v>
      </c>
      <c r="P9">
        <f t="shared" si="2"/>
        <v>10</v>
      </c>
      <c r="Q9">
        <f t="shared" si="2"/>
        <v>10</v>
      </c>
      <c r="R9">
        <f t="shared" si="2"/>
        <v>10</v>
      </c>
      <c r="S9">
        <f t="shared" si="2"/>
        <v>10</v>
      </c>
      <c r="T9">
        <f t="shared" si="2"/>
        <v>11</v>
      </c>
      <c r="U9" s="100">
        <f t="shared" si="2"/>
        <v>12</v>
      </c>
      <c r="V9">
        <f t="shared" si="2"/>
        <v>12</v>
      </c>
      <c r="W9">
        <f t="shared" si="2"/>
        <v>12</v>
      </c>
      <c r="X9">
        <f t="shared" si="2"/>
        <v>12</v>
      </c>
      <c r="Y9">
        <f t="shared" si="2"/>
        <v>12</v>
      </c>
      <c r="Z9">
        <f t="shared" si="2"/>
        <v>12</v>
      </c>
      <c r="AA9">
        <f t="shared" si="2"/>
        <v>13</v>
      </c>
      <c r="AB9">
        <f t="shared" si="2"/>
        <v>13</v>
      </c>
      <c r="AC9">
        <f t="shared" si="2"/>
        <v>13</v>
      </c>
      <c r="AD9">
        <f t="shared" si="2"/>
        <v>13</v>
      </c>
      <c r="AE9">
        <f t="shared" si="2"/>
        <v>13</v>
      </c>
      <c r="AF9">
        <f t="shared" si="2"/>
        <v>15</v>
      </c>
      <c r="AG9">
        <f t="shared" si="2"/>
        <v>15</v>
      </c>
      <c r="AH9">
        <f t="shared" si="2"/>
        <v>15</v>
      </c>
      <c r="AI9">
        <f t="shared" si="2"/>
        <v>15</v>
      </c>
      <c r="AJ9">
        <f t="shared" si="2"/>
        <v>16</v>
      </c>
      <c r="AK9">
        <f t="shared" si="2"/>
        <v>16</v>
      </c>
      <c r="AL9">
        <f t="shared" si="2"/>
        <v>16</v>
      </c>
      <c r="AP9" s="64">
        <f>SUM(C9:AL9)</f>
        <v>403</v>
      </c>
    </row>
    <row r="10" spans="1:42" x14ac:dyDescent="0.25">
      <c r="A10" s="24" t="s">
        <v>146</v>
      </c>
      <c r="B10">
        <v>0</v>
      </c>
      <c r="C10">
        <f>ROUNDDOWN(B11*'Assumptions and Drivers'!$C$21,0)</f>
        <v>0</v>
      </c>
      <c r="D10">
        <f>ROUNDDOWN(C11*'Assumptions and Drivers'!$C$21,0)</f>
        <v>0</v>
      </c>
      <c r="E10">
        <f>ROUNDDOWN(D11*'Assumptions and Drivers'!$C$21,0)</f>
        <v>0</v>
      </c>
      <c r="F10">
        <f>ROUNDDOWN(E11*'Assumptions and Drivers'!$C$21,0)</f>
        <v>0</v>
      </c>
      <c r="G10">
        <f>ROUNDDOWN(F11*'Assumptions and Drivers'!$C$21,0)</f>
        <v>0</v>
      </c>
      <c r="H10">
        <f>ROUNDDOWN(G11*'Assumptions and Drivers'!$C$21,0)</f>
        <v>0</v>
      </c>
      <c r="I10">
        <f>ROUNDDOWN(H11*'Assumptions and Drivers'!$C$21,0)</f>
        <v>0</v>
      </c>
      <c r="J10">
        <f>ROUNDDOWN(I11*'Assumptions and Drivers'!$C$21,0)</f>
        <v>1</v>
      </c>
      <c r="K10">
        <f>ROUNDDOWN(J11*'Assumptions and Drivers'!$C$21,0)</f>
        <v>1</v>
      </c>
      <c r="L10">
        <f>ROUNDDOWN(K11*'Assumptions and Drivers'!$C$21,0)</f>
        <v>1</v>
      </c>
      <c r="M10">
        <f>ROUNDDOWN(L11*'Assumptions and Drivers'!$C$21,0)</f>
        <v>1</v>
      </c>
      <c r="N10">
        <f>ROUNDDOWN(M11*'Assumptions and Drivers'!$C$21,0)</f>
        <v>1</v>
      </c>
      <c r="O10">
        <f>ROUNDDOWN(N11*'Assumptions and Drivers'!$C$21,0)</f>
        <v>1</v>
      </c>
      <c r="P10">
        <f>ROUNDDOWN(O11*'Assumptions and Drivers'!$C$21,0)</f>
        <v>2</v>
      </c>
      <c r="Q10">
        <f>ROUNDDOWN(P11*'Assumptions and Drivers'!$C$21,0)</f>
        <v>2</v>
      </c>
      <c r="R10">
        <f>ROUNDDOWN(Q11*'Assumptions and Drivers'!$C$21,0)</f>
        <v>2</v>
      </c>
      <c r="S10">
        <f>ROUNDDOWN(R11*'Assumptions and Drivers'!$C$21,0)</f>
        <v>2</v>
      </c>
      <c r="T10">
        <f>ROUNDDOWN(S11*'Assumptions and Drivers'!$C$21,0)</f>
        <v>2</v>
      </c>
      <c r="U10" s="100">
        <f>ROUNDDOWN(T11*'Assumptions and Drivers'!$C$21,0)</f>
        <v>2</v>
      </c>
      <c r="V10">
        <f>ROUNDDOWN(U11*'Assumptions and Drivers'!$C$21,0)</f>
        <v>3</v>
      </c>
      <c r="W10">
        <f>ROUNDDOWN(V11*'Assumptions and Drivers'!$C$21,0)</f>
        <v>3</v>
      </c>
      <c r="X10">
        <f>ROUNDDOWN(W11*'Assumptions and Drivers'!$C$21,0)</f>
        <v>3</v>
      </c>
      <c r="Y10">
        <f>ROUNDDOWN(X11*'Assumptions and Drivers'!$C$21,0)</f>
        <v>3</v>
      </c>
      <c r="Z10">
        <f>ROUNDDOWN(Y11*'Assumptions and Drivers'!$C$21,0)</f>
        <v>3</v>
      </c>
      <c r="AA10">
        <f>ROUNDDOWN(Z11*'Assumptions and Drivers'!$C$21,0)</f>
        <v>4</v>
      </c>
      <c r="AB10">
        <f>ROUNDDOWN(AA11*'Assumptions and Drivers'!$C$21,0)</f>
        <v>4</v>
      </c>
      <c r="AC10">
        <f>ROUNDDOWN(AB11*'Assumptions and Drivers'!$C$21,0)</f>
        <v>4</v>
      </c>
      <c r="AD10">
        <f>ROUNDDOWN(AC11*'Assumptions and Drivers'!$C$21,0)</f>
        <v>4</v>
      </c>
      <c r="AE10">
        <f>ROUNDDOWN(AD11*'Assumptions and Drivers'!$C$21,0)</f>
        <v>4</v>
      </c>
      <c r="AF10">
        <f>ROUNDDOWN(AE11*'Assumptions and Drivers'!$C$21,0)</f>
        <v>5</v>
      </c>
      <c r="AG10">
        <f>ROUNDDOWN(AF11*'Assumptions and Drivers'!$C$21,0)</f>
        <v>5</v>
      </c>
      <c r="AH10">
        <f>ROUNDDOWN(AG11*'Assumptions and Drivers'!$C$21,0)</f>
        <v>5</v>
      </c>
      <c r="AI10">
        <f>ROUNDDOWN(AH11*'Assumptions and Drivers'!$C$21,0)</f>
        <v>5</v>
      </c>
      <c r="AJ10">
        <f>ROUNDDOWN(AI11*'Assumptions and Drivers'!$C$21,0)</f>
        <v>5</v>
      </c>
      <c r="AK10">
        <f>ROUNDDOWN(AJ11*'Assumptions and Drivers'!$C$21,0)</f>
        <v>6</v>
      </c>
      <c r="AL10">
        <f>ROUNDDOWN(AK11*'Assumptions and Drivers'!$C$21,0)</f>
        <v>6</v>
      </c>
      <c r="AP10" s="64">
        <f>SUM(C10:AL10)</f>
        <v>90</v>
      </c>
    </row>
    <row r="11" spans="1:42" x14ac:dyDescent="0.25">
      <c r="A11" s="25" t="s">
        <v>147</v>
      </c>
      <c r="B11">
        <f>B8+B9-B10</f>
        <v>0</v>
      </c>
      <c r="C11">
        <f>C8+C9-C10</f>
        <v>0</v>
      </c>
      <c r="D11">
        <f t="shared" ref="D11:G11" si="3">D8+D9-D10</f>
        <v>8</v>
      </c>
      <c r="E11">
        <f t="shared" si="3"/>
        <v>16</v>
      </c>
      <c r="F11">
        <f t="shared" si="3"/>
        <v>24</v>
      </c>
      <c r="G11">
        <f t="shared" si="3"/>
        <v>32</v>
      </c>
      <c r="H11">
        <f t="shared" ref="H11" si="4">H8+H9-H10</f>
        <v>41</v>
      </c>
      <c r="I11">
        <f t="shared" ref="I11" si="5">I8+I9-I10</f>
        <v>50</v>
      </c>
      <c r="J11">
        <f t="shared" ref="J11" si="6">J8+J9-J10</f>
        <v>58</v>
      </c>
      <c r="K11">
        <f t="shared" ref="K11" si="7">K8+K9-K10</f>
        <v>66</v>
      </c>
      <c r="L11">
        <f t="shared" ref="L11" si="8">L8+L9-L10</f>
        <v>74</v>
      </c>
      <c r="M11">
        <f t="shared" ref="M11" si="9">M8+M9-M10</f>
        <v>83</v>
      </c>
      <c r="N11">
        <f t="shared" ref="N11" si="10">N8+N9-N10</f>
        <v>92</v>
      </c>
      <c r="O11">
        <f t="shared" ref="O11" si="11">O8+O9-O10</f>
        <v>101</v>
      </c>
      <c r="P11">
        <f t="shared" ref="P11" si="12">P8+P9-P10</f>
        <v>109</v>
      </c>
      <c r="Q11">
        <f t="shared" ref="Q11" si="13">Q8+Q9-Q10</f>
        <v>117</v>
      </c>
      <c r="R11">
        <f t="shared" ref="R11" si="14">R8+R9-R10</f>
        <v>125</v>
      </c>
      <c r="S11">
        <f t="shared" ref="S11" si="15">S8+S9-S10</f>
        <v>133</v>
      </c>
      <c r="T11">
        <f t="shared" ref="T11" si="16">T8+T9-T10</f>
        <v>142</v>
      </c>
      <c r="U11" s="100">
        <f t="shared" ref="U11" si="17">U8+U9-U10</f>
        <v>152</v>
      </c>
      <c r="V11">
        <f t="shared" ref="V11" si="18">V8+V9-V10</f>
        <v>161</v>
      </c>
      <c r="W11">
        <f t="shared" ref="W11" si="19">W8+W9-W10</f>
        <v>170</v>
      </c>
      <c r="X11">
        <f t="shared" ref="X11" si="20">X8+X9-X10</f>
        <v>179</v>
      </c>
      <c r="Y11">
        <f t="shared" ref="Y11" si="21">Y8+Y9-Y10</f>
        <v>188</v>
      </c>
      <c r="Z11">
        <f t="shared" ref="Z11" si="22">Z8+Z9-Z10</f>
        <v>197</v>
      </c>
      <c r="AA11">
        <f t="shared" ref="AA11" si="23">AA8+AA9-AA10</f>
        <v>206</v>
      </c>
      <c r="AB11">
        <f t="shared" ref="AB11" si="24">AB8+AB9-AB10</f>
        <v>215</v>
      </c>
      <c r="AC11">
        <f t="shared" ref="AC11" si="25">AC8+AC9-AC10</f>
        <v>224</v>
      </c>
      <c r="AD11">
        <f t="shared" ref="AD11" si="26">AD8+AD9-AD10</f>
        <v>233</v>
      </c>
      <c r="AE11">
        <f t="shared" ref="AE11" si="27">AE8+AE9-AE10</f>
        <v>242</v>
      </c>
      <c r="AF11">
        <f t="shared" ref="AF11" si="28">AF8+AF9-AF10</f>
        <v>252</v>
      </c>
      <c r="AG11">
        <f t="shared" ref="AG11" si="29">AG8+AG9-AG10</f>
        <v>262</v>
      </c>
      <c r="AH11">
        <f t="shared" ref="AH11" si="30">AH8+AH9-AH10</f>
        <v>272</v>
      </c>
      <c r="AI11">
        <f t="shared" ref="AI11" si="31">AI8+AI9-AI10</f>
        <v>282</v>
      </c>
      <c r="AJ11">
        <f t="shared" ref="AJ11" si="32">AJ8+AJ9-AJ10</f>
        <v>293</v>
      </c>
      <c r="AK11">
        <f t="shared" ref="AK11" si="33">AK8+AK9-AK10</f>
        <v>303</v>
      </c>
      <c r="AL11">
        <f t="shared" ref="AL11" si="34">AL8+AL9-AL10</f>
        <v>313</v>
      </c>
      <c r="AP11" s="69">
        <f>AP9-AP10</f>
        <v>313</v>
      </c>
    </row>
    <row r="12" spans="1:42" x14ac:dyDescent="0.25">
      <c r="H12" s="8"/>
      <c r="AP12" s="64"/>
    </row>
    <row r="13" spans="1:42" x14ac:dyDescent="0.25">
      <c r="A13" s="23" t="s">
        <v>148</v>
      </c>
      <c r="H13" s="8"/>
      <c r="AP13" s="64"/>
    </row>
    <row r="14" spans="1:42" x14ac:dyDescent="0.25">
      <c r="A14" s="24" t="s">
        <v>149</v>
      </c>
      <c r="C14">
        <f>'Assumptions and Drivers'!$B$32</f>
        <v>1100</v>
      </c>
      <c r="D14">
        <f>'Assumptions and Drivers'!$B$32</f>
        <v>1100</v>
      </c>
      <c r="E14">
        <f>'Assumptions and Drivers'!$B$32</f>
        <v>1100</v>
      </c>
      <c r="F14">
        <f>'Assumptions and Drivers'!$B$32</f>
        <v>1100</v>
      </c>
      <c r="G14">
        <f>'Assumptions and Drivers'!$B$32</f>
        <v>1100</v>
      </c>
      <c r="H14">
        <v>5000</v>
      </c>
      <c r="I14">
        <f>ROUNDUP(H14*(1+IF(I12="Jan",'Assumptions and Drivers'!$B$29,0)),0)</f>
        <v>5000</v>
      </c>
      <c r="J14">
        <f>ROUNDUP(I14*(1+IF(J4="Jan",'Assumptions and Drivers'!$B$29,0)),0)</f>
        <v>5000</v>
      </c>
      <c r="K14">
        <f>ROUNDUP(J14*(1+IF(K4="Jan",'Assumptions and Drivers'!$B$29,0)),0)</f>
        <v>5000</v>
      </c>
      <c r="L14">
        <f>ROUNDUP(K14*(1+IF(L4="Jan",'Assumptions and Drivers'!$B$29,0)),0)</f>
        <v>5000</v>
      </c>
      <c r="M14">
        <f>ROUNDUP(L14*(1+IF(M4="Jan",'Assumptions and Drivers'!$B$29,0)),0)</f>
        <v>5000</v>
      </c>
      <c r="N14">
        <f>ROUNDUP(M14*(1+IF(N4="Jan",'Assumptions and Drivers'!$B$29,0)),0)</f>
        <v>5000</v>
      </c>
      <c r="O14">
        <f>ROUNDUP(N14*(1+IF(O4="Jan",'Assumptions and Drivers'!$B$29,0)),0)</f>
        <v>5000</v>
      </c>
      <c r="P14">
        <f>ROUNDUP(O14*(1+IF(P4="Jan",'Assumptions and Drivers'!$B$29,0)),0)</f>
        <v>5000</v>
      </c>
      <c r="Q14">
        <f>ROUNDUP(P14*(1+IF(Q4="Jan",'Assumptions and Drivers'!$B$29,0)),0)</f>
        <v>5000</v>
      </c>
      <c r="R14">
        <f>ROUNDUP(Q14*(1+IF(R4="Jan",'Assumptions and Drivers'!$B$29,0)),0)</f>
        <v>5000</v>
      </c>
      <c r="S14">
        <f>ROUNDUP(R14*(1+IF(S4="Jan",'Assumptions and Drivers'!$B$29,0)),0)</f>
        <v>5000</v>
      </c>
      <c r="T14">
        <f>ROUNDUP(S14*(1+IF(T4="Jan",'Assumptions and Drivers'!$B$29,0)),0)</f>
        <v>5500</v>
      </c>
      <c r="U14">
        <f>ROUNDUP(T14*(1+IF(U4="Jan",'Assumptions and Drivers'!$B$29,0)),0)</f>
        <v>5500</v>
      </c>
      <c r="V14">
        <f>ROUNDUP(U14*(1+IF(V4="Jan",'Assumptions and Drivers'!$B$29,0)),0)</f>
        <v>5500</v>
      </c>
      <c r="W14">
        <f>ROUNDUP(V14*(1+IF(W4="Jan",'Assumptions and Drivers'!$B$29,0)),0)</f>
        <v>5500</v>
      </c>
      <c r="X14">
        <f>ROUNDUP(W14*(1+IF(X4="Jan",'Assumptions and Drivers'!$B$29,0)),0)</f>
        <v>5500</v>
      </c>
      <c r="Y14">
        <f>ROUNDUP(X14*(1+IF(Y4="Jan",'Assumptions and Drivers'!$B$29,0)),0)</f>
        <v>5500</v>
      </c>
      <c r="Z14">
        <f>ROUNDUP(Y14*(1+IF(Z4="Jan",'Assumptions and Drivers'!$B$29,0)),0)</f>
        <v>5500</v>
      </c>
      <c r="AA14">
        <f>ROUNDUP(Z14*(1+IF(AA4="Jan",'Assumptions and Drivers'!$B$29,0)),0)</f>
        <v>5500</v>
      </c>
      <c r="AB14">
        <f>ROUNDUP(AA14*(1+IF(AB4="Jan",'Assumptions and Drivers'!$B$29,0)),0)</f>
        <v>5500</v>
      </c>
      <c r="AC14">
        <f>ROUNDUP(AB14*(1+IF(AC4="Jan",'Assumptions and Drivers'!$B$29,0)),0)</f>
        <v>5500</v>
      </c>
      <c r="AD14">
        <f>ROUNDUP(AC14*(1+IF(AD4="Jan",'Assumptions and Drivers'!$B$29,0)),0)</f>
        <v>5500</v>
      </c>
      <c r="AE14">
        <f>ROUNDUP(AD14*(1+IF(AE4="Jan",'Assumptions and Drivers'!$B$29,0)),0)</f>
        <v>5500</v>
      </c>
      <c r="AF14">
        <f>ROUNDUP(AE14*(1+IF(AF4="Jan",'Assumptions and Drivers'!$B$29,0)),0)</f>
        <v>6050</v>
      </c>
      <c r="AG14">
        <f>ROUNDUP(AF14*(1+IF(AG4="Jan",'Assumptions and Drivers'!$B$29,0)),0)</f>
        <v>6050</v>
      </c>
      <c r="AH14">
        <f>ROUNDUP(AG14*(1+IF(AH4="Jan",'Assumptions and Drivers'!$B$29,0)),0)</f>
        <v>6050</v>
      </c>
      <c r="AI14">
        <f>ROUNDUP(AH14*(1+IF(AI4="Jan",'Assumptions and Drivers'!$B$29,0)),0)</f>
        <v>6050</v>
      </c>
      <c r="AJ14">
        <f>ROUNDUP(AI14*(1+IF(AJ4="Jan",'Assumptions and Drivers'!$B$29,0)),0)</f>
        <v>6050</v>
      </c>
      <c r="AK14">
        <f>ROUNDUP(AJ14*(1+IF(AK4="Jan",'Assumptions and Drivers'!$B$29,0)),0)</f>
        <v>6050</v>
      </c>
      <c r="AL14">
        <f>ROUNDUP(AK14*(1+IF(AL4="Jan",'Assumptions and Drivers'!$B$29,0)),0)</f>
        <v>6050</v>
      </c>
      <c r="AP14" s="72">
        <f>SUM(C14:AL14)</f>
        <v>173850</v>
      </c>
    </row>
    <row r="15" spans="1:42" x14ac:dyDescent="0.25">
      <c r="A15" s="24" t="s">
        <v>143</v>
      </c>
      <c r="C15" s="9">
        <f>'Assumptions and Drivers'!$B$34</f>
        <v>28.84615384615385</v>
      </c>
      <c r="D15" s="9">
        <f>'Assumptions and Drivers'!$B$34</f>
        <v>28.84615384615385</v>
      </c>
      <c r="E15" s="9">
        <f>'Assumptions and Drivers'!$B$34</f>
        <v>28.84615384615385</v>
      </c>
      <c r="F15" s="9">
        <f>'Assumptions and Drivers'!$B$34</f>
        <v>28.84615384615385</v>
      </c>
      <c r="G15" s="9">
        <f>'Assumptions and Drivers'!$B$34</f>
        <v>28.84615384615385</v>
      </c>
      <c r="H15" s="9">
        <f>MAX(G15*(1-'Assumptions and Drivers'!$C$35),'Assumptions and Drivers'!$B$36)</f>
        <v>28.61538461538462</v>
      </c>
      <c r="I15" s="9">
        <f>MAX(H15*(1-'Assumptions and Drivers'!$C$35),'Assumptions and Drivers'!$B$36)</f>
        <v>28.386461538461543</v>
      </c>
      <c r="J15" s="9">
        <f>MAX(I15*(1-'Assumptions and Drivers'!$C$35),'Assumptions and Drivers'!$B$36)</f>
        <v>28.159369846153851</v>
      </c>
      <c r="K15" s="9">
        <f>MAX(J15*(1-'Assumptions and Drivers'!$C$35),'Assumptions and Drivers'!$B$36)</f>
        <v>27.934094887384621</v>
      </c>
      <c r="L15" s="9">
        <f>MAX(K15*(1-'Assumptions and Drivers'!$C$35),'Assumptions and Drivers'!$B$36)</f>
        <v>27.710622128285543</v>
      </c>
      <c r="M15" s="9">
        <f>MAX(L15*(1-'Assumptions and Drivers'!$C$35),'Assumptions and Drivers'!$B$36)</f>
        <v>27.488937151259258</v>
      </c>
      <c r="N15" s="9">
        <f>MAX(M15*(1-'Assumptions and Drivers'!$C$35),'Assumptions and Drivers'!$B$36)</f>
        <v>27.269025654049184</v>
      </c>
      <c r="O15" s="9">
        <f>MAX(N15*(1-'Assumptions and Drivers'!$C$35),'Assumptions and Drivers'!$B$36)</f>
        <v>27.050873448816791</v>
      </c>
      <c r="P15" s="9">
        <f>MAX(O15*(1-'Assumptions and Drivers'!$C$35),'Assumptions and Drivers'!$B$36)</f>
        <v>26.834466461226256</v>
      </c>
      <c r="Q15" s="9">
        <f>MAX(P15*(1-'Assumptions and Drivers'!$C$35),'Assumptions and Drivers'!$B$36)</f>
        <v>26.619790729536447</v>
      </c>
      <c r="R15" s="9">
        <f>MAX(Q15*(1-'Assumptions and Drivers'!$C$35),'Assumptions and Drivers'!$B$36)</f>
        <v>26.406832403700154</v>
      </c>
      <c r="S15" s="9">
        <f>MAX(R15*(1-'Assumptions and Drivers'!$C$35),'Assumptions and Drivers'!$B$36)</f>
        <v>26.195577744470551</v>
      </c>
      <c r="T15" s="9">
        <f>MAX(S15*(1-'Assumptions and Drivers'!$C$35),'Assumptions and Drivers'!$B$36)</f>
        <v>25.986013122514787</v>
      </c>
      <c r="U15" s="101">
        <f>MAX(T15*(1-'Assumptions and Drivers'!$C$35),'Assumptions and Drivers'!$B$36)</f>
        <v>25.77812501753467</v>
      </c>
      <c r="V15" s="9">
        <f>MAX(U15*(1-'Assumptions and Drivers'!$C$35),'Assumptions and Drivers'!$B$36)</f>
        <v>25.571900017394391</v>
      </c>
      <c r="W15" s="9">
        <f>MAX(V15*(1-'Assumptions and Drivers'!$C$35),'Assumptions and Drivers'!$B$36)</f>
        <v>25.367324817255234</v>
      </c>
      <c r="X15" s="9">
        <f>MAX(W15*(1-'Assumptions and Drivers'!$C$35),'Assumptions and Drivers'!$B$36)</f>
        <v>25.164386218717191</v>
      </c>
      <c r="Y15" s="9">
        <f>MAX(X15*(1-'Assumptions and Drivers'!$C$35),'Assumptions and Drivers'!$B$36)</f>
        <v>24.963071128967453</v>
      </c>
      <c r="Z15" s="9">
        <f>MAX(Y15*(1-'Assumptions and Drivers'!$C$35),'Assumptions and Drivers'!$B$36)</f>
        <v>24.763366559935712</v>
      </c>
      <c r="AA15" s="9">
        <f>MAX(Z15*(1-'Assumptions and Drivers'!$C$35),'Assumptions and Drivers'!$B$36)</f>
        <v>24.565259627456225</v>
      </c>
      <c r="AB15" s="9">
        <f>MAX(AA15*(1-'Assumptions and Drivers'!$C$35),'Assumptions and Drivers'!$B$36)</f>
        <v>24.368737550436574</v>
      </c>
      <c r="AC15" s="9">
        <f>MAX(AB15*(1-'Assumptions and Drivers'!$C$35),'Assumptions and Drivers'!$B$36)</f>
        <v>24.173787650033081</v>
      </c>
      <c r="AD15" s="9">
        <f>MAX(AC15*(1-'Assumptions and Drivers'!$C$35),'Assumptions and Drivers'!$B$36)</f>
        <v>23.980397348832817</v>
      </c>
      <c r="AE15" s="9">
        <f>MAX(AD15*(1-'Assumptions and Drivers'!$C$35),'Assumptions and Drivers'!$B$36)</f>
        <v>23.788554170042154</v>
      </c>
      <c r="AF15" s="9">
        <f>MAX(AE15*(1-'Assumptions and Drivers'!$C$35),'Assumptions and Drivers'!$B$36)</f>
        <v>23.598245736681818</v>
      </c>
      <c r="AG15" s="9">
        <f>MAX(AF15*(1-'Assumptions and Drivers'!$C$35),'Assumptions and Drivers'!$B$36)</f>
        <v>23.409459770788363</v>
      </c>
      <c r="AH15" s="9">
        <f>MAX(AG15*(1-'Assumptions and Drivers'!$C$35),'Assumptions and Drivers'!$B$36)</f>
        <v>23.222184092622054</v>
      </c>
      <c r="AI15" s="9">
        <f>MAX(AH15*(1-'Assumptions and Drivers'!$C$35),'Assumptions and Drivers'!$B$36)</f>
        <v>23.036406619881078</v>
      </c>
      <c r="AJ15" s="9">
        <f>MAX(AI15*(1-'Assumptions and Drivers'!$C$35),'Assumptions and Drivers'!$B$36)</f>
        <v>22.852115366922028</v>
      </c>
      <c r="AK15" s="9">
        <f>MAX(AJ15*(1-'Assumptions and Drivers'!$C$35),'Assumptions and Drivers'!$B$36)</f>
        <v>22.669298443986651</v>
      </c>
      <c r="AL15" s="9">
        <f>MAX(AK15*(1-'Assumptions and Drivers'!$C$35),'Assumptions and Drivers'!$B$36)</f>
        <v>22.48794405643476</v>
      </c>
      <c r="AP15" s="64"/>
    </row>
    <row r="16" spans="1:42" s="41" customFormat="1" x14ac:dyDescent="0.25">
      <c r="A16" s="42" t="s">
        <v>150</v>
      </c>
      <c r="C16" s="41">
        <f>B26</f>
        <v>77</v>
      </c>
      <c r="D16" s="41">
        <f>D17+D21</f>
        <v>116</v>
      </c>
      <c r="E16" s="41">
        <f t="shared" ref="E16:AL16" si="35">E17+E21</f>
        <v>184</v>
      </c>
      <c r="F16" s="41">
        <f t="shared" si="35"/>
        <v>281</v>
      </c>
      <c r="G16" s="41">
        <f t="shared" si="35"/>
        <v>406</v>
      </c>
      <c r="H16" s="41">
        <f t="shared" si="35"/>
        <v>559</v>
      </c>
      <c r="I16" s="41">
        <f t="shared" si="35"/>
        <v>879</v>
      </c>
      <c r="J16" s="41">
        <f t="shared" si="35"/>
        <v>1227</v>
      </c>
      <c r="K16" s="41">
        <f t="shared" si="35"/>
        <v>1562</v>
      </c>
      <c r="L16" s="41">
        <f t="shared" si="35"/>
        <v>1920</v>
      </c>
      <c r="M16" s="41">
        <f t="shared" si="35"/>
        <v>2301</v>
      </c>
      <c r="N16" s="41">
        <f t="shared" si="35"/>
        <v>2707</v>
      </c>
      <c r="O16" s="41">
        <f t="shared" si="35"/>
        <v>3139</v>
      </c>
      <c r="P16" s="41">
        <f t="shared" si="35"/>
        <v>3560</v>
      </c>
      <c r="Q16" s="41">
        <f t="shared" si="35"/>
        <v>3933</v>
      </c>
      <c r="R16" s="41">
        <f t="shared" si="35"/>
        <v>4327</v>
      </c>
      <c r="S16" s="41">
        <f t="shared" si="35"/>
        <v>4743</v>
      </c>
      <c r="T16" s="41">
        <f t="shared" si="35"/>
        <v>5180</v>
      </c>
      <c r="U16" s="102">
        <f t="shared" si="35"/>
        <v>5660</v>
      </c>
      <c r="V16" s="41">
        <f t="shared" si="35"/>
        <v>6168</v>
      </c>
      <c r="W16" s="41">
        <f t="shared" si="35"/>
        <v>6630</v>
      </c>
      <c r="X16" s="41">
        <f t="shared" si="35"/>
        <v>7115</v>
      </c>
      <c r="Y16" s="41">
        <f t="shared" si="35"/>
        <v>7625</v>
      </c>
      <c r="Z16" s="41">
        <f t="shared" si="35"/>
        <v>8158</v>
      </c>
      <c r="AA16" s="41">
        <f t="shared" si="35"/>
        <v>8714</v>
      </c>
      <c r="AB16" s="41">
        <f t="shared" si="35"/>
        <v>9221</v>
      </c>
      <c r="AC16" s="41">
        <f t="shared" si="35"/>
        <v>9611</v>
      </c>
      <c r="AD16" s="41">
        <f t="shared" si="35"/>
        <v>10028</v>
      </c>
      <c r="AE16" s="41">
        <f t="shared" si="35"/>
        <v>10470</v>
      </c>
      <c r="AF16" s="41">
        <f t="shared" si="35"/>
        <v>10937</v>
      </c>
      <c r="AG16" s="41">
        <f t="shared" si="35"/>
        <v>11351</v>
      </c>
      <c r="AH16" s="41">
        <f t="shared" si="35"/>
        <v>11796</v>
      </c>
      <c r="AI16" s="41">
        <f t="shared" si="35"/>
        <v>12269</v>
      </c>
      <c r="AJ16" s="41">
        <f t="shared" si="35"/>
        <v>12770</v>
      </c>
      <c r="AK16" s="41">
        <f t="shared" si="35"/>
        <v>13302</v>
      </c>
      <c r="AL16" s="41">
        <f t="shared" si="35"/>
        <v>13756</v>
      </c>
      <c r="AP16" s="70"/>
    </row>
    <row r="17" spans="1:42" s="34" customFormat="1" x14ac:dyDescent="0.25">
      <c r="A17" s="33" t="s">
        <v>151</v>
      </c>
      <c r="C17" s="34">
        <f>B26</f>
        <v>77</v>
      </c>
      <c r="D17" s="34">
        <f>C20</f>
        <v>116</v>
      </c>
      <c r="E17" s="34">
        <f t="shared" ref="E17:AL17" si="36">D20</f>
        <v>152</v>
      </c>
      <c r="F17" s="34">
        <f t="shared" si="36"/>
        <v>186</v>
      </c>
      <c r="G17" s="34">
        <f t="shared" si="36"/>
        <v>219</v>
      </c>
      <c r="H17" s="34">
        <f t="shared" si="36"/>
        <v>251</v>
      </c>
      <c r="I17" s="34">
        <f t="shared" si="36"/>
        <v>418</v>
      </c>
      <c r="J17" s="34">
        <f t="shared" si="36"/>
        <v>582</v>
      </c>
      <c r="K17" s="34">
        <f t="shared" si="36"/>
        <v>741</v>
      </c>
      <c r="L17" s="34">
        <f t="shared" si="36"/>
        <v>896</v>
      </c>
      <c r="M17" s="34">
        <f t="shared" si="36"/>
        <v>1048</v>
      </c>
      <c r="N17" s="34">
        <f t="shared" si="36"/>
        <v>1196</v>
      </c>
      <c r="O17" s="34">
        <f t="shared" si="36"/>
        <v>1341</v>
      </c>
      <c r="P17" s="34">
        <f t="shared" si="36"/>
        <v>1482</v>
      </c>
      <c r="Q17" s="34">
        <f t="shared" si="36"/>
        <v>1620</v>
      </c>
      <c r="R17" s="34">
        <f t="shared" si="36"/>
        <v>1754</v>
      </c>
      <c r="S17" s="34">
        <f t="shared" si="36"/>
        <v>1886</v>
      </c>
      <c r="T17" s="34">
        <f t="shared" si="36"/>
        <v>2015</v>
      </c>
      <c r="U17" s="103">
        <f t="shared" si="36"/>
        <v>2160</v>
      </c>
      <c r="V17" s="34">
        <f t="shared" si="36"/>
        <v>2302</v>
      </c>
      <c r="W17" s="34">
        <f t="shared" si="36"/>
        <v>2442</v>
      </c>
      <c r="X17" s="34">
        <f t="shared" si="36"/>
        <v>2578</v>
      </c>
      <c r="Y17" s="34">
        <f t="shared" si="36"/>
        <v>2712</v>
      </c>
      <c r="Z17" s="34">
        <f t="shared" si="36"/>
        <v>2843</v>
      </c>
      <c r="AA17" s="34">
        <f t="shared" si="36"/>
        <v>2972</v>
      </c>
      <c r="AB17" s="34">
        <f t="shared" si="36"/>
        <v>3097</v>
      </c>
      <c r="AC17" s="34">
        <f t="shared" si="36"/>
        <v>3220</v>
      </c>
      <c r="AD17" s="34">
        <f t="shared" si="36"/>
        <v>3341</v>
      </c>
      <c r="AE17" s="34">
        <f t="shared" si="36"/>
        <v>3460</v>
      </c>
      <c r="AF17" s="34">
        <f t="shared" si="36"/>
        <v>3577</v>
      </c>
      <c r="AG17" s="34">
        <f t="shared" si="36"/>
        <v>3715</v>
      </c>
      <c r="AH17" s="34">
        <f t="shared" si="36"/>
        <v>3851</v>
      </c>
      <c r="AI17" s="34">
        <f t="shared" si="36"/>
        <v>3984</v>
      </c>
      <c r="AJ17" s="34">
        <f t="shared" si="36"/>
        <v>4115</v>
      </c>
      <c r="AK17" s="34">
        <f t="shared" si="36"/>
        <v>4243</v>
      </c>
      <c r="AL17" s="34">
        <f t="shared" si="36"/>
        <v>4369</v>
      </c>
      <c r="AP17" s="71"/>
    </row>
    <row r="18" spans="1:42" s="36" customFormat="1" x14ac:dyDescent="0.25">
      <c r="A18" s="35" t="s">
        <v>152</v>
      </c>
      <c r="C18" s="36">
        <f>ROUNDUP(C14/C15,0)</f>
        <v>39</v>
      </c>
      <c r="D18" s="36">
        <f t="shared" ref="D18:AL18" si="37">ROUNDUP(D14/D15,0)</f>
        <v>39</v>
      </c>
      <c r="E18" s="36">
        <f t="shared" si="37"/>
        <v>39</v>
      </c>
      <c r="F18" s="36">
        <f t="shared" si="37"/>
        <v>39</v>
      </c>
      <c r="G18" s="36">
        <f t="shared" si="37"/>
        <v>39</v>
      </c>
      <c r="H18" s="36">
        <f t="shared" si="37"/>
        <v>175</v>
      </c>
      <c r="I18" s="36">
        <f t="shared" si="37"/>
        <v>177</v>
      </c>
      <c r="J18" s="36">
        <f t="shared" si="37"/>
        <v>178</v>
      </c>
      <c r="K18" s="36">
        <f t="shared" si="37"/>
        <v>179</v>
      </c>
      <c r="L18" s="36">
        <f t="shared" si="37"/>
        <v>181</v>
      </c>
      <c r="M18" s="36">
        <f t="shared" si="37"/>
        <v>182</v>
      </c>
      <c r="N18" s="36">
        <f t="shared" si="37"/>
        <v>184</v>
      </c>
      <c r="O18" s="36">
        <f t="shared" si="37"/>
        <v>185</v>
      </c>
      <c r="P18" s="36">
        <f t="shared" si="37"/>
        <v>187</v>
      </c>
      <c r="Q18" s="36">
        <f t="shared" si="37"/>
        <v>188</v>
      </c>
      <c r="R18" s="36">
        <f t="shared" si="37"/>
        <v>190</v>
      </c>
      <c r="S18" s="36">
        <f t="shared" si="37"/>
        <v>191</v>
      </c>
      <c r="T18" s="36">
        <f t="shared" si="37"/>
        <v>212</v>
      </c>
      <c r="U18" s="104">
        <f t="shared" si="37"/>
        <v>214</v>
      </c>
      <c r="V18" s="36">
        <f t="shared" si="37"/>
        <v>216</v>
      </c>
      <c r="W18" s="36">
        <f t="shared" si="37"/>
        <v>217</v>
      </c>
      <c r="X18" s="36">
        <f t="shared" si="37"/>
        <v>219</v>
      </c>
      <c r="Y18" s="36">
        <f t="shared" si="37"/>
        <v>221</v>
      </c>
      <c r="Z18" s="36">
        <f t="shared" si="37"/>
        <v>223</v>
      </c>
      <c r="AA18" s="36">
        <f t="shared" si="37"/>
        <v>224</v>
      </c>
      <c r="AB18" s="36">
        <f t="shared" si="37"/>
        <v>226</v>
      </c>
      <c r="AC18" s="36">
        <f t="shared" si="37"/>
        <v>228</v>
      </c>
      <c r="AD18" s="36">
        <f t="shared" si="37"/>
        <v>230</v>
      </c>
      <c r="AE18" s="36">
        <f t="shared" si="37"/>
        <v>232</v>
      </c>
      <c r="AF18" s="36">
        <f t="shared" si="37"/>
        <v>257</v>
      </c>
      <c r="AG18" s="36">
        <f t="shared" si="37"/>
        <v>259</v>
      </c>
      <c r="AH18" s="36">
        <f t="shared" si="37"/>
        <v>261</v>
      </c>
      <c r="AI18" s="36">
        <f t="shared" si="37"/>
        <v>263</v>
      </c>
      <c r="AJ18" s="36">
        <f t="shared" si="37"/>
        <v>265</v>
      </c>
      <c r="AK18" s="36">
        <f t="shared" si="37"/>
        <v>267</v>
      </c>
      <c r="AL18" s="36">
        <f t="shared" si="37"/>
        <v>270</v>
      </c>
      <c r="AP18" s="72">
        <f>SUM(C18:AL18)</f>
        <v>6896</v>
      </c>
    </row>
    <row r="19" spans="1:42" s="34" customFormat="1" x14ac:dyDescent="0.25">
      <c r="A19" s="33" t="s">
        <v>153</v>
      </c>
      <c r="C19" s="34">
        <f>ROUNDDOWN(B20*'Assumptions and Drivers'!$C$19,0)</f>
        <v>0</v>
      </c>
      <c r="D19" s="34">
        <f>ROUNDDOWN(C20*'Assumptions and Drivers'!$C$19,0)</f>
        <v>3</v>
      </c>
      <c r="E19" s="34">
        <f>ROUNDDOWN(D20*'Assumptions and Drivers'!$C$19,0)</f>
        <v>5</v>
      </c>
      <c r="F19" s="34">
        <f>ROUNDDOWN(E20*'Assumptions and Drivers'!$C$19,0)</f>
        <v>6</v>
      </c>
      <c r="G19" s="34">
        <f>ROUNDDOWN(F20*'Assumptions and Drivers'!$C$19,0)</f>
        <v>7</v>
      </c>
      <c r="H19" s="34">
        <f>ROUNDDOWN(G20*'Assumptions and Drivers'!$C$19,0)</f>
        <v>8</v>
      </c>
      <c r="I19" s="34">
        <f>ROUNDDOWN(H20*'Assumptions and Drivers'!$C$19,0)</f>
        <v>13</v>
      </c>
      <c r="J19" s="34">
        <f>ROUNDDOWN(I20*'Assumptions and Drivers'!$C$19,0)</f>
        <v>19</v>
      </c>
      <c r="K19" s="34">
        <f>ROUNDDOWN(J20*'Assumptions and Drivers'!$C$19,0)</f>
        <v>24</v>
      </c>
      <c r="L19" s="34">
        <f>ROUNDDOWN(K20*'Assumptions and Drivers'!$C$19,0)</f>
        <v>29</v>
      </c>
      <c r="M19" s="34">
        <f>ROUNDDOWN(L20*'Assumptions and Drivers'!$C$19,0)</f>
        <v>34</v>
      </c>
      <c r="N19" s="34">
        <f>ROUNDDOWN(M20*'Assumptions and Drivers'!$C$19,0)</f>
        <v>39</v>
      </c>
      <c r="O19" s="34">
        <f>ROUNDDOWN(N20*'Assumptions and Drivers'!$C$19,0)</f>
        <v>44</v>
      </c>
      <c r="P19" s="34">
        <f>ROUNDDOWN(O20*'Assumptions and Drivers'!$C$19,0)</f>
        <v>49</v>
      </c>
      <c r="Q19" s="34">
        <f>ROUNDDOWN(P20*'Assumptions and Drivers'!$C$19,0)</f>
        <v>54</v>
      </c>
      <c r="R19" s="34">
        <f>ROUNDDOWN(Q20*'Assumptions and Drivers'!$C$19,0)</f>
        <v>58</v>
      </c>
      <c r="S19" s="34">
        <f>ROUNDDOWN(R20*'Assumptions and Drivers'!$C$19,0)</f>
        <v>62</v>
      </c>
      <c r="T19" s="34">
        <f>ROUNDDOWN(S20*'Assumptions and Drivers'!$C$19,0)</f>
        <v>67</v>
      </c>
      <c r="U19" s="103">
        <f>ROUNDDOWN(T20*'Assumptions and Drivers'!$C$19,0)</f>
        <v>72</v>
      </c>
      <c r="V19" s="34">
        <f>ROUNDDOWN(U20*'Assumptions and Drivers'!$C$19,0)</f>
        <v>76</v>
      </c>
      <c r="W19" s="34">
        <f>ROUNDDOWN(V20*'Assumptions and Drivers'!$C$19,0)</f>
        <v>81</v>
      </c>
      <c r="X19" s="34">
        <f>ROUNDDOWN(W20*'Assumptions and Drivers'!$C$19,0)</f>
        <v>85</v>
      </c>
      <c r="Y19" s="34">
        <f>ROUNDDOWN(X20*'Assumptions and Drivers'!$C$19,0)</f>
        <v>90</v>
      </c>
      <c r="Z19" s="34">
        <f>ROUNDDOWN(Y20*'Assumptions and Drivers'!$C$19,0)</f>
        <v>94</v>
      </c>
      <c r="AA19" s="34">
        <f>ROUNDDOWN(Z20*'Assumptions and Drivers'!$C$19,0)</f>
        <v>99</v>
      </c>
      <c r="AB19" s="34">
        <f>ROUNDDOWN(AA20*'Assumptions and Drivers'!$C$19,0)</f>
        <v>103</v>
      </c>
      <c r="AC19" s="34">
        <f>ROUNDDOWN(AB20*'Assumptions and Drivers'!$C$19,0)</f>
        <v>107</v>
      </c>
      <c r="AD19" s="34">
        <f>ROUNDDOWN(AC20*'Assumptions and Drivers'!$C$19,0)</f>
        <v>111</v>
      </c>
      <c r="AE19" s="34">
        <f>ROUNDDOWN(AD20*'Assumptions and Drivers'!$C$19,0)</f>
        <v>115</v>
      </c>
      <c r="AF19" s="34">
        <f>ROUNDDOWN(AE20*'Assumptions and Drivers'!$C$19,0)</f>
        <v>119</v>
      </c>
      <c r="AG19" s="34">
        <f>ROUNDDOWN(AF20*'Assumptions and Drivers'!$C$19,0)</f>
        <v>123</v>
      </c>
      <c r="AH19" s="34">
        <f>ROUNDDOWN(AG20*'Assumptions and Drivers'!$C$19,0)</f>
        <v>128</v>
      </c>
      <c r="AI19" s="34">
        <f>ROUNDDOWN(AH20*'Assumptions and Drivers'!$C$19,0)</f>
        <v>132</v>
      </c>
      <c r="AJ19" s="34">
        <f>ROUNDDOWN(AI20*'Assumptions and Drivers'!$C$19,0)</f>
        <v>137</v>
      </c>
      <c r="AK19" s="34">
        <f>ROUNDDOWN(AJ20*'Assumptions and Drivers'!$C$19,0)</f>
        <v>141</v>
      </c>
      <c r="AL19" s="34">
        <f>ROUNDDOWN(AK20*'Assumptions and Drivers'!$C$19,0)</f>
        <v>145</v>
      </c>
      <c r="AP19" s="71">
        <f>SUM(C19:AL19)</f>
        <v>2479</v>
      </c>
    </row>
    <row r="20" spans="1:42" s="34" customFormat="1" x14ac:dyDescent="0.25">
      <c r="A20" s="33" t="s">
        <v>154</v>
      </c>
      <c r="C20" s="34">
        <f>C18-C19+C17</f>
        <v>116</v>
      </c>
      <c r="D20" s="34">
        <f>D18-D19+D17</f>
        <v>152</v>
      </c>
      <c r="E20" s="34">
        <f>E18-E19+E17</f>
        <v>186</v>
      </c>
      <c r="F20" s="34">
        <f t="shared" ref="F20:AL20" si="38">F18-F19+F17</f>
        <v>219</v>
      </c>
      <c r="G20" s="34">
        <f t="shared" si="38"/>
        <v>251</v>
      </c>
      <c r="H20" s="34">
        <f t="shared" si="38"/>
        <v>418</v>
      </c>
      <c r="I20" s="34">
        <f t="shared" si="38"/>
        <v>582</v>
      </c>
      <c r="J20" s="34">
        <f t="shared" si="38"/>
        <v>741</v>
      </c>
      <c r="K20" s="34">
        <f t="shared" si="38"/>
        <v>896</v>
      </c>
      <c r="L20" s="34">
        <f t="shared" si="38"/>
        <v>1048</v>
      </c>
      <c r="M20" s="34">
        <f t="shared" si="38"/>
        <v>1196</v>
      </c>
      <c r="N20" s="34">
        <f t="shared" si="38"/>
        <v>1341</v>
      </c>
      <c r="O20" s="34">
        <f t="shared" si="38"/>
        <v>1482</v>
      </c>
      <c r="P20" s="34">
        <f t="shared" si="38"/>
        <v>1620</v>
      </c>
      <c r="Q20" s="34">
        <f t="shared" si="38"/>
        <v>1754</v>
      </c>
      <c r="R20" s="34">
        <f t="shared" si="38"/>
        <v>1886</v>
      </c>
      <c r="S20" s="34">
        <f t="shared" si="38"/>
        <v>2015</v>
      </c>
      <c r="T20" s="34">
        <f t="shared" si="38"/>
        <v>2160</v>
      </c>
      <c r="U20" s="103">
        <f t="shared" si="38"/>
        <v>2302</v>
      </c>
      <c r="V20" s="34">
        <f t="shared" si="38"/>
        <v>2442</v>
      </c>
      <c r="W20" s="34">
        <f t="shared" si="38"/>
        <v>2578</v>
      </c>
      <c r="X20" s="34">
        <f t="shared" si="38"/>
        <v>2712</v>
      </c>
      <c r="Y20" s="34">
        <f t="shared" si="38"/>
        <v>2843</v>
      </c>
      <c r="Z20" s="34">
        <f t="shared" si="38"/>
        <v>2972</v>
      </c>
      <c r="AA20" s="34">
        <f t="shared" si="38"/>
        <v>3097</v>
      </c>
      <c r="AB20" s="34">
        <f t="shared" si="38"/>
        <v>3220</v>
      </c>
      <c r="AC20" s="34">
        <f t="shared" si="38"/>
        <v>3341</v>
      </c>
      <c r="AD20" s="34">
        <f t="shared" si="38"/>
        <v>3460</v>
      </c>
      <c r="AE20" s="34">
        <f t="shared" si="38"/>
        <v>3577</v>
      </c>
      <c r="AF20" s="34">
        <f t="shared" si="38"/>
        <v>3715</v>
      </c>
      <c r="AG20" s="34">
        <f t="shared" si="38"/>
        <v>3851</v>
      </c>
      <c r="AH20" s="34">
        <f t="shared" si="38"/>
        <v>3984</v>
      </c>
      <c r="AI20" s="34">
        <f t="shared" si="38"/>
        <v>4115</v>
      </c>
      <c r="AJ20" s="34">
        <f t="shared" si="38"/>
        <v>4243</v>
      </c>
      <c r="AK20" s="34">
        <f t="shared" si="38"/>
        <v>4369</v>
      </c>
      <c r="AL20" s="34">
        <f t="shared" si="38"/>
        <v>4494</v>
      </c>
      <c r="AP20" s="71">
        <f>AP18-AP19</f>
        <v>4417</v>
      </c>
    </row>
    <row r="21" spans="1:42" s="38" customFormat="1" x14ac:dyDescent="0.25">
      <c r="A21" s="37" t="s">
        <v>155</v>
      </c>
      <c r="C21" s="38">
        <v>0</v>
      </c>
      <c r="D21" s="38">
        <f>C25</f>
        <v>0</v>
      </c>
      <c r="E21" s="38">
        <f t="shared" ref="E21:AL21" si="39">D25</f>
        <v>32</v>
      </c>
      <c r="F21" s="38">
        <f t="shared" si="39"/>
        <v>95</v>
      </c>
      <c r="G21" s="38">
        <f t="shared" si="39"/>
        <v>187</v>
      </c>
      <c r="H21" s="38">
        <f t="shared" si="39"/>
        <v>308</v>
      </c>
      <c r="I21" s="38">
        <f t="shared" si="39"/>
        <v>461</v>
      </c>
      <c r="J21" s="38">
        <f t="shared" si="39"/>
        <v>645</v>
      </c>
      <c r="K21" s="38">
        <f t="shared" si="39"/>
        <v>821</v>
      </c>
      <c r="L21" s="38">
        <f t="shared" si="39"/>
        <v>1024</v>
      </c>
      <c r="M21" s="38">
        <f t="shared" si="39"/>
        <v>1253</v>
      </c>
      <c r="N21" s="38">
        <f t="shared" si="39"/>
        <v>1511</v>
      </c>
      <c r="O21" s="38">
        <f t="shared" si="39"/>
        <v>1798</v>
      </c>
      <c r="P21" s="38">
        <f t="shared" si="39"/>
        <v>2078</v>
      </c>
      <c r="Q21" s="38">
        <f t="shared" si="39"/>
        <v>2313</v>
      </c>
      <c r="R21" s="38">
        <f t="shared" si="39"/>
        <v>2573</v>
      </c>
      <c r="S21" s="38">
        <f t="shared" si="39"/>
        <v>2857</v>
      </c>
      <c r="T21" s="38">
        <f t="shared" si="39"/>
        <v>3165</v>
      </c>
      <c r="U21" s="105">
        <f t="shared" si="39"/>
        <v>3500</v>
      </c>
      <c r="V21" s="38">
        <f t="shared" si="39"/>
        <v>3866</v>
      </c>
      <c r="W21" s="38">
        <f t="shared" si="39"/>
        <v>4188</v>
      </c>
      <c r="X21" s="38">
        <f t="shared" si="39"/>
        <v>4537</v>
      </c>
      <c r="Y21" s="38">
        <f t="shared" si="39"/>
        <v>4913</v>
      </c>
      <c r="Z21" s="38">
        <f t="shared" si="39"/>
        <v>5315</v>
      </c>
      <c r="AA21" s="38">
        <f t="shared" si="39"/>
        <v>5742</v>
      </c>
      <c r="AB21" s="38">
        <f t="shared" si="39"/>
        <v>6124</v>
      </c>
      <c r="AC21" s="38">
        <f t="shared" si="39"/>
        <v>6391</v>
      </c>
      <c r="AD21" s="38">
        <f t="shared" si="39"/>
        <v>6687</v>
      </c>
      <c r="AE21" s="38">
        <f t="shared" si="39"/>
        <v>7010</v>
      </c>
      <c r="AF21" s="38">
        <f t="shared" si="39"/>
        <v>7360</v>
      </c>
      <c r="AG21" s="38">
        <f t="shared" si="39"/>
        <v>7636</v>
      </c>
      <c r="AH21" s="38">
        <f t="shared" si="39"/>
        <v>7945</v>
      </c>
      <c r="AI21" s="38">
        <f t="shared" si="39"/>
        <v>8285</v>
      </c>
      <c r="AJ21" s="38">
        <f t="shared" si="39"/>
        <v>8655</v>
      </c>
      <c r="AK21" s="38">
        <f t="shared" si="39"/>
        <v>9059</v>
      </c>
      <c r="AL21" s="38">
        <f t="shared" si="39"/>
        <v>9387</v>
      </c>
      <c r="AP21" s="73"/>
    </row>
    <row r="22" spans="1:42" s="40" customFormat="1" x14ac:dyDescent="0.25">
      <c r="A22" s="39" t="s">
        <v>156</v>
      </c>
      <c r="C22" s="40">
        <f>ROUNDUP(C11*'Assumptions and Drivers'!$C$46,0)</f>
        <v>0</v>
      </c>
      <c r="D22" s="40">
        <f>ROUNDUP(D11*'Assumptions and Drivers'!$C$46,0)</f>
        <v>32</v>
      </c>
      <c r="E22" s="40">
        <f>ROUNDUP(E11*'Assumptions and Drivers'!$C$46,0)</f>
        <v>63</v>
      </c>
      <c r="F22" s="40">
        <f>ROUNDUP(F11*'Assumptions and Drivers'!$C$46,0)</f>
        <v>94</v>
      </c>
      <c r="G22" s="40">
        <f>ROUNDUP(G11*'Assumptions and Drivers'!$C$46,0)</f>
        <v>125</v>
      </c>
      <c r="H22" s="40">
        <f>ROUNDUP(H11*'Assumptions and Drivers'!$C$46,0)</f>
        <v>160</v>
      </c>
      <c r="I22" s="40">
        <f>ROUNDUP(I11*'Assumptions and Drivers'!$C$46,0)</f>
        <v>195</v>
      </c>
      <c r="J22" s="40">
        <f>ROUNDUP(J11*'Assumptions and Drivers'!$C$46,0)</f>
        <v>227</v>
      </c>
      <c r="K22" s="40">
        <f>ROUNDUP(K11*'Assumptions and Drivers'!$C$46,0)</f>
        <v>258</v>
      </c>
      <c r="L22" s="40">
        <f>ROUNDUP(L11*'Assumptions and Drivers'!$C$46,0)</f>
        <v>289</v>
      </c>
      <c r="M22" s="40">
        <f>ROUNDUP(M11*'Assumptions and Drivers'!$C$46,0)</f>
        <v>324</v>
      </c>
      <c r="N22" s="40">
        <f>ROUNDUP(N11*'Assumptions and Drivers'!$C$46,0)</f>
        <v>359</v>
      </c>
      <c r="O22" s="40">
        <f>ROUNDUP(O11*'Assumptions and Drivers'!$C$46,0)</f>
        <v>394</v>
      </c>
      <c r="P22" s="40">
        <f>ROUNDUP(P11*'Assumptions and Drivers'!$C$46,0)</f>
        <v>426</v>
      </c>
      <c r="Q22" s="40">
        <f>ROUNDUP(Q11*'Assumptions and Drivers'!$C$46,0)</f>
        <v>457</v>
      </c>
      <c r="R22" s="40">
        <f>ROUNDUP(R11*'Assumptions and Drivers'!$C$46,0)</f>
        <v>488</v>
      </c>
      <c r="S22" s="40">
        <f>ROUNDUP(S11*'Assumptions and Drivers'!$C$46,0)</f>
        <v>519</v>
      </c>
      <c r="T22" s="40">
        <f>ROUNDUP(T11*'Assumptions and Drivers'!$C$46,0)</f>
        <v>554</v>
      </c>
      <c r="U22" s="106">
        <f>ROUNDUP(U11*'Assumptions and Drivers'!$C$46,0)</f>
        <v>593</v>
      </c>
      <c r="V22" s="40">
        <f>ROUNDUP(V11*'Assumptions and Drivers'!$C$46,0)</f>
        <v>628</v>
      </c>
      <c r="W22" s="40">
        <f>ROUNDUP(W11*'Assumptions and Drivers'!$C$46,0)</f>
        <v>663</v>
      </c>
      <c r="X22" s="40">
        <f>ROUNDUP(X11*'Assumptions and Drivers'!$C$46,0)</f>
        <v>699</v>
      </c>
      <c r="Y22" s="40">
        <f>ROUNDUP(Y11*'Assumptions and Drivers'!$C$46,0)</f>
        <v>734</v>
      </c>
      <c r="Z22" s="40">
        <f>ROUNDUP(Z11*'Assumptions and Drivers'!$C$46,0)</f>
        <v>769</v>
      </c>
      <c r="AA22" s="40">
        <f>ROUNDUP(AA11*'Assumptions and Drivers'!$C$46,0)</f>
        <v>804</v>
      </c>
      <c r="AB22" s="40">
        <f>ROUNDUP(AB11*'Assumptions and Drivers'!$C$46,0)</f>
        <v>839</v>
      </c>
      <c r="AC22" s="40">
        <f>ROUNDUP(AC11*'Assumptions and Drivers'!$C$46,0)</f>
        <v>874</v>
      </c>
      <c r="AD22" s="40">
        <f>ROUNDUP(AD11*'Assumptions and Drivers'!$C$46,0)</f>
        <v>909</v>
      </c>
      <c r="AE22" s="40">
        <f>ROUNDUP(AE11*'Assumptions and Drivers'!$C$46,0)</f>
        <v>944</v>
      </c>
      <c r="AF22" s="40">
        <f>ROUNDUP(AF11*'Assumptions and Drivers'!$C$46,0)</f>
        <v>983</v>
      </c>
      <c r="AG22" s="40">
        <f>ROUNDUP(AG11*'Assumptions and Drivers'!$C$46,0)</f>
        <v>1022</v>
      </c>
      <c r="AH22" s="40">
        <f>ROUNDUP(AH11*'Assumptions and Drivers'!$C$46,0)</f>
        <v>1061</v>
      </c>
      <c r="AI22" s="40">
        <f>ROUNDUP(AI11*'Assumptions and Drivers'!$C$46,0)</f>
        <v>1100</v>
      </c>
      <c r="AJ22" s="40">
        <f>ROUNDUP(AJ11*'Assumptions and Drivers'!$C$46,0)</f>
        <v>1143</v>
      </c>
      <c r="AK22" s="40">
        <f>ROUNDUP(AK11*'Assumptions and Drivers'!$C$46,0)</f>
        <v>1182</v>
      </c>
      <c r="AL22" s="40">
        <f>ROUNDUP(AL11*'Assumptions and Drivers'!$C$46,0)</f>
        <v>1221</v>
      </c>
      <c r="AP22" s="74">
        <f>SUM(C22:AL22)</f>
        <v>21132</v>
      </c>
    </row>
    <row r="23" spans="1:42" s="38" customFormat="1" x14ac:dyDescent="0.25">
      <c r="A23" s="37" t="s">
        <v>157</v>
      </c>
      <c r="C23" s="38">
        <f>ROUNDDOWN(B25*'Assumptions and Drivers'!$C$20,0)</f>
        <v>0</v>
      </c>
      <c r="D23" s="38">
        <f>ROUNDDOWN(C25*'Assumptions and Drivers'!$C$20,0)</f>
        <v>0</v>
      </c>
      <c r="E23" s="38">
        <f>ROUNDDOWN(D25*'Assumptions and Drivers'!$C$20,0)</f>
        <v>0</v>
      </c>
      <c r="F23" s="38">
        <f>ROUNDDOWN(E25*'Assumptions and Drivers'!$C$20,0)</f>
        <v>2</v>
      </c>
      <c r="G23" s="38">
        <f>ROUNDDOWN(F25*'Assumptions and Drivers'!$C$20,0)</f>
        <v>4</v>
      </c>
      <c r="H23" s="38">
        <f>ROUNDDOWN(G25*'Assumptions and Drivers'!$C$20,0)</f>
        <v>7</v>
      </c>
      <c r="I23" s="38">
        <f>ROUNDDOWN(H25*'Assumptions and Drivers'!$C$20,0)</f>
        <v>11</v>
      </c>
      <c r="J23" s="38">
        <f>ROUNDDOWN(I25*'Assumptions and Drivers'!$C$20,0)</f>
        <v>16</v>
      </c>
      <c r="K23" s="38">
        <f>ROUNDDOWN(J25*'Assumptions and Drivers'!$C$20,0)</f>
        <v>20</v>
      </c>
      <c r="L23" s="38">
        <f>ROUNDDOWN(K25*'Assumptions and Drivers'!$C$20,0)</f>
        <v>25</v>
      </c>
      <c r="M23" s="38">
        <f>ROUNDDOWN(L25*'Assumptions and Drivers'!$C$20,0)</f>
        <v>31</v>
      </c>
      <c r="N23" s="38">
        <f>ROUNDDOWN(M25*'Assumptions and Drivers'!$C$20,0)</f>
        <v>37</v>
      </c>
      <c r="O23" s="38">
        <f>ROUNDDOWN(N25*'Assumptions and Drivers'!$C$20,0)</f>
        <v>44</v>
      </c>
      <c r="P23" s="38">
        <f>ROUNDDOWN(O25*'Assumptions and Drivers'!$C$20,0)</f>
        <v>51</v>
      </c>
      <c r="Q23" s="38">
        <f>ROUNDDOWN(P25*'Assumptions and Drivers'!$C$20,0)</f>
        <v>57</v>
      </c>
      <c r="R23" s="38">
        <f>ROUNDDOWN(Q25*'Assumptions and Drivers'!$C$20,0)</f>
        <v>64</v>
      </c>
      <c r="S23" s="38">
        <f>ROUNDDOWN(R25*'Assumptions and Drivers'!$C$20,0)</f>
        <v>71</v>
      </c>
      <c r="T23" s="38">
        <f>ROUNDDOWN(S25*'Assumptions and Drivers'!$C$20,0)</f>
        <v>79</v>
      </c>
      <c r="U23" s="105">
        <f>ROUNDDOWN(T25*'Assumptions and Drivers'!$C$20,0)</f>
        <v>87</v>
      </c>
      <c r="V23" s="38">
        <f>ROUNDDOWN(U25*'Assumptions and Drivers'!$C$20,0)</f>
        <v>96</v>
      </c>
      <c r="W23" s="38">
        <f>ROUNDDOWN(V25*'Assumptions and Drivers'!$C$20,0)</f>
        <v>104</v>
      </c>
      <c r="X23" s="38">
        <f>ROUNDDOWN(W25*'Assumptions and Drivers'!$C$20,0)</f>
        <v>113</v>
      </c>
      <c r="Y23" s="38">
        <f>ROUNDDOWN(X25*'Assumptions and Drivers'!$C$20,0)</f>
        <v>122</v>
      </c>
      <c r="Z23" s="38">
        <f>ROUNDDOWN(Y25*'Assumptions and Drivers'!$C$20,0)</f>
        <v>132</v>
      </c>
      <c r="AA23" s="38">
        <f>ROUNDDOWN(Z25*'Assumptions and Drivers'!$C$20,0)</f>
        <v>143</v>
      </c>
      <c r="AB23" s="38">
        <f>ROUNDDOWN(AA25*'Assumptions and Drivers'!$C$20,0)</f>
        <v>153</v>
      </c>
      <c r="AC23" s="38">
        <f>ROUNDDOWN(AB25*'Assumptions and Drivers'!$C$20,0)</f>
        <v>159</v>
      </c>
      <c r="AD23" s="38">
        <f>ROUNDDOWN(AC25*'Assumptions and Drivers'!$C$20,0)</f>
        <v>167</v>
      </c>
      <c r="AE23" s="38">
        <f>ROUNDDOWN(AD25*'Assumptions and Drivers'!$C$20,0)</f>
        <v>175</v>
      </c>
      <c r="AF23" s="38">
        <f>ROUNDDOWN(AE25*'Assumptions and Drivers'!$C$20,0)</f>
        <v>184</v>
      </c>
      <c r="AG23" s="38">
        <f>ROUNDDOWN(AF25*'Assumptions and Drivers'!$C$20,0)</f>
        <v>190</v>
      </c>
      <c r="AH23" s="38">
        <f>ROUNDDOWN(AG25*'Assumptions and Drivers'!$C$20,0)</f>
        <v>198</v>
      </c>
      <c r="AI23" s="38">
        <f>ROUNDDOWN(AH25*'Assumptions and Drivers'!$C$20,0)</f>
        <v>207</v>
      </c>
      <c r="AJ23" s="38">
        <f>ROUNDDOWN(AI25*'Assumptions and Drivers'!$C$20,0)</f>
        <v>216</v>
      </c>
      <c r="AK23" s="38">
        <f>ROUNDDOWN(AJ25*'Assumptions and Drivers'!$C$20,0)</f>
        <v>226</v>
      </c>
      <c r="AL23" s="38">
        <f>ROUNDDOWN(AK25*'Assumptions and Drivers'!$C$20,0)</f>
        <v>234</v>
      </c>
      <c r="AP23" s="74">
        <f>SUM(C23:AL23)</f>
        <v>3425</v>
      </c>
    </row>
    <row r="24" spans="1:42" s="38" customFormat="1" x14ac:dyDescent="0.25">
      <c r="A24" s="37" t="s">
        <v>158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f>ROUNDUP(J10*'Assumptions and Drivers'!$B$45*25%*75%,0)</f>
        <v>35</v>
      </c>
      <c r="K24" s="38">
        <f>ROUNDUP(K10*'Assumptions and Drivers'!$B$45*25%*75%,0)</f>
        <v>35</v>
      </c>
      <c r="L24" s="38">
        <f>ROUNDUP(L10*'Assumptions and Drivers'!$B$45*25%*75%,0)</f>
        <v>35</v>
      </c>
      <c r="M24" s="38">
        <f>ROUNDUP(M10*'Assumptions and Drivers'!$B$45*25%*75%,0)</f>
        <v>35</v>
      </c>
      <c r="N24" s="38">
        <f>ROUNDUP(N10*'Assumptions and Drivers'!$B$45*25%*75%,0)</f>
        <v>35</v>
      </c>
      <c r="O24" s="38">
        <f>ROUNDUP(O10*'Assumptions and Drivers'!$B$45*50%*75%,0)</f>
        <v>70</v>
      </c>
      <c r="P24" s="38">
        <f>ROUNDUP(P10*'Assumptions and Drivers'!$B$45*50%*75%,0)</f>
        <v>140</v>
      </c>
      <c r="Q24" s="38">
        <f>ROUNDUP(Q10*'Assumptions and Drivers'!$B$45*50%*75%,0)</f>
        <v>140</v>
      </c>
      <c r="R24" s="38">
        <f>ROUNDUP(R10*'Assumptions and Drivers'!$B$45*50%*75%,0)</f>
        <v>140</v>
      </c>
      <c r="S24" s="38">
        <f>ROUNDUP(S10*'Assumptions and Drivers'!$B$45*50%*75%,0)</f>
        <v>140</v>
      </c>
      <c r="T24" s="38">
        <f>ROUNDUP(T10*'Assumptions and Drivers'!$B$45*50%*75%,0)</f>
        <v>140</v>
      </c>
      <c r="U24" s="105">
        <f>ROUNDUP(U10*'Assumptions and Drivers'!$B$45*50%*75%,0)</f>
        <v>140</v>
      </c>
      <c r="V24" s="38">
        <f>ROUNDUP(V10*'Assumptions and Drivers'!$B$45*50%*75%,0)</f>
        <v>210</v>
      </c>
      <c r="W24" s="38">
        <f>ROUNDUP(W10*'Assumptions and Drivers'!$B$45*50%*75%,0)</f>
        <v>210</v>
      </c>
      <c r="X24" s="38">
        <f>ROUNDUP(X10*'Assumptions and Drivers'!$B$45*50%*75%,0)</f>
        <v>210</v>
      </c>
      <c r="Y24" s="38">
        <f>ROUNDUP(Y10*'Assumptions and Drivers'!$B$45*50%*75%,0)</f>
        <v>210</v>
      </c>
      <c r="Z24" s="38">
        <f>ROUNDUP(Z10*'Assumptions and Drivers'!$B$45*50%*75%,0)</f>
        <v>210</v>
      </c>
      <c r="AA24" s="38">
        <f>ROUNDUP(AA10*'Assumptions and Drivers'!$B$45*50%*75%,0)</f>
        <v>279</v>
      </c>
      <c r="AB24" s="38">
        <f>ROUNDUP(AB10*'Assumptions and Drivers'!$B$45*75%*75%,0)</f>
        <v>419</v>
      </c>
      <c r="AC24" s="38">
        <f>ROUNDUP(AC10*'Assumptions and Drivers'!$B$45*75%*75%,0)</f>
        <v>419</v>
      </c>
      <c r="AD24" s="38">
        <f>ROUNDUP(AD10*'Assumptions and Drivers'!$B$45*75%*75%,0)</f>
        <v>419</v>
      </c>
      <c r="AE24" s="38">
        <f>ROUNDUP(AE10*'Assumptions and Drivers'!$B$45*75%*75%,0)</f>
        <v>419</v>
      </c>
      <c r="AF24" s="38">
        <f>ROUNDUP(AF10*'Assumptions and Drivers'!$B$45*75%*75%,0)</f>
        <v>523</v>
      </c>
      <c r="AG24" s="38">
        <f>ROUNDUP(AG10*'Assumptions and Drivers'!$B$45*75%*75%,0)</f>
        <v>523</v>
      </c>
      <c r="AH24" s="38">
        <f>ROUNDUP(AH10*'Assumptions and Drivers'!$B$45*75%*75%,0)</f>
        <v>523</v>
      </c>
      <c r="AI24" s="38">
        <f>ROUNDUP(AI10*'Assumptions and Drivers'!$B$45*75%*75%,0)</f>
        <v>523</v>
      </c>
      <c r="AJ24" s="38">
        <f>ROUNDUP(AJ10*'Assumptions and Drivers'!$B$45*75%*75%,0)</f>
        <v>523</v>
      </c>
      <c r="AK24" s="38">
        <f>ROUNDUP(AK10*'Assumptions and Drivers'!$B$45*75%*75%,0)</f>
        <v>628</v>
      </c>
      <c r="AL24" s="38">
        <f>ROUNDUP(AL10*'Assumptions and Drivers'!$B$45*75%*75%,0)</f>
        <v>628</v>
      </c>
      <c r="AP24" s="74">
        <f t="shared" ref="AP24" si="40">SUM(C24:AL24)</f>
        <v>7961</v>
      </c>
    </row>
    <row r="25" spans="1:42" s="38" customFormat="1" x14ac:dyDescent="0.25">
      <c r="A25" s="37" t="s">
        <v>159</v>
      </c>
      <c r="C25" s="38">
        <f>C21+C22-C23-C24</f>
        <v>0</v>
      </c>
      <c r="D25" s="38">
        <f t="shared" ref="D25:AL25" si="41">D21+D22-D23-D24</f>
        <v>32</v>
      </c>
      <c r="E25" s="38">
        <f t="shared" si="41"/>
        <v>95</v>
      </c>
      <c r="F25" s="38">
        <f t="shared" si="41"/>
        <v>187</v>
      </c>
      <c r="G25" s="38">
        <f t="shared" si="41"/>
        <v>308</v>
      </c>
      <c r="H25" s="38">
        <f t="shared" si="41"/>
        <v>461</v>
      </c>
      <c r="I25" s="38">
        <f t="shared" si="41"/>
        <v>645</v>
      </c>
      <c r="J25" s="38">
        <f t="shared" si="41"/>
        <v>821</v>
      </c>
      <c r="K25" s="38">
        <f t="shared" si="41"/>
        <v>1024</v>
      </c>
      <c r="L25" s="38">
        <f t="shared" si="41"/>
        <v>1253</v>
      </c>
      <c r="M25" s="38">
        <f t="shared" si="41"/>
        <v>1511</v>
      </c>
      <c r="N25" s="38">
        <f t="shared" si="41"/>
        <v>1798</v>
      </c>
      <c r="O25" s="38">
        <f t="shared" si="41"/>
        <v>2078</v>
      </c>
      <c r="P25" s="38">
        <f t="shared" si="41"/>
        <v>2313</v>
      </c>
      <c r="Q25" s="38">
        <f t="shared" si="41"/>
        <v>2573</v>
      </c>
      <c r="R25" s="38">
        <f t="shared" si="41"/>
        <v>2857</v>
      </c>
      <c r="S25" s="38">
        <f t="shared" si="41"/>
        <v>3165</v>
      </c>
      <c r="T25" s="38">
        <f t="shared" si="41"/>
        <v>3500</v>
      </c>
      <c r="U25" s="105">
        <f t="shared" si="41"/>
        <v>3866</v>
      </c>
      <c r="V25" s="38">
        <f t="shared" si="41"/>
        <v>4188</v>
      </c>
      <c r="W25" s="38">
        <f t="shared" si="41"/>
        <v>4537</v>
      </c>
      <c r="X25" s="38">
        <f t="shared" si="41"/>
        <v>4913</v>
      </c>
      <c r="Y25" s="38">
        <f t="shared" si="41"/>
        <v>5315</v>
      </c>
      <c r="Z25" s="38">
        <f t="shared" si="41"/>
        <v>5742</v>
      </c>
      <c r="AA25" s="38">
        <f t="shared" si="41"/>
        <v>6124</v>
      </c>
      <c r="AB25" s="38">
        <f t="shared" si="41"/>
        <v>6391</v>
      </c>
      <c r="AC25" s="38">
        <f t="shared" si="41"/>
        <v>6687</v>
      </c>
      <c r="AD25" s="38">
        <f t="shared" si="41"/>
        <v>7010</v>
      </c>
      <c r="AE25" s="38">
        <f t="shared" si="41"/>
        <v>7360</v>
      </c>
      <c r="AF25" s="38">
        <f t="shared" si="41"/>
        <v>7636</v>
      </c>
      <c r="AG25" s="38">
        <f t="shared" si="41"/>
        <v>7945</v>
      </c>
      <c r="AH25" s="38">
        <f t="shared" si="41"/>
        <v>8285</v>
      </c>
      <c r="AI25" s="38">
        <f t="shared" si="41"/>
        <v>8655</v>
      </c>
      <c r="AJ25" s="38">
        <f t="shared" si="41"/>
        <v>9059</v>
      </c>
      <c r="AK25" s="38">
        <f t="shared" si="41"/>
        <v>9387</v>
      </c>
      <c r="AL25" s="38">
        <f t="shared" si="41"/>
        <v>9746</v>
      </c>
      <c r="AP25" s="74">
        <f>AP22-AP23-AP24</f>
        <v>9746</v>
      </c>
    </row>
    <row r="26" spans="1:42" s="1" customFormat="1" x14ac:dyDescent="0.25">
      <c r="A26" s="25" t="s">
        <v>160</v>
      </c>
      <c r="B26" s="4">
        <v>77</v>
      </c>
      <c r="C26" s="1">
        <f>C25+C20</f>
        <v>116</v>
      </c>
      <c r="D26" s="1">
        <f t="shared" ref="D26:AL26" si="42">D25+D20</f>
        <v>184</v>
      </c>
      <c r="E26" s="1">
        <f t="shared" si="42"/>
        <v>281</v>
      </c>
      <c r="F26" s="1">
        <f t="shared" si="42"/>
        <v>406</v>
      </c>
      <c r="G26" s="1">
        <f t="shared" si="42"/>
        <v>559</v>
      </c>
      <c r="H26" s="1">
        <f t="shared" si="42"/>
        <v>879</v>
      </c>
      <c r="I26" s="1">
        <f t="shared" si="42"/>
        <v>1227</v>
      </c>
      <c r="J26" s="1">
        <f t="shared" si="42"/>
        <v>1562</v>
      </c>
      <c r="K26" s="1">
        <f t="shared" si="42"/>
        <v>1920</v>
      </c>
      <c r="L26" s="1">
        <f t="shared" si="42"/>
        <v>2301</v>
      </c>
      <c r="M26" s="1">
        <f t="shared" si="42"/>
        <v>2707</v>
      </c>
      <c r="N26" s="1">
        <f t="shared" si="42"/>
        <v>3139</v>
      </c>
      <c r="O26" s="1">
        <f t="shared" si="42"/>
        <v>3560</v>
      </c>
      <c r="P26" s="1">
        <f t="shared" si="42"/>
        <v>3933</v>
      </c>
      <c r="Q26" s="1">
        <f t="shared" si="42"/>
        <v>4327</v>
      </c>
      <c r="R26" s="1">
        <f t="shared" si="42"/>
        <v>4743</v>
      </c>
      <c r="S26" s="1">
        <f t="shared" si="42"/>
        <v>5180</v>
      </c>
      <c r="T26" s="1">
        <f t="shared" si="42"/>
        <v>5660</v>
      </c>
      <c r="U26" s="107">
        <f t="shared" si="42"/>
        <v>6168</v>
      </c>
      <c r="V26" s="1">
        <f t="shared" si="42"/>
        <v>6630</v>
      </c>
      <c r="W26" s="1">
        <f t="shared" si="42"/>
        <v>7115</v>
      </c>
      <c r="X26" s="1">
        <f t="shared" si="42"/>
        <v>7625</v>
      </c>
      <c r="Y26" s="1">
        <f t="shared" si="42"/>
        <v>8158</v>
      </c>
      <c r="Z26" s="1">
        <f t="shared" si="42"/>
        <v>8714</v>
      </c>
      <c r="AA26" s="1">
        <f t="shared" si="42"/>
        <v>9221</v>
      </c>
      <c r="AB26" s="1">
        <f t="shared" si="42"/>
        <v>9611</v>
      </c>
      <c r="AC26" s="1">
        <f t="shared" si="42"/>
        <v>10028</v>
      </c>
      <c r="AD26" s="1">
        <f t="shared" si="42"/>
        <v>10470</v>
      </c>
      <c r="AE26" s="1">
        <f t="shared" si="42"/>
        <v>10937</v>
      </c>
      <c r="AF26" s="1">
        <f t="shared" si="42"/>
        <v>11351</v>
      </c>
      <c r="AG26" s="1">
        <f t="shared" si="42"/>
        <v>11796</v>
      </c>
      <c r="AH26" s="1">
        <f t="shared" si="42"/>
        <v>12269</v>
      </c>
      <c r="AI26" s="1">
        <f t="shared" si="42"/>
        <v>12770</v>
      </c>
      <c r="AJ26" s="1">
        <f t="shared" si="42"/>
        <v>13302</v>
      </c>
      <c r="AK26" s="1">
        <f t="shared" si="42"/>
        <v>13756</v>
      </c>
      <c r="AL26" s="1">
        <f t="shared" si="42"/>
        <v>14240</v>
      </c>
      <c r="AP26" s="69">
        <f>AP18+AP22-AP19-AP23-AP24</f>
        <v>14163</v>
      </c>
    </row>
    <row r="27" spans="1:42" s="69" customFormat="1" ht="47.45" customHeight="1" x14ac:dyDescent="0.25">
      <c r="A27" s="98" t="s">
        <v>161</v>
      </c>
      <c r="B27" s="99">
        <f>B26*25</f>
        <v>1925</v>
      </c>
      <c r="C27" s="99">
        <f t="shared" ref="C27:N27" si="43">C26*25</f>
        <v>2900</v>
      </c>
      <c r="D27" s="99">
        <f t="shared" si="43"/>
        <v>4600</v>
      </c>
      <c r="E27" s="99">
        <f t="shared" si="43"/>
        <v>7025</v>
      </c>
      <c r="F27" s="99">
        <f t="shared" si="43"/>
        <v>10150</v>
      </c>
      <c r="G27" s="99">
        <f t="shared" si="43"/>
        <v>13975</v>
      </c>
      <c r="H27" s="99">
        <f t="shared" si="43"/>
        <v>21975</v>
      </c>
      <c r="I27" s="99">
        <f t="shared" si="43"/>
        <v>30675</v>
      </c>
      <c r="J27" s="99">
        <f t="shared" si="43"/>
        <v>39050</v>
      </c>
      <c r="K27" s="99">
        <f t="shared" si="43"/>
        <v>48000</v>
      </c>
      <c r="L27" s="99">
        <f t="shared" si="43"/>
        <v>57525</v>
      </c>
      <c r="M27" s="99">
        <f t="shared" si="43"/>
        <v>67675</v>
      </c>
      <c r="N27" s="99">
        <f t="shared" si="43"/>
        <v>78475</v>
      </c>
      <c r="O27" s="99">
        <f t="shared" ref="O27" si="44">O26*25</f>
        <v>89000</v>
      </c>
      <c r="P27" s="99">
        <f t="shared" ref="P27" si="45">P26*25</f>
        <v>98325</v>
      </c>
      <c r="Q27" s="99">
        <f t="shared" ref="Q27" si="46">Q26*25</f>
        <v>108175</v>
      </c>
      <c r="R27" s="99">
        <f t="shared" ref="R27" si="47">R26*25</f>
        <v>118575</v>
      </c>
      <c r="S27" s="99">
        <f t="shared" ref="S27" si="48">S26*25</f>
        <v>129500</v>
      </c>
      <c r="T27" s="99">
        <f t="shared" ref="T27" si="49">T26*25</f>
        <v>141500</v>
      </c>
      <c r="U27" s="108">
        <f t="shared" ref="U27" si="50">U26*25</f>
        <v>154200</v>
      </c>
      <c r="V27" s="99">
        <f t="shared" ref="V27" si="51">V26*25</f>
        <v>165750</v>
      </c>
      <c r="W27" s="99">
        <f t="shared" ref="W27" si="52">W26*25</f>
        <v>177875</v>
      </c>
      <c r="X27" s="99">
        <f t="shared" ref="X27" si="53">X26*25</f>
        <v>190625</v>
      </c>
      <c r="Y27" s="99">
        <f t="shared" ref="Y27" si="54">Y26*25</f>
        <v>203950</v>
      </c>
      <c r="Z27" s="99">
        <f t="shared" ref="Z27" si="55">Z26*25</f>
        <v>217850</v>
      </c>
      <c r="AA27" s="99">
        <f t="shared" ref="AA27" si="56">AA26*25</f>
        <v>230525</v>
      </c>
      <c r="AB27" s="99">
        <f t="shared" ref="AB27" si="57">AB26*25</f>
        <v>240275</v>
      </c>
      <c r="AC27" s="99">
        <f t="shared" ref="AC27" si="58">AC26*25</f>
        <v>250700</v>
      </c>
      <c r="AD27" s="99">
        <f t="shared" ref="AD27" si="59">AD26*25</f>
        <v>261750</v>
      </c>
      <c r="AE27" s="99">
        <f t="shared" ref="AE27" si="60">AE26*25</f>
        <v>273425</v>
      </c>
      <c r="AF27" s="99">
        <f t="shared" ref="AF27" si="61">AF26*25</f>
        <v>283775</v>
      </c>
      <c r="AG27" s="99">
        <f t="shared" ref="AG27" si="62">AG26*25</f>
        <v>294900</v>
      </c>
      <c r="AH27" s="99">
        <f t="shared" ref="AH27" si="63">AH26*25</f>
        <v>306725</v>
      </c>
      <c r="AI27" s="99">
        <f t="shared" ref="AI27" si="64">AI26*25</f>
        <v>319250</v>
      </c>
      <c r="AJ27" s="99">
        <f t="shared" ref="AJ27" si="65">AJ26*25</f>
        <v>332550</v>
      </c>
      <c r="AK27" s="99">
        <f t="shared" ref="AK27" si="66">AK26*25</f>
        <v>343900</v>
      </c>
      <c r="AL27" s="99">
        <f t="shared" ref="AL27" si="67">AL26*25</f>
        <v>356000</v>
      </c>
    </row>
    <row r="28" spans="1:42" s="69" customFormat="1" ht="47.45" customHeight="1" x14ac:dyDescent="0.25">
      <c r="A28" s="98" t="s">
        <v>162</v>
      </c>
      <c r="B28" s="99"/>
      <c r="C28" s="99">
        <f>C18+C22</f>
        <v>39</v>
      </c>
      <c r="D28" s="99">
        <f t="shared" ref="D28:AL28" si="68">D18+D22</f>
        <v>71</v>
      </c>
      <c r="E28" s="99">
        <f t="shared" si="68"/>
        <v>102</v>
      </c>
      <c r="F28" s="99">
        <f t="shared" si="68"/>
        <v>133</v>
      </c>
      <c r="G28" s="99">
        <f t="shared" si="68"/>
        <v>164</v>
      </c>
      <c r="H28" s="99">
        <f t="shared" si="68"/>
        <v>335</v>
      </c>
      <c r="I28" s="99">
        <f t="shared" si="68"/>
        <v>372</v>
      </c>
      <c r="J28" s="99">
        <f t="shared" si="68"/>
        <v>405</v>
      </c>
      <c r="K28" s="99">
        <f t="shared" si="68"/>
        <v>437</v>
      </c>
      <c r="L28" s="99">
        <f t="shared" si="68"/>
        <v>470</v>
      </c>
      <c r="M28" s="99">
        <f t="shared" si="68"/>
        <v>506</v>
      </c>
      <c r="N28" s="99">
        <f t="shared" si="68"/>
        <v>543</v>
      </c>
      <c r="O28" s="99">
        <f t="shared" si="68"/>
        <v>579</v>
      </c>
      <c r="P28" s="99">
        <f t="shared" si="68"/>
        <v>613</v>
      </c>
      <c r="Q28" s="99">
        <f t="shared" si="68"/>
        <v>645</v>
      </c>
      <c r="R28" s="99">
        <f t="shared" si="68"/>
        <v>678</v>
      </c>
      <c r="S28" s="99">
        <f t="shared" si="68"/>
        <v>710</v>
      </c>
      <c r="T28" s="99">
        <f t="shared" si="68"/>
        <v>766</v>
      </c>
      <c r="U28" s="99">
        <f t="shared" si="68"/>
        <v>807</v>
      </c>
      <c r="V28" s="99">
        <f t="shared" si="68"/>
        <v>844</v>
      </c>
      <c r="W28" s="99">
        <f t="shared" si="68"/>
        <v>880</v>
      </c>
      <c r="X28" s="99">
        <f t="shared" si="68"/>
        <v>918</v>
      </c>
      <c r="Y28" s="99">
        <f t="shared" si="68"/>
        <v>955</v>
      </c>
      <c r="Z28" s="99">
        <f t="shared" si="68"/>
        <v>992</v>
      </c>
      <c r="AA28" s="99">
        <f t="shared" si="68"/>
        <v>1028</v>
      </c>
      <c r="AB28" s="99">
        <f t="shared" si="68"/>
        <v>1065</v>
      </c>
      <c r="AC28" s="99">
        <f t="shared" si="68"/>
        <v>1102</v>
      </c>
      <c r="AD28" s="99">
        <f t="shared" si="68"/>
        <v>1139</v>
      </c>
      <c r="AE28" s="99">
        <f t="shared" si="68"/>
        <v>1176</v>
      </c>
      <c r="AF28" s="99">
        <f t="shared" si="68"/>
        <v>1240</v>
      </c>
      <c r="AG28" s="99">
        <f t="shared" si="68"/>
        <v>1281</v>
      </c>
      <c r="AH28" s="99">
        <f t="shared" si="68"/>
        <v>1322</v>
      </c>
      <c r="AI28" s="99">
        <f t="shared" si="68"/>
        <v>1363</v>
      </c>
      <c r="AJ28" s="99">
        <f t="shared" si="68"/>
        <v>1408</v>
      </c>
      <c r="AK28" s="99">
        <f t="shared" si="68"/>
        <v>1449</v>
      </c>
      <c r="AL28" s="99">
        <f t="shared" si="68"/>
        <v>1491</v>
      </c>
    </row>
    <row r="29" spans="1:42" x14ac:dyDescent="0.25">
      <c r="AP29" s="64"/>
    </row>
    <row r="30" spans="1:42" x14ac:dyDescent="0.25">
      <c r="A30" s="23" t="s">
        <v>163</v>
      </c>
      <c r="AP30" s="64"/>
    </row>
    <row r="31" spans="1:42" s="18" customFormat="1" x14ac:dyDescent="0.25">
      <c r="A31" s="29" t="s">
        <v>164</v>
      </c>
      <c r="C31" s="76">
        <f t="shared" ref="C31:AL31" si="69">C6</f>
        <v>1600</v>
      </c>
      <c r="D31" s="76">
        <f t="shared" si="69"/>
        <v>1600</v>
      </c>
      <c r="E31" s="76">
        <f t="shared" si="69"/>
        <v>1600</v>
      </c>
      <c r="F31" s="76">
        <f t="shared" si="69"/>
        <v>1600</v>
      </c>
      <c r="G31" s="77">
        <f t="shared" si="69"/>
        <v>1600</v>
      </c>
      <c r="H31" s="76">
        <f t="shared" si="69"/>
        <v>1760</v>
      </c>
      <c r="I31" s="76">
        <f t="shared" si="69"/>
        <v>1760</v>
      </c>
      <c r="J31" s="76">
        <f t="shared" si="69"/>
        <v>1760</v>
      </c>
      <c r="K31" s="76">
        <f t="shared" si="69"/>
        <v>1760</v>
      </c>
      <c r="L31" s="76">
        <f t="shared" si="69"/>
        <v>1760</v>
      </c>
      <c r="M31" s="76">
        <f t="shared" si="69"/>
        <v>1760</v>
      </c>
      <c r="N31" s="76">
        <f t="shared" si="69"/>
        <v>1760</v>
      </c>
      <c r="O31" s="76">
        <f t="shared" si="69"/>
        <v>1760</v>
      </c>
      <c r="P31" s="76">
        <f t="shared" si="69"/>
        <v>1760</v>
      </c>
      <c r="Q31" s="76">
        <f t="shared" si="69"/>
        <v>1760</v>
      </c>
      <c r="R31" s="76">
        <f t="shared" si="69"/>
        <v>1760</v>
      </c>
      <c r="S31" s="77">
        <f t="shared" si="69"/>
        <v>1760</v>
      </c>
      <c r="T31" s="76">
        <f t="shared" si="69"/>
        <v>1936</v>
      </c>
      <c r="U31" s="109">
        <f t="shared" si="69"/>
        <v>1936</v>
      </c>
      <c r="V31" s="76">
        <f t="shared" si="69"/>
        <v>1936</v>
      </c>
      <c r="W31" s="76">
        <f t="shared" si="69"/>
        <v>1936</v>
      </c>
      <c r="X31" s="76">
        <f t="shared" si="69"/>
        <v>1936</v>
      </c>
      <c r="Y31" s="76">
        <f t="shared" si="69"/>
        <v>1936</v>
      </c>
      <c r="Z31" s="76">
        <f t="shared" si="69"/>
        <v>1936</v>
      </c>
      <c r="AA31" s="76">
        <f t="shared" si="69"/>
        <v>1936</v>
      </c>
      <c r="AB31" s="76">
        <f t="shared" si="69"/>
        <v>1936</v>
      </c>
      <c r="AC31" s="76">
        <f t="shared" si="69"/>
        <v>1936</v>
      </c>
      <c r="AD31" s="76">
        <f t="shared" si="69"/>
        <v>1936</v>
      </c>
      <c r="AE31" s="77">
        <f t="shared" si="69"/>
        <v>1936</v>
      </c>
      <c r="AF31" s="76">
        <f t="shared" si="69"/>
        <v>2130</v>
      </c>
      <c r="AG31" s="76">
        <f t="shared" si="69"/>
        <v>2130</v>
      </c>
      <c r="AH31" s="76">
        <f t="shared" si="69"/>
        <v>2130</v>
      </c>
      <c r="AI31" s="76">
        <f t="shared" si="69"/>
        <v>2130</v>
      </c>
      <c r="AJ31" s="76">
        <f t="shared" si="69"/>
        <v>2130</v>
      </c>
      <c r="AK31" s="76">
        <f t="shared" si="69"/>
        <v>2130</v>
      </c>
      <c r="AL31" s="76">
        <f t="shared" si="69"/>
        <v>2130</v>
      </c>
      <c r="AP31" s="85">
        <f>SUM(C31:AL31)</f>
        <v>67262</v>
      </c>
    </row>
    <row r="32" spans="1:42" s="18" customFormat="1" x14ac:dyDescent="0.25">
      <c r="A32" s="29" t="s">
        <v>165</v>
      </c>
      <c r="C32" s="76">
        <f t="shared" ref="C32:AL32" si="70">C14</f>
        <v>1100</v>
      </c>
      <c r="D32" s="76">
        <f t="shared" si="70"/>
        <v>1100</v>
      </c>
      <c r="E32" s="76">
        <f t="shared" si="70"/>
        <v>1100</v>
      </c>
      <c r="F32" s="76">
        <f t="shared" si="70"/>
        <v>1100</v>
      </c>
      <c r="G32" s="77">
        <f t="shared" si="70"/>
        <v>1100</v>
      </c>
      <c r="H32" s="76">
        <f t="shared" si="70"/>
        <v>5000</v>
      </c>
      <c r="I32" s="76">
        <f t="shared" si="70"/>
        <v>5000</v>
      </c>
      <c r="J32" s="76">
        <f t="shared" si="70"/>
        <v>5000</v>
      </c>
      <c r="K32" s="76">
        <f t="shared" si="70"/>
        <v>5000</v>
      </c>
      <c r="L32" s="76">
        <f t="shared" si="70"/>
        <v>5000</v>
      </c>
      <c r="M32" s="76">
        <f t="shared" si="70"/>
        <v>5000</v>
      </c>
      <c r="N32" s="76">
        <f t="shared" si="70"/>
        <v>5000</v>
      </c>
      <c r="O32" s="76">
        <f t="shared" si="70"/>
        <v>5000</v>
      </c>
      <c r="P32" s="76">
        <f t="shared" si="70"/>
        <v>5000</v>
      </c>
      <c r="Q32" s="76">
        <f t="shared" si="70"/>
        <v>5000</v>
      </c>
      <c r="R32" s="76">
        <f t="shared" si="70"/>
        <v>5000</v>
      </c>
      <c r="S32" s="77">
        <f t="shared" si="70"/>
        <v>5000</v>
      </c>
      <c r="T32" s="76">
        <f t="shared" si="70"/>
        <v>5500</v>
      </c>
      <c r="U32" s="109">
        <f t="shared" si="70"/>
        <v>5500</v>
      </c>
      <c r="V32" s="76">
        <f t="shared" si="70"/>
        <v>5500</v>
      </c>
      <c r="W32" s="76">
        <f t="shared" si="70"/>
        <v>5500</v>
      </c>
      <c r="X32" s="76">
        <f t="shared" si="70"/>
        <v>5500</v>
      </c>
      <c r="Y32" s="76">
        <f t="shared" si="70"/>
        <v>5500</v>
      </c>
      <c r="Z32" s="76">
        <f t="shared" si="70"/>
        <v>5500</v>
      </c>
      <c r="AA32" s="76">
        <f t="shared" si="70"/>
        <v>5500</v>
      </c>
      <c r="AB32" s="76">
        <f t="shared" si="70"/>
        <v>5500</v>
      </c>
      <c r="AC32" s="76">
        <f t="shared" si="70"/>
        <v>5500</v>
      </c>
      <c r="AD32" s="76">
        <f t="shared" si="70"/>
        <v>5500</v>
      </c>
      <c r="AE32" s="77">
        <f t="shared" si="70"/>
        <v>5500</v>
      </c>
      <c r="AF32" s="76">
        <f t="shared" si="70"/>
        <v>6050</v>
      </c>
      <c r="AG32" s="76">
        <f t="shared" si="70"/>
        <v>6050</v>
      </c>
      <c r="AH32" s="76">
        <f t="shared" si="70"/>
        <v>6050</v>
      </c>
      <c r="AI32" s="76">
        <f t="shared" si="70"/>
        <v>6050</v>
      </c>
      <c r="AJ32" s="76">
        <f t="shared" si="70"/>
        <v>6050</v>
      </c>
      <c r="AK32" s="76">
        <f t="shared" si="70"/>
        <v>6050</v>
      </c>
      <c r="AL32" s="76">
        <f t="shared" si="70"/>
        <v>6050</v>
      </c>
      <c r="AP32" s="85">
        <f>SUM(C32:AL32)</f>
        <v>173850</v>
      </c>
    </row>
    <row r="33" spans="1:43" s="18" customFormat="1" x14ac:dyDescent="0.25">
      <c r="A33" s="29" t="s">
        <v>166</v>
      </c>
      <c r="C33" s="76"/>
      <c r="D33" s="76"/>
      <c r="E33" s="76"/>
      <c r="F33" s="76"/>
      <c r="G33" s="77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7"/>
      <c r="T33" s="76"/>
      <c r="U33" s="109"/>
      <c r="V33" s="76"/>
      <c r="W33" s="76"/>
      <c r="X33" s="76"/>
      <c r="Y33" s="76"/>
      <c r="Z33" s="76"/>
      <c r="AA33" s="76"/>
      <c r="AB33" s="76"/>
      <c r="AC33" s="76"/>
      <c r="AD33" s="76"/>
      <c r="AE33" s="77"/>
      <c r="AF33" s="76"/>
      <c r="AG33" s="76"/>
      <c r="AH33" s="76"/>
      <c r="AI33" s="76"/>
      <c r="AJ33" s="76"/>
      <c r="AK33" s="76"/>
      <c r="AL33" s="76"/>
      <c r="AP33" s="68"/>
    </row>
    <row r="34" spans="1:43" s="30" customFormat="1" x14ac:dyDescent="0.25">
      <c r="A34" s="59" t="s">
        <v>167</v>
      </c>
      <c r="C34" s="77">
        <f>C25*'Assumptions and Drivers'!$H$12</f>
        <v>0</v>
      </c>
      <c r="D34" s="77">
        <f>D25*'Assumptions and Drivers'!$H$12</f>
        <v>58.666666666666664</v>
      </c>
      <c r="E34" s="77">
        <f>E25*'Assumptions and Drivers'!$H$12</f>
        <v>174.16666666666666</v>
      </c>
      <c r="F34" s="77">
        <f>F25*'Assumptions and Drivers'!$H$12</f>
        <v>342.83333333333331</v>
      </c>
      <c r="G34" s="77">
        <f>G25*'Assumptions and Drivers'!$H$12</f>
        <v>564.66666666666663</v>
      </c>
      <c r="H34" s="77">
        <f>H25*'Assumptions and Drivers'!$H$12</f>
        <v>845.16666666666663</v>
      </c>
      <c r="I34" s="77">
        <f>I25*'Assumptions and Drivers'!$H$12</f>
        <v>1182.5</v>
      </c>
      <c r="J34" s="77">
        <f>J25*'Assumptions and Drivers'!$H$12</f>
        <v>1505.1666666666665</v>
      </c>
      <c r="K34" s="77">
        <f>K25*'Assumptions and Drivers'!$H$12</f>
        <v>1877.3333333333333</v>
      </c>
      <c r="L34" s="77">
        <f>L25*'Assumptions and Drivers'!$H$12</f>
        <v>2297.1666666666665</v>
      </c>
      <c r="M34" s="77">
        <f>M25*'Assumptions and Drivers'!$H$12</f>
        <v>2770.1666666666665</v>
      </c>
      <c r="N34" s="77">
        <f>N25*'Assumptions and Drivers'!$H$12</f>
        <v>3296.333333333333</v>
      </c>
      <c r="O34" s="77">
        <f>O25*'Assumptions and Drivers'!$H$12</f>
        <v>3809.6666666666665</v>
      </c>
      <c r="P34" s="77">
        <f>P25*'Assumptions and Drivers'!$H$12</f>
        <v>4240.5</v>
      </c>
      <c r="Q34" s="77">
        <f>Q25*'Assumptions and Drivers'!$H$12</f>
        <v>4717.1666666666661</v>
      </c>
      <c r="R34" s="77">
        <f>R25*'Assumptions and Drivers'!$H$12</f>
        <v>5237.833333333333</v>
      </c>
      <c r="S34" s="77">
        <f>S25*'Assumptions and Drivers'!$H$12</f>
        <v>5802.5</v>
      </c>
      <c r="T34" s="77">
        <f>T25*'Assumptions and Drivers'!$H$12</f>
        <v>6416.6666666666661</v>
      </c>
      <c r="U34" s="109">
        <f>U25*'Assumptions and Drivers'!$H$12</f>
        <v>7087.6666666666661</v>
      </c>
      <c r="V34" s="77">
        <f>V25*'Assumptions and Drivers'!$H$12</f>
        <v>7678</v>
      </c>
      <c r="W34" s="77">
        <f>W25*'Assumptions and Drivers'!$H$12</f>
        <v>8317.8333333333321</v>
      </c>
      <c r="X34" s="77">
        <f>X25*'Assumptions and Drivers'!$H$12</f>
        <v>9007.1666666666661</v>
      </c>
      <c r="Y34" s="77">
        <f>Y25*'Assumptions and Drivers'!$H$12</f>
        <v>9744.1666666666661</v>
      </c>
      <c r="Z34" s="77">
        <f>Z25*'Assumptions and Drivers'!$H$12</f>
        <v>10527</v>
      </c>
      <c r="AA34" s="77">
        <f>AA25*'Assumptions and Drivers'!$H$12</f>
        <v>11227.333333333332</v>
      </c>
      <c r="AB34" s="77">
        <f>AB25*'Assumptions and Drivers'!$H$12</f>
        <v>11716.833333333332</v>
      </c>
      <c r="AC34" s="77">
        <f>AC25*'Assumptions and Drivers'!$H$12</f>
        <v>12259.5</v>
      </c>
      <c r="AD34" s="77">
        <f>AD25*'Assumptions and Drivers'!$H$12</f>
        <v>12851.666666666666</v>
      </c>
      <c r="AE34" s="77">
        <f>AE25*'Assumptions and Drivers'!$H$12</f>
        <v>13493.333333333332</v>
      </c>
      <c r="AF34" s="77">
        <f>AF25*'Assumptions and Drivers'!$H$12</f>
        <v>13999.333333333332</v>
      </c>
      <c r="AG34" s="77">
        <f>AG25*'Assumptions and Drivers'!$H$12</f>
        <v>14565.833333333332</v>
      </c>
      <c r="AH34" s="77">
        <f>AH25*'Assumptions and Drivers'!$H$12</f>
        <v>15189.166666666666</v>
      </c>
      <c r="AI34" s="77">
        <f>AI25*'Assumptions and Drivers'!$H$12</f>
        <v>15867.5</v>
      </c>
      <c r="AJ34" s="77">
        <f>AJ25*'Assumptions and Drivers'!$H$12</f>
        <v>16608.166666666664</v>
      </c>
      <c r="AK34" s="77">
        <f>AK25*'Assumptions and Drivers'!$H$12</f>
        <v>17209.5</v>
      </c>
      <c r="AL34" s="77">
        <f>AL25*'Assumptions and Drivers'!$H$12</f>
        <v>17867.666666666664</v>
      </c>
      <c r="AP34" s="85">
        <f>SUM(C34:AL34)</f>
        <v>270356.16666666669</v>
      </c>
    </row>
    <row r="35" spans="1:43" s="21" customFormat="1" x14ac:dyDescent="0.25">
      <c r="A35" s="28" t="s">
        <v>168</v>
      </c>
      <c r="C35" s="78">
        <f t="shared" ref="C35:AL35" si="71">SUM(C31:C34)</f>
        <v>2700</v>
      </c>
      <c r="D35" s="78">
        <f t="shared" si="71"/>
        <v>2758.6666666666665</v>
      </c>
      <c r="E35" s="78">
        <f t="shared" si="71"/>
        <v>2874.1666666666665</v>
      </c>
      <c r="F35" s="78">
        <f t="shared" si="71"/>
        <v>3042.8333333333335</v>
      </c>
      <c r="G35" s="79">
        <f t="shared" si="71"/>
        <v>3264.6666666666665</v>
      </c>
      <c r="H35" s="78">
        <f t="shared" si="71"/>
        <v>7605.166666666667</v>
      </c>
      <c r="I35" s="78">
        <f t="shared" si="71"/>
        <v>7942.5</v>
      </c>
      <c r="J35" s="78">
        <f t="shared" si="71"/>
        <v>8265.1666666666661</v>
      </c>
      <c r="K35" s="78">
        <f t="shared" si="71"/>
        <v>8637.3333333333339</v>
      </c>
      <c r="L35" s="78">
        <f t="shared" si="71"/>
        <v>9057.1666666666661</v>
      </c>
      <c r="M35" s="78">
        <f t="shared" si="71"/>
        <v>9530.1666666666661</v>
      </c>
      <c r="N35" s="78">
        <f t="shared" si="71"/>
        <v>10056.333333333332</v>
      </c>
      <c r="O35" s="78">
        <f t="shared" si="71"/>
        <v>10569.666666666666</v>
      </c>
      <c r="P35" s="78">
        <f t="shared" si="71"/>
        <v>11000.5</v>
      </c>
      <c r="Q35" s="78">
        <f t="shared" si="71"/>
        <v>11477.166666666666</v>
      </c>
      <c r="R35" s="78">
        <f t="shared" si="71"/>
        <v>11997.833333333332</v>
      </c>
      <c r="S35" s="79">
        <f t="shared" si="71"/>
        <v>12562.5</v>
      </c>
      <c r="T35" s="78">
        <f t="shared" si="71"/>
        <v>13852.666666666666</v>
      </c>
      <c r="U35" s="110">
        <f t="shared" si="71"/>
        <v>14523.666666666666</v>
      </c>
      <c r="V35" s="78">
        <f t="shared" si="71"/>
        <v>15114</v>
      </c>
      <c r="W35" s="78">
        <f t="shared" si="71"/>
        <v>15753.833333333332</v>
      </c>
      <c r="X35" s="78">
        <f t="shared" si="71"/>
        <v>16443.166666666664</v>
      </c>
      <c r="Y35" s="78">
        <f t="shared" si="71"/>
        <v>17180.166666666664</v>
      </c>
      <c r="Z35" s="78">
        <f t="shared" si="71"/>
        <v>17963</v>
      </c>
      <c r="AA35" s="78">
        <f t="shared" si="71"/>
        <v>18663.333333333332</v>
      </c>
      <c r="AB35" s="78">
        <f t="shared" si="71"/>
        <v>19152.833333333332</v>
      </c>
      <c r="AC35" s="78">
        <f t="shared" si="71"/>
        <v>19695.5</v>
      </c>
      <c r="AD35" s="78">
        <f t="shared" si="71"/>
        <v>20287.666666666664</v>
      </c>
      <c r="AE35" s="79">
        <f t="shared" si="71"/>
        <v>20929.333333333332</v>
      </c>
      <c r="AF35" s="78">
        <f t="shared" si="71"/>
        <v>22179.333333333332</v>
      </c>
      <c r="AG35" s="78">
        <f t="shared" si="71"/>
        <v>22745.833333333332</v>
      </c>
      <c r="AH35" s="78">
        <f t="shared" si="71"/>
        <v>23369.166666666664</v>
      </c>
      <c r="AI35" s="78">
        <f t="shared" si="71"/>
        <v>24047.5</v>
      </c>
      <c r="AJ35" s="78">
        <f t="shared" si="71"/>
        <v>24788.166666666664</v>
      </c>
      <c r="AK35" s="78">
        <f t="shared" si="71"/>
        <v>25389.5</v>
      </c>
      <c r="AL35" s="78">
        <f t="shared" si="71"/>
        <v>26047.666666666664</v>
      </c>
      <c r="AP35" s="85">
        <f>SUM(C35:AL35)</f>
        <v>511468.16666666663</v>
      </c>
    </row>
    <row r="36" spans="1:43" s="18" customFormat="1" x14ac:dyDescent="0.25">
      <c r="A36" s="31" t="s">
        <v>169</v>
      </c>
      <c r="C36" s="76">
        <f t="shared" ref="C36:AL36" si="72">IFERROR((C31+C33)/C9,0)</f>
        <v>0</v>
      </c>
      <c r="D36" s="76">
        <f t="shared" si="72"/>
        <v>200</v>
      </c>
      <c r="E36" s="76">
        <f t="shared" si="72"/>
        <v>200</v>
      </c>
      <c r="F36" s="76">
        <f t="shared" si="72"/>
        <v>200</v>
      </c>
      <c r="G36" s="76">
        <f t="shared" si="72"/>
        <v>200</v>
      </c>
      <c r="H36" s="76">
        <f t="shared" si="72"/>
        <v>195.55555555555554</v>
      </c>
      <c r="I36" s="76">
        <f t="shared" si="72"/>
        <v>195.55555555555554</v>
      </c>
      <c r="J36" s="76">
        <f t="shared" si="72"/>
        <v>195.55555555555554</v>
      </c>
      <c r="K36" s="76">
        <f t="shared" si="72"/>
        <v>195.55555555555554</v>
      </c>
      <c r="L36" s="76">
        <f t="shared" si="72"/>
        <v>195.55555555555554</v>
      </c>
      <c r="M36" s="76">
        <f t="shared" si="72"/>
        <v>176</v>
      </c>
      <c r="N36" s="76">
        <f t="shared" si="72"/>
        <v>176</v>
      </c>
      <c r="O36" s="76">
        <f t="shared" si="72"/>
        <v>176</v>
      </c>
      <c r="P36" s="76">
        <f t="shared" si="72"/>
        <v>176</v>
      </c>
      <c r="Q36" s="76">
        <f t="shared" si="72"/>
        <v>176</v>
      </c>
      <c r="R36" s="76">
        <f t="shared" si="72"/>
        <v>176</v>
      </c>
      <c r="S36" s="76">
        <f t="shared" si="72"/>
        <v>176</v>
      </c>
      <c r="T36" s="76">
        <f t="shared" si="72"/>
        <v>176</v>
      </c>
      <c r="U36" s="109">
        <f t="shared" si="72"/>
        <v>161.33333333333334</v>
      </c>
      <c r="V36" s="76">
        <f t="shared" si="72"/>
        <v>161.33333333333334</v>
      </c>
      <c r="W36" s="76">
        <f t="shared" si="72"/>
        <v>161.33333333333334</v>
      </c>
      <c r="X36" s="76">
        <f t="shared" si="72"/>
        <v>161.33333333333334</v>
      </c>
      <c r="Y36" s="76">
        <f t="shared" si="72"/>
        <v>161.33333333333334</v>
      </c>
      <c r="Z36" s="76">
        <f t="shared" si="72"/>
        <v>161.33333333333334</v>
      </c>
      <c r="AA36" s="76">
        <f t="shared" si="72"/>
        <v>148.92307692307693</v>
      </c>
      <c r="AB36" s="76">
        <f t="shared" si="72"/>
        <v>148.92307692307693</v>
      </c>
      <c r="AC36" s="76">
        <f t="shared" si="72"/>
        <v>148.92307692307693</v>
      </c>
      <c r="AD36" s="76">
        <f t="shared" si="72"/>
        <v>148.92307692307693</v>
      </c>
      <c r="AE36" s="76">
        <f t="shared" si="72"/>
        <v>148.92307692307693</v>
      </c>
      <c r="AF36" s="76">
        <f t="shared" si="72"/>
        <v>142</v>
      </c>
      <c r="AG36" s="76">
        <f t="shared" si="72"/>
        <v>142</v>
      </c>
      <c r="AH36" s="76">
        <f t="shared" si="72"/>
        <v>142</v>
      </c>
      <c r="AI36" s="76">
        <f t="shared" si="72"/>
        <v>142</v>
      </c>
      <c r="AJ36" s="76">
        <f t="shared" si="72"/>
        <v>133.125</v>
      </c>
      <c r="AK36" s="76">
        <f t="shared" si="72"/>
        <v>133.125</v>
      </c>
      <c r="AL36" s="76">
        <f t="shared" si="72"/>
        <v>133.125</v>
      </c>
      <c r="AP36" s="68"/>
    </row>
    <row r="37" spans="1:43" s="18" customFormat="1" x14ac:dyDescent="0.25">
      <c r="A37" s="31" t="s">
        <v>170</v>
      </c>
      <c r="C37" s="76">
        <f>(C32)/C18</f>
        <v>28.205128205128204</v>
      </c>
      <c r="D37" s="76">
        <f t="shared" ref="D37:AL37" si="73">(D32)/D18</f>
        <v>28.205128205128204</v>
      </c>
      <c r="E37" s="76">
        <f t="shared" si="73"/>
        <v>28.205128205128204</v>
      </c>
      <c r="F37" s="76">
        <f t="shared" si="73"/>
        <v>28.205128205128204</v>
      </c>
      <c r="G37" s="76">
        <f t="shared" si="73"/>
        <v>28.205128205128204</v>
      </c>
      <c r="H37" s="76">
        <f t="shared" si="73"/>
        <v>28.571428571428573</v>
      </c>
      <c r="I37" s="76">
        <f t="shared" si="73"/>
        <v>28.248587570621471</v>
      </c>
      <c r="J37" s="76">
        <f t="shared" si="73"/>
        <v>28.089887640449437</v>
      </c>
      <c r="K37" s="76">
        <f t="shared" si="73"/>
        <v>27.932960893854748</v>
      </c>
      <c r="L37" s="76">
        <f t="shared" si="73"/>
        <v>27.624309392265193</v>
      </c>
      <c r="M37" s="76">
        <f t="shared" si="73"/>
        <v>27.472527472527471</v>
      </c>
      <c r="N37" s="76">
        <f t="shared" si="73"/>
        <v>27.173913043478262</v>
      </c>
      <c r="O37" s="76">
        <f t="shared" si="73"/>
        <v>27.027027027027028</v>
      </c>
      <c r="P37" s="76">
        <f t="shared" si="73"/>
        <v>26.737967914438503</v>
      </c>
      <c r="Q37" s="76">
        <f t="shared" si="73"/>
        <v>26.595744680851062</v>
      </c>
      <c r="R37" s="76">
        <f t="shared" si="73"/>
        <v>26.315789473684209</v>
      </c>
      <c r="S37" s="76">
        <f t="shared" si="73"/>
        <v>26.178010471204189</v>
      </c>
      <c r="T37" s="76">
        <f t="shared" si="73"/>
        <v>25.943396226415093</v>
      </c>
      <c r="U37" s="109">
        <f t="shared" si="73"/>
        <v>25.700934579439252</v>
      </c>
      <c r="V37" s="76">
        <f t="shared" si="73"/>
        <v>25.462962962962962</v>
      </c>
      <c r="W37" s="76">
        <f t="shared" si="73"/>
        <v>25.345622119815669</v>
      </c>
      <c r="X37" s="76">
        <f t="shared" si="73"/>
        <v>25.114155251141554</v>
      </c>
      <c r="Y37" s="76">
        <f t="shared" si="73"/>
        <v>24.886877828054299</v>
      </c>
      <c r="Z37" s="76">
        <f t="shared" si="73"/>
        <v>24.663677130044842</v>
      </c>
      <c r="AA37" s="76">
        <f t="shared" si="73"/>
        <v>24.553571428571427</v>
      </c>
      <c r="AB37" s="76">
        <f t="shared" si="73"/>
        <v>24.336283185840706</v>
      </c>
      <c r="AC37" s="76">
        <f t="shared" si="73"/>
        <v>24.12280701754386</v>
      </c>
      <c r="AD37" s="76">
        <f t="shared" si="73"/>
        <v>23.913043478260871</v>
      </c>
      <c r="AE37" s="76">
        <f t="shared" si="73"/>
        <v>23.706896551724139</v>
      </c>
      <c r="AF37" s="76">
        <f t="shared" si="73"/>
        <v>23.540856031128406</v>
      </c>
      <c r="AG37" s="76">
        <f t="shared" si="73"/>
        <v>23.35907335907336</v>
      </c>
      <c r="AH37" s="76">
        <f t="shared" si="73"/>
        <v>23.180076628352491</v>
      </c>
      <c r="AI37" s="76">
        <f t="shared" si="73"/>
        <v>23.00380228136882</v>
      </c>
      <c r="AJ37" s="76">
        <f t="shared" si="73"/>
        <v>22.830188679245282</v>
      </c>
      <c r="AK37" s="76">
        <f t="shared" si="73"/>
        <v>22.659176029962548</v>
      </c>
      <c r="AL37" s="76">
        <f t="shared" si="73"/>
        <v>22.407407407407408</v>
      </c>
      <c r="AP37" s="68" t="s">
        <v>171</v>
      </c>
    </row>
    <row r="38" spans="1:43" s="10" customFormat="1" x14ac:dyDescent="0.25">
      <c r="A38" s="126" t="s">
        <v>172</v>
      </c>
      <c r="C38" s="127">
        <f t="shared" ref="C38:AL38" si="74">C35/(C18+C22)</f>
        <v>69.230769230769226</v>
      </c>
      <c r="D38" s="127">
        <f t="shared" si="74"/>
        <v>38.854460093896712</v>
      </c>
      <c r="E38" s="127">
        <f t="shared" si="74"/>
        <v>28.178104575163399</v>
      </c>
      <c r="F38" s="127">
        <f t="shared" si="74"/>
        <v>22.87844611528822</v>
      </c>
      <c r="G38" s="127">
        <f t="shared" si="74"/>
        <v>19.90650406504065</v>
      </c>
      <c r="H38" s="127">
        <f t="shared" si="74"/>
        <v>22.701990049751245</v>
      </c>
      <c r="I38" s="127">
        <f t="shared" si="74"/>
        <v>21.350806451612904</v>
      </c>
      <c r="J38" s="127">
        <f t="shared" si="74"/>
        <v>20.407818930041152</v>
      </c>
      <c r="K38" s="127">
        <f t="shared" si="74"/>
        <v>19.765064836003052</v>
      </c>
      <c r="L38" s="127">
        <f t="shared" si="74"/>
        <v>19.270567375886525</v>
      </c>
      <c r="M38" s="127">
        <f t="shared" si="74"/>
        <v>18.834321475625821</v>
      </c>
      <c r="N38" s="127">
        <f t="shared" si="74"/>
        <v>18.519950890116633</v>
      </c>
      <c r="O38" s="127">
        <f t="shared" si="74"/>
        <v>18.25503742084053</v>
      </c>
      <c r="P38" s="127">
        <f t="shared" si="74"/>
        <v>17.945350734094617</v>
      </c>
      <c r="Q38" s="127">
        <f t="shared" si="74"/>
        <v>17.794056847545217</v>
      </c>
      <c r="R38" s="127">
        <f t="shared" si="74"/>
        <v>17.695919370698132</v>
      </c>
      <c r="S38" s="127">
        <f t="shared" si="74"/>
        <v>17.693661971830984</v>
      </c>
      <c r="T38" s="127">
        <f t="shared" si="74"/>
        <v>18.084421235857267</v>
      </c>
      <c r="U38" s="128">
        <f t="shared" si="74"/>
        <v>17.997108632796365</v>
      </c>
      <c r="V38" s="127">
        <f t="shared" si="74"/>
        <v>17.907582938388625</v>
      </c>
      <c r="W38" s="127">
        <f t="shared" si="74"/>
        <v>17.902083333333334</v>
      </c>
      <c r="X38" s="127">
        <f t="shared" si="74"/>
        <v>17.911946259985474</v>
      </c>
      <c r="Y38" s="127">
        <f t="shared" si="74"/>
        <v>17.989703315881325</v>
      </c>
      <c r="Z38" s="127">
        <f t="shared" si="74"/>
        <v>18.107862903225808</v>
      </c>
      <c r="AA38" s="127">
        <f t="shared" si="74"/>
        <v>18.154993514915692</v>
      </c>
      <c r="AB38" s="127">
        <f t="shared" si="74"/>
        <v>17.983881064162752</v>
      </c>
      <c r="AC38" s="127">
        <f t="shared" si="74"/>
        <v>17.872504537205081</v>
      </c>
      <c r="AD38" s="127">
        <f t="shared" si="74"/>
        <v>17.811823236757387</v>
      </c>
      <c r="AE38" s="127">
        <f t="shared" si="74"/>
        <v>17.797052154195011</v>
      </c>
      <c r="AF38" s="127">
        <f t="shared" si="74"/>
        <v>17.886559139784946</v>
      </c>
      <c r="AG38" s="127">
        <f t="shared" si="74"/>
        <v>17.756310174342961</v>
      </c>
      <c r="AH38" s="127">
        <f t="shared" si="74"/>
        <v>17.677130610186584</v>
      </c>
      <c r="AI38" s="127">
        <f t="shared" si="74"/>
        <v>17.643066764490097</v>
      </c>
      <c r="AJ38" s="127">
        <f t="shared" si="74"/>
        <v>17.605232007575754</v>
      </c>
      <c r="AK38" s="127">
        <f t="shared" si="74"/>
        <v>17.522084195997241</v>
      </c>
      <c r="AL38" s="127">
        <f t="shared" si="74"/>
        <v>17.469930695282805</v>
      </c>
      <c r="AP38" s="129">
        <f>AVERAGE(C38:AL38)</f>
        <v>20.787891865238038</v>
      </c>
      <c r="AQ38" s="13"/>
    </row>
    <row r="39" spans="1:43" x14ac:dyDescent="0.25">
      <c r="A39" s="26" t="s">
        <v>173</v>
      </c>
      <c r="C39" s="76">
        <v>300</v>
      </c>
      <c r="D39" s="76">
        <v>300</v>
      </c>
      <c r="E39" s="76">
        <v>300</v>
      </c>
      <c r="F39" s="76">
        <v>300</v>
      </c>
      <c r="G39" s="76">
        <v>300</v>
      </c>
      <c r="H39" s="76">
        <v>300</v>
      </c>
      <c r="I39" s="76">
        <v>300</v>
      </c>
      <c r="J39" s="76">
        <v>300</v>
      </c>
      <c r="K39" s="76">
        <v>300</v>
      </c>
      <c r="L39" s="76">
        <v>300</v>
      </c>
      <c r="M39" s="76">
        <v>300</v>
      </c>
      <c r="N39" s="76">
        <v>300</v>
      </c>
      <c r="O39" s="76">
        <v>300</v>
      </c>
      <c r="P39" s="76">
        <v>300</v>
      </c>
      <c r="Q39" s="76">
        <v>300</v>
      </c>
      <c r="R39" s="76">
        <v>300</v>
      </c>
      <c r="S39" s="76">
        <v>300</v>
      </c>
      <c r="T39" s="76">
        <v>300</v>
      </c>
      <c r="U39" s="109">
        <v>300</v>
      </c>
      <c r="V39" s="76">
        <v>300</v>
      </c>
      <c r="W39" s="76">
        <v>300</v>
      </c>
      <c r="X39" s="76">
        <v>300</v>
      </c>
      <c r="Y39" s="76">
        <v>300</v>
      </c>
      <c r="Z39" s="76">
        <v>300</v>
      </c>
      <c r="AA39" s="76">
        <v>300</v>
      </c>
      <c r="AB39" s="76">
        <v>300</v>
      </c>
      <c r="AC39" s="76">
        <v>300</v>
      </c>
      <c r="AD39" s="76">
        <v>300</v>
      </c>
      <c r="AE39" s="76">
        <v>300</v>
      </c>
      <c r="AF39" s="76">
        <v>300</v>
      </c>
      <c r="AG39" s="76">
        <v>300</v>
      </c>
      <c r="AH39" s="76">
        <v>300</v>
      </c>
      <c r="AI39" s="76">
        <v>300</v>
      </c>
      <c r="AJ39" s="76">
        <v>300</v>
      </c>
      <c r="AK39" s="76">
        <v>300</v>
      </c>
      <c r="AL39" s="76">
        <v>300</v>
      </c>
      <c r="AP39" s="75"/>
      <c r="AQ39" s="12"/>
    </row>
    <row r="40" spans="1:43" x14ac:dyDescent="0.25">
      <c r="A40" s="83" t="s">
        <v>174</v>
      </c>
      <c r="C40" s="82">
        <f>C39/C38</f>
        <v>4.3333333333333339</v>
      </c>
      <c r="D40" s="82">
        <f t="shared" ref="D40:AL40" si="75">D39/D38</f>
        <v>7.7211213146447566</v>
      </c>
      <c r="E40" s="82">
        <f t="shared" si="75"/>
        <v>10.646564221513483</v>
      </c>
      <c r="F40" s="82">
        <f t="shared" si="75"/>
        <v>13.112778660239908</v>
      </c>
      <c r="G40" s="82">
        <f t="shared" si="75"/>
        <v>15.070451296712273</v>
      </c>
      <c r="H40" s="82">
        <f t="shared" si="75"/>
        <v>13.214700532532706</v>
      </c>
      <c r="I40" s="82">
        <f t="shared" si="75"/>
        <v>14.05099150141643</v>
      </c>
      <c r="J40" s="82">
        <f t="shared" si="75"/>
        <v>14.700248028876207</v>
      </c>
      <c r="K40" s="82">
        <f t="shared" si="75"/>
        <v>15.178295770299474</v>
      </c>
      <c r="L40" s="82">
        <f t="shared" si="75"/>
        <v>15.567782419078814</v>
      </c>
      <c r="M40" s="82">
        <f t="shared" si="75"/>
        <v>15.928367814483835</v>
      </c>
      <c r="N40" s="82">
        <f t="shared" si="75"/>
        <v>16.198747058238592</v>
      </c>
      <c r="O40" s="82">
        <f t="shared" si="75"/>
        <v>16.433820051089597</v>
      </c>
      <c r="P40" s="82">
        <f t="shared" si="75"/>
        <v>16.717421935366573</v>
      </c>
      <c r="Q40" s="82">
        <f t="shared" si="75"/>
        <v>16.85956173852432</v>
      </c>
      <c r="R40" s="82">
        <f t="shared" si="75"/>
        <v>16.953060969341688</v>
      </c>
      <c r="S40" s="82">
        <f t="shared" si="75"/>
        <v>16.955223880597018</v>
      </c>
      <c r="T40" s="82">
        <f t="shared" si="75"/>
        <v>16.588863756677416</v>
      </c>
      <c r="U40" s="111">
        <f t="shared" si="75"/>
        <v>16.669344288632345</v>
      </c>
      <c r="V40" s="82">
        <f t="shared" si="75"/>
        <v>16.752679634775706</v>
      </c>
      <c r="W40" s="82">
        <f t="shared" si="75"/>
        <v>16.757826137553824</v>
      </c>
      <c r="X40" s="82">
        <f t="shared" si="75"/>
        <v>16.748598708683446</v>
      </c>
      <c r="Y40" s="82">
        <f t="shared" si="75"/>
        <v>16.676206090356128</v>
      </c>
      <c r="Z40" s="82">
        <f t="shared" si="75"/>
        <v>16.567388520848411</v>
      </c>
      <c r="AA40" s="82">
        <f t="shared" si="75"/>
        <v>16.524379353455977</v>
      </c>
      <c r="AB40" s="82">
        <f t="shared" si="75"/>
        <v>16.681604984467054</v>
      </c>
      <c r="AC40" s="82">
        <f t="shared" si="75"/>
        <v>16.785560153334519</v>
      </c>
      <c r="AD40" s="82">
        <f t="shared" si="75"/>
        <v>16.842745181801753</v>
      </c>
      <c r="AE40" s="82">
        <f t="shared" si="75"/>
        <v>16.856724214818119</v>
      </c>
      <c r="AF40" s="82">
        <f t="shared" si="75"/>
        <v>16.772370675403529</v>
      </c>
      <c r="AG40" s="82">
        <f t="shared" si="75"/>
        <v>16.89540208829456</v>
      </c>
      <c r="AH40" s="82">
        <f t="shared" si="75"/>
        <v>16.971080126947903</v>
      </c>
      <c r="AI40" s="82">
        <f t="shared" si="75"/>
        <v>17.003846553695809</v>
      </c>
      <c r="AJ40" s="82">
        <f t="shared" si="75"/>
        <v>17.040388895238994</v>
      </c>
      <c r="AK40" s="82">
        <f t="shared" si="75"/>
        <v>17.121250910809586</v>
      </c>
      <c r="AL40" s="82">
        <f t="shared" si="75"/>
        <v>17.172363487452493</v>
      </c>
      <c r="AP40" s="75"/>
      <c r="AQ40" s="12"/>
    </row>
    <row r="41" spans="1:43" x14ac:dyDescent="0.25">
      <c r="C41" s="8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112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P41" s="64"/>
    </row>
    <row r="42" spans="1:43" x14ac:dyDescent="0.25">
      <c r="A42" s="27" t="s">
        <v>175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112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P42" s="64"/>
    </row>
    <row r="43" spans="1:43" s="18" customFormat="1" x14ac:dyDescent="0.25">
      <c r="A43" s="29" t="s">
        <v>176</v>
      </c>
      <c r="C43" s="76">
        <f>C11*'Assumptions and Drivers'!$H$10</f>
        <v>0</v>
      </c>
      <c r="D43" s="76">
        <f>D11*'Assumptions and Drivers'!$H$10</f>
        <v>280</v>
      </c>
      <c r="E43" s="76">
        <f>E11*'Assumptions and Drivers'!$H$10</f>
        <v>560</v>
      </c>
      <c r="F43" s="76">
        <f>F11*'Assumptions and Drivers'!$H$10</f>
        <v>840</v>
      </c>
      <c r="G43" s="76">
        <f>G11*'Assumptions and Drivers'!$H$10</f>
        <v>1120</v>
      </c>
      <c r="H43" s="76">
        <f>H11*'Assumptions and Drivers'!$H$10</f>
        <v>1435</v>
      </c>
      <c r="I43" s="76">
        <f>I11*'Assumptions and Drivers'!$H$10</f>
        <v>1750</v>
      </c>
      <c r="J43" s="76">
        <f>J11*'Assumptions and Drivers'!$H$10</f>
        <v>2030</v>
      </c>
      <c r="K43" s="76">
        <f>K11*'Assumptions and Drivers'!$H$10</f>
        <v>2310</v>
      </c>
      <c r="L43" s="76">
        <f>L11*'Assumptions and Drivers'!$H$10</f>
        <v>2590</v>
      </c>
      <c r="M43" s="76">
        <f>M11*'Assumptions and Drivers'!$H$10</f>
        <v>2905</v>
      </c>
      <c r="N43" s="76">
        <f>N11*'Assumptions and Drivers'!$H$10</f>
        <v>3220</v>
      </c>
      <c r="O43" s="76">
        <f>O11*'Assumptions and Drivers'!$H$10</f>
        <v>3535</v>
      </c>
      <c r="P43" s="76">
        <f>P11*'Assumptions and Drivers'!$H$10</f>
        <v>3815</v>
      </c>
      <c r="Q43" s="76">
        <f>Q11*'Assumptions and Drivers'!$H$10</f>
        <v>4095</v>
      </c>
      <c r="R43" s="76">
        <f>R11*'Assumptions and Drivers'!$H$10</f>
        <v>4375</v>
      </c>
      <c r="S43" s="76">
        <f>S11*'Assumptions and Drivers'!$H$10</f>
        <v>4655</v>
      </c>
      <c r="T43" s="76">
        <f>T11*'Assumptions and Drivers'!$H$10</f>
        <v>4970</v>
      </c>
      <c r="U43" s="109">
        <f>U11*'Assumptions and Drivers'!$H$10</f>
        <v>5320</v>
      </c>
      <c r="V43" s="76">
        <f>V11*'Assumptions and Drivers'!$H$10</f>
        <v>5635</v>
      </c>
      <c r="W43" s="76">
        <f>W11*'Assumptions and Drivers'!$H$10</f>
        <v>5950</v>
      </c>
      <c r="X43" s="76">
        <f>X11*'Assumptions and Drivers'!$H$10</f>
        <v>6265</v>
      </c>
      <c r="Y43" s="76">
        <f>Y11*'Assumptions and Drivers'!$H$10</f>
        <v>6580</v>
      </c>
      <c r="Z43" s="76">
        <f>Z11*'Assumptions and Drivers'!$H$10</f>
        <v>6895</v>
      </c>
      <c r="AA43" s="76">
        <f>AA11*'Assumptions and Drivers'!$H$10</f>
        <v>7210</v>
      </c>
      <c r="AB43" s="76">
        <f>AB11*'Assumptions and Drivers'!$H$10</f>
        <v>7525</v>
      </c>
      <c r="AC43" s="76">
        <f>AC11*'Assumptions and Drivers'!$H$10</f>
        <v>7840</v>
      </c>
      <c r="AD43" s="76">
        <f>AD11*'Assumptions and Drivers'!$H$10</f>
        <v>8155</v>
      </c>
      <c r="AE43" s="76">
        <f>AE11*'Assumptions and Drivers'!$H$10</f>
        <v>8470</v>
      </c>
      <c r="AF43" s="76">
        <f>AF11*'Assumptions and Drivers'!$H$10</f>
        <v>8820</v>
      </c>
      <c r="AG43" s="76">
        <f>AG11*'Assumptions and Drivers'!$H$10</f>
        <v>9170</v>
      </c>
      <c r="AH43" s="76">
        <f>AH11*'Assumptions and Drivers'!$H$10</f>
        <v>9520</v>
      </c>
      <c r="AI43" s="76">
        <f>AI11*'Assumptions and Drivers'!$H$10</f>
        <v>9870</v>
      </c>
      <c r="AJ43" s="76">
        <f>AJ11*'Assumptions and Drivers'!$H$10</f>
        <v>10255</v>
      </c>
      <c r="AK43" s="76">
        <f>AK11*'Assumptions and Drivers'!$H$10</f>
        <v>10605</v>
      </c>
      <c r="AL43" s="76">
        <f>AL11*'Assumptions and Drivers'!$H$10</f>
        <v>10955</v>
      </c>
      <c r="AM43" s="65"/>
      <c r="AN43" s="65"/>
      <c r="AO43" s="65"/>
      <c r="AP43" s="85">
        <f>SUM(C43:AL43)</f>
        <v>189525</v>
      </c>
    </row>
    <row r="44" spans="1:43" s="18" customFormat="1" x14ac:dyDescent="0.25">
      <c r="A44" s="29" t="s">
        <v>177</v>
      </c>
      <c r="C44" s="76">
        <v>0</v>
      </c>
      <c r="D44" s="76">
        <f>(D26)*'Assumptions and Drivers'!$H$5</f>
        <v>1686.6666666666665</v>
      </c>
      <c r="E44" s="76">
        <f>(E26)*'Assumptions and Drivers'!$H$5</f>
        <v>2575.833333333333</v>
      </c>
      <c r="F44" s="76">
        <f>(F26)*'Assumptions and Drivers'!$H$5</f>
        <v>3721.6666666666665</v>
      </c>
      <c r="G44" s="76">
        <f>(G26)*'Assumptions and Drivers'!$H$5</f>
        <v>5124.1666666666661</v>
      </c>
      <c r="H44" s="76">
        <f>(H26)*'Assumptions and Drivers'!$H$5</f>
        <v>8057.4999999999991</v>
      </c>
      <c r="I44" s="76">
        <f>(I26)*'Assumptions and Drivers'!$H$5</f>
        <v>11247.5</v>
      </c>
      <c r="J44" s="76">
        <f>(J26)*'Assumptions and Drivers'!$H$5</f>
        <v>14318.333333333332</v>
      </c>
      <c r="K44" s="76">
        <f>(K26)*'Assumptions and Drivers'!$H$5</f>
        <v>17600</v>
      </c>
      <c r="L44" s="76">
        <f>(L26)*'Assumptions and Drivers'!$H$5</f>
        <v>21092.5</v>
      </c>
      <c r="M44" s="76">
        <f>(M26)*'Assumptions and Drivers'!$H$5</f>
        <v>24814.166666666664</v>
      </c>
      <c r="N44" s="76">
        <f>(N26)*'Assumptions and Drivers'!$H$5</f>
        <v>28774.166666666664</v>
      </c>
      <c r="O44" s="76">
        <f>(O26)*'Assumptions and Drivers'!$H$5</f>
        <v>32633.333333333332</v>
      </c>
      <c r="P44" s="76">
        <f>(P26)*'Assumptions and Drivers'!$H$5</f>
        <v>36052.5</v>
      </c>
      <c r="Q44" s="76">
        <f>(Q26)*'Assumptions and Drivers'!$H$5</f>
        <v>39664.166666666664</v>
      </c>
      <c r="R44" s="76">
        <f>(R26)*'Assumptions and Drivers'!$H$5</f>
        <v>43477.5</v>
      </c>
      <c r="S44" s="76">
        <f>(S26)*'Assumptions and Drivers'!$H$5</f>
        <v>47483.333333333328</v>
      </c>
      <c r="T44" s="76">
        <f>(T26)*'Assumptions and Drivers'!$H$5</f>
        <v>51883.333333333328</v>
      </c>
      <c r="U44" s="109">
        <f>(U26)*'Assumptions and Drivers'!$H$5</f>
        <v>56539.999999999993</v>
      </c>
      <c r="V44" s="76">
        <f>(V26)*'Assumptions and Drivers'!$H$5</f>
        <v>60774.999999999993</v>
      </c>
      <c r="W44" s="76">
        <f>(W26)*'Assumptions and Drivers'!$H$5</f>
        <v>65220.833333333328</v>
      </c>
      <c r="X44" s="76">
        <f>(X26)*'Assumptions and Drivers'!$H$5</f>
        <v>69895.833333333328</v>
      </c>
      <c r="Y44" s="76">
        <f>(Y26)*'Assumptions and Drivers'!$H$5</f>
        <v>74781.666666666657</v>
      </c>
      <c r="Z44" s="76">
        <f>(Z26)*'Assumptions and Drivers'!$H$5</f>
        <v>79878.333333333328</v>
      </c>
      <c r="AA44" s="76">
        <f>(AA26)*'Assumptions and Drivers'!$H$5</f>
        <v>84525.833333333328</v>
      </c>
      <c r="AB44" s="76">
        <f>(AB26)*'Assumptions and Drivers'!$H$5</f>
        <v>88100.833333333328</v>
      </c>
      <c r="AC44" s="76">
        <f>(AC26)*'Assumptions and Drivers'!$H$5</f>
        <v>91923.333333333328</v>
      </c>
      <c r="AD44" s="76">
        <f>(AD26)*'Assumptions and Drivers'!$H$5</f>
        <v>95975</v>
      </c>
      <c r="AE44" s="76">
        <f>(AE26)*'Assumptions and Drivers'!$H$5</f>
        <v>100255.83333333333</v>
      </c>
      <c r="AF44" s="76">
        <f>(AF26)*'Assumptions and Drivers'!$H$5</f>
        <v>104050.83333333333</v>
      </c>
      <c r="AG44" s="76">
        <f>(AG26)*'Assumptions and Drivers'!$H$5</f>
        <v>108130</v>
      </c>
      <c r="AH44" s="76">
        <f>(AH26)*'Assumptions and Drivers'!$H$5</f>
        <v>112465.83333333333</v>
      </c>
      <c r="AI44" s="76">
        <f>(AI26)*'Assumptions and Drivers'!$H$5</f>
        <v>117058.33333333333</v>
      </c>
      <c r="AJ44" s="76">
        <f>(AJ26)*'Assumptions and Drivers'!$H$5</f>
        <v>121934.99999999999</v>
      </c>
      <c r="AK44" s="76">
        <f>(AK26)*'Assumptions and Drivers'!$H$5</f>
        <v>126096.66666666666</v>
      </c>
      <c r="AL44" s="76">
        <f>(AL26)*'Assumptions and Drivers'!$H$5</f>
        <v>130533.33333333333</v>
      </c>
      <c r="AM44" s="65"/>
      <c r="AN44" s="65"/>
      <c r="AO44" s="65"/>
      <c r="AP44" s="85">
        <f>SUM(C44:AL44)</f>
        <v>2078349.1666666665</v>
      </c>
    </row>
    <row r="45" spans="1:43" s="21" customFormat="1" x14ac:dyDescent="0.25">
      <c r="A45" s="28" t="s">
        <v>178</v>
      </c>
      <c r="C45" s="78">
        <f>C43+C44</f>
        <v>0</v>
      </c>
      <c r="D45" s="78">
        <f t="shared" ref="D45" si="76">D43+D44</f>
        <v>1966.6666666666665</v>
      </c>
      <c r="E45" s="78">
        <f t="shared" ref="E45" si="77">E43+E44</f>
        <v>3135.833333333333</v>
      </c>
      <c r="F45" s="78">
        <f t="shared" ref="F45" si="78">F43+F44</f>
        <v>4561.6666666666661</v>
      </c>
      <c r="G45" s="78">
        <f t="shared" ref="G45" si="79">G43+G44</f>
        <v>6244.1666666666661</v>
      </c>
      <c r="H45" s="78">
        <f t="shared" ref="H45" si="80">H43+H44</f>
        <v>9492.5</v>
      </c>
      <c r="I45" s="78">
        <f t="shared" ref="I45" si="81">I43+I44</f>
        <v>12997.5</v>
      </c>
      <c r="J45" s="78">
        <f t="shared" ref="J45" si="82">J43+J44</f>
        <v>16348.333333333332</v>
      </c>
      <c r="K45" s="78">
        <f t="shared" ref="K45" si="83">K43+K44</f>
        <v>19910</v>
      </c>
      <c r="L45" s="78">
        <f t="shared" ref="L45" si="84">L43+L44</f>
        <v>23682.5</v>
      </c>
      <c r="M45" s="78">
        <f t="shared" ref="M45" si="85">M43+M44</f>
        <v>27719.166666666664</v>
      </c>
      <c r="N45" s="78">
        <f t="shared" ref="N45" si="86">N43+N44</f>
        <v>31994.166666666664</v>
      </c>
      <c r="O45" s="78">
        <f t="shared" ref="O45" si="87">O43+O44</f>
        <v>36168.333333333328</v>
      </c>
      <c r="P45" s="78">
        <f t="shared" ref="P45" si="88">P43+P44</f>
        <v>39867.5</v>
      </c>
      <c r="Q45" s="78">
        <f t="shared" ref="Q45" si="89">Q43+Q44</f>
        <v>43759.166666666664</v>
      </c>
      <c r="R45" s="78">
        <f t="shared" ref="R45" si="90">R43+R44</f>
        <v>47852.5</v>
      </c>
      <c r="S45" s="78">
        <f t="shared" ref="S45" si="91">S43+S44</f>
        <v>52138.333333333328</v>
      </c>
      <c r="T45" s="78">
        <f t="shared" ref="T45" si="92">T43+T44</f>
        <v>56853.333333333328</v>
      </c>
      <c r="U45" s="110">
        <f t="shared" ref="U45" si="93">U43+U44</f>
        <v>61859.999999999993</v>
      </c>
      <c r="V45" s="78">
        <f t="shared" ref="V45" si="94">V43+V44</f>
        <v>66410</v>
      </c>
      <c r="W45" s="78">
        <f t="shared" ref="W45" si="95">W43+W44</f>
        <v>71170.833333333328</v>
      </c>
      <c r="X45" s="78">
        <f t="shared" ref="X45" si="96">X43+X44</f>
        <v>76160.833333333328</v>
      </c>
      <c r="Y45" s="78">
        <f t="shared" ref="Y45" si="97">Y43+Y44</f>
        <v>81361.666666666657</v>
      </c>
      <c r="Z45" s="78">
        <f t="shared" ref="Z45" si="98">Z43+Z44</f>
        <v>86773.333333333328</v>
      </c>
      <c r="AA45" s="78">
        <f t="shared" ref="AA45" si="99">AA43+AA44</f>
        <v>91735.833333333328</v>
      </c>
      <c r="AB45" s="78">
        <f t="shared" ref="AB45" si="100">AB43+AB44</f>
        <v>95625.833333333328</v>
      </c>
      <c r="AC45" s="78">
        <f t="shared" ref="AC45" si="101">AC43+AC44</f>
        <v>99763.333333333328</v>
      </c>
      <c r="AD45" s="78">
        <f t="shared" ref="AD45" si="102">AD43+AD44</f>
        <v>104130</v>
      </c>
      <c r="AE45" s="78">
        <f t="shared" ref="AE45" si="103">AE43+AE44</f>
        <v>108725.83333333333</v>
      </c>
      <c r="AF45" s="78">
        <f t="shared" ref="AF45" si="104">AF43+AF44</f>
        <v>112870.83333333333</v>
      </c>
      <c r="AG45" s="78">
        <f t="shared" ref="AG45" si="105">AG43+AG44</f>
        <v>117300</v>
      </c>
      <c r="AH45" s="78">
        <f t="shared" ref="AH45" si="106">AH43+AH44</f>
        <v>121985.83333333333</v>
      </c>
      <c r="AI45" s="78">
        <f t="shared" ref="AI45" si="107">AI43+AI44</f>
        <v>126928.33333333333</v>
      </c>
      <c r="AJ45" s="78">
        <f t="shared" ref="AJ45" si="108">AJ43+AJ44</f>
        <v>132190</v>
      </c>
      <c r="AK45" s="78">
        <f t="shared" ref="AK45" si="109">AK43+AK44</f>
        <v>136701.66666666666</v>
      </c>
      <c r="AL45" s="78">
        <f t="shared" ref="AL45" si="110">AL43+AL44</f>
        <v>141488.33333333331</v>
      </c>
      <c r="AM45" s="66"/>
      <c r="AN45" s="66"/>
      <c r="AO45" s="66"/>
      <c r="AP45" s="85">
        <f>SUM(C45:AL45)</f>
        <v>2267874.1666666665</v>
      </c>
    </row>
    <row r="46" spans="1:43" x14ac:dyDescent="0.25">
      <c r="A46" s="94" t="s">
        <v>179</v>
      </c>
      <c r="C46" s="81">
        <f>C45*12</f>
        <v>0</v>
      </c>
      <c r="D46" s="81">
        <f t="shared" ref="D46:AL46" si="111">D45*12</f>
        <v>23600</v>
      </c>
      <c r="E46" s="81">
        <f t="shared" si="111"/>
        <v>37630</v>
      </c>
      <c r="F46" s="81">
        <f t="shared" si="111"/>
        <v>54739.999999999993</v>
      </c>
      <c r="G46" s="81">
        <f t="shared" si="111"/>
        <v>74930</v>
      </c>
      <c r="H46" s="81">
        <f t="shared" si="111"/>
        <v>113910</v>
      </c>
      <c r="I46" s="81">
        <f t="shared" si="111"/>
        <v>155970</v>
      </c>
      <c r="J46" s="81">
        <f t="shared" si="111"/>
        <v>196180</v>
      </c>
      <c r="K46" s="81">
        <f t="shared" si="111"/>
        <v>238920</v>
      </c>
      <c r="L46" s="81">
        <f t="shared" si="111"/>
        <v>284190</v>
      </c>
      <c r="M46" s="81">
        <f t="shared" si="111"/>
        <v>332630</v>
      </c>
      <c r="N46" s="81">
        <f t="shared" si="111"/>
        <v>383930</v>
      </c>
      <c r="O46" s="81">
        <f t="shared" si="111"/>
        <v>434019.99999999994</v>
      </c>
      <c r="P46" s="81">
        <f t="shared" si="111"/>
        <v>478410</v>
      </c>
      <c r="Q46" s="81">
        <f t="shared" si="111"/>
        <v>525110</v>
      </c>
      <c r="R46" s="81">
        <f t="shared" si="111"/>
        <v>574230</v>
      </c>
      <c r="S46" s="81">
        <f t="shared" si="111"/>
        <v>625660</v>
      </c>
      <c r="T46" s="81">
        <f t="shared" si="111"/>
        <v>682240</v>
      </c>
      <c r="U46" s="112">
        <f t="shared" si="111"/>
        <v>742319.99999999988</v>
      </c>
      <c r="V46" s="81">
        <f t="shared" si="111"/>
        <v>796920</v>
      </c>
      <c r="W46" s="81">
        <f t="shared" si="111"/>
        <v>854050</v>
      </c>
      <c r="X46" s="81">
        <f t="shared" si="111"/>
        <v>913930</v>
      </c>
      <c r="Y46" s="81">
        <f t="shared" si="111"/>
        <v>976339.99999999988</v>
      </c>
      <c r="Z46" s="81">
        <f t="shared" si="111"/>
        <v>1041280</v>
      </c>
      <c r="AA46" s="81">
        <f t="shared" si="111"/>
        <v>1100830</v>
      </c>
      <c r="AB46" s="81">
        <f t="shared" si="111"/>
        <v>1147510</v>
      </c>
      <c r="AC46" s="81">
        <f t="shared" si="111"/>
        <v>1197160</v>
      </c>
      <c r="AD46" s="81">
        <f t="shared" si="111"/>
        <v>1249560</v>
      </c>
      <c r="AE46" s="81">
        <f t="shared" si="111"/>
        <v>1304710</v>
      </c>
      <c r="AF46" s="81">
        <f t="shared" si="111"/>
        <v>1354450</v>
      </c>
      <c r="AG46" s="81">
        <f t="shared" si="111"/>
        <v>1407600</v>
      </c>
      <c r="AH46" s="81">
        <f t="shared" si="111"/>
        <v>1463830</v>
      </c>
      <c r="AI46" s="81">
        <f t="shared" si="111"/>
        <v>1523140</v>
      </c>
      <c r="AJ46" s="81">
        <f t="shared" si="111"/>
        <v>1586280</v>
      </c>
      <c r="AK46" s="81">
        <f t="shared" si="111"/>
        <v>1640420</v>
      </c>
      <c r="AL46" s="81">
        <f t="shared" si="111"/>
        <v>1697859.9999999998</v>
      </c>
      <c r="AM46" s="67"/>
      <c r="AN46" s="67"/>
      <c r="AO46" s="67"/>
      <c r="AP46" s="64"/>
    </row>
    <row r="47" spans="1:43" x14ac:dyDescent="0.25">
      <c r="A47" s="125" t="s">
        <v>180</v>
      </c>
      <c r="C47" s="133">
        <f>SUM(C45:D45)</f>
        <v>1966.6666666666665</v>
      </c>
      <c r="D47" s="133"/>
      <c r="E47" s="133">
        <f>SUM(E45:G45)</f>
        <v>13941.666666666664</v>
      </c>
      <c r="F47" s="133"/>
      <c r="G47" s="133"/>
      <c r="H47" s="133">
        <f>SUM(H45:J45)</f>
        <v>38838.333333333328</v>
      </c>
      <c r="I47" s="133"/>
      <c r="J47" s="133"/>
      <c r="K47" s="133">
        <f>SUM(K45:M45)</f>
        <v>71311.666666666657</v>
      </c>
      <c r="L47" s="133"/>
      <c r="M47" s="133"/>
      <c r="N47" s="133">
        <f>SUM(N45:P45)</f>
        <v>108030</v>
      </c>
      <c r="O47" s="133"/>
      <c r="P47" s="133"/>
      <c r="Q47" s="133">
        <f>SUM(Q45:S45)</f>
        <v>143750</v>
      </c>
      <c r="R47" s="133"/>
      <c r="S47" s="133"/>
      <c r="T47" s="133">
        <f>SUM(T45:V45)</f>
        <v>185123.33333333331</v>
      </c>
      <c r="U47" s="133"/>
      <c r="V47" s="133"/>
      <c r="W47" s="133">
        <f>SUM(W45:Y45)</f>
        <v>228693.33333333331</v>
      </c>
      <c r="X47" s="133"/>
      <c r="Y47" s="133"/>
      <c r="Z47" s="133">
        <f>SUM(Z45:AB45)</f>
        <v>274135</v>
      </c>
      <c r="AA47" s="133"/>
      <c r="AB47" s="133"/>
      <c r="AC47" s="133">
        <f>SUM(AC45:AE45)</f>
        <v>312619.16666666663</v>
      </c>
      <c r="AD47" s="133"/>
      <c r="AE47" s="133"/>
      <c r="AF47" s="133">
        <f>SUM(AF45:AH45)</f>
        <v>352156.66666666663</v>
      </c>
      <c r="AG47" s="133"/>
      <c r="AH47" s="133"/>
      <c r="AI47" s="133">
        <f>SUM(AI45:AK45)</f>
        <v>395820</v>
      </c>
      <c r="AJ47" s="133"/>
      <c r="AK47" s="133"/>
      <c r="AL47" s="81"/>
      <c r="AM47" s="67"/>
      <c r="AN47" s="67"/>
      <c r="AO47" s="67"/>
      <c r="AP47" s="64"/>
    </row>
    <row r="48" spans="1:43" s="18" customFormat="1" x14ac:dyDescent="0.25">
      <c r="A48" s="26" t="s">
        <v>181</v>
      </c>
      <c r="C48" s="76">
        <f>C45-C35</f>
        <v>-2700</v>
      </c>
      <c r="D48" s="76">
        <f t="shared" ref="D48:AL48" si="112">D45-D35</f>
        <v>-792</v>
      </c>
      <c r="E48" s="76">
        <f t="shared" si="112"/>
        <v>261.66666666666652</v>
      </c>
      <c r="F48" s="76">
        <f t="shared" si="112"/>
        <v>1518.8333333333326</v>
      </c>
      <c r="G48" s="77">
        <f t="shared" si="112"/>
        <v>2979.4999999999995</v>
      </c>
      <c r="H48" s="76">
        <f t="shared" si="112"/>
        <v>1887.333333333333</v>
      </c>
      <c r="I48" s="76">
        <f>I45-I35</f>
        <v>5055</v>
      </c>
      <c r="J48" s="76">
        <f t="shared" si="112"/>
        <v>8083.1666666666661</v>
      </c>
      <c r="K48" s="76">
        <f t="shared" si="112"/>
        <v>11272.666666666666</v>
      </c>
      <c r="L48" s="76">
        <f t="shared" si="112"/>
        <v>14625.333333333334</v>
      </c>
      <c r="M48" s="76">
        <f t="shared" si="112"/>
        <v>18189</v>
      </c>
      <c r="N48" s="76">
        <f t="shared" si="112"/>
        <v>21937.833333333332</v>
      </c>
      <c r="O48" s="76">
        <f t="shared" si="112"/>
        <v>25598.666666666664</v>
      </c>
      <c r="P48" s="76">
        <f t="shared" si="112"/>
        <v>28867</v>
      </c>
      <c r="Q48" s="76">
        <f t="shared" si="112"/>
        <v>32282</v>
      </c>
      <c r="R48" s="76">
        <f t="shared" si="112"/>
        <v>35854.666666666672</v>
      </c>
      <c r="S48" s="77">
        <f t="shared" si="112"/>
        <v>39575.833333333328</v>
      </c>
      <c r="T48" s="76">
        <f t="shared" si="112"/>
        <v>43000.666666666664</v>
      </c>
      <c r="U48" s="109">
        <f t="shared" si="112"/>
        <v>47336.333333333328</v>
      </c>
      <c r="V48" s="76">
        <f t="shared" si="112"/>
        <v>51296</v>
      </c>
      <c r="W48" s="76">
        <f t="shared" si="112"/>
        <v>55417</v>
      </c>
      <c r="X48" s="76">
        <f t="shared" si="112"/>
        <v>59717.666666666664</v>
      </c>
      <c r="Y48" s="76">
        <f t="shared" si="112"/>
        <v>64181.499999999993</v>
      </c>
      <c r="Z48" s="76">
        <f t="shared" si="112"/>
        <v>68810.333333333328</v>
      </c>
      <c r="AA48" s="76">
        <f t="shared" si="112"/>
        <v>73072.5</v>
      </c>
      <c r="AB48" s="76">
        <f t="shared" si="112"/>
        <v>76473</v>
      </c>
      <c r="AC48" s="76">
        <f t="shared" si="112"/>
        <v>80067.833333333328</v>
      </c>
      <c r="AD48" s="76">
        <f t="shared" si="112"/>
        <v>83842.333333333343</v>
      </c>
      <c r="AE48" s="77">
        <f t="shared" si="112"/>
        <v>87796.5</v>
      </c>
      <c r="AF48" s="76">
        <f t="shared" si="112"/>
        <v>90691.5</v>
      </c>
      <c r="AG48" s="76">
        <f t="shared" si="112"/>
        <v>94554.166666666672</v>
      </c>
      <c r="AH48" s="76">
        <f t="shared" si="112"/>
        <v>98616.666666666657</v>
      </c>
      <c r="AI48" s="76">
        <f t="shared" si="112"/>
        <v>102880.83333333333</v>
      </c>
      <c r="AJ48" s="76">
        <f t="shared" si="112"/>
        <v>107401.83333333334</v>
      </c>
      <c r="AK48" s="76">
        <f t="shared" si="112"/>
        <v>111312.16666666666</v>
      </c>
      <c r="AL48" s="76">
        <f t="shared" si="112"/>
        <v>115440.66666666666</v>
      </c>
      <c r="AM48" s="65"/>
      <c r="AN48" s="65"/>
      <c r="AO48" s="65"/>
      <c r="AP48" s="85">
        <f>SUM(C48:AL48)</f>
        <v>1756406.0000000002</v>
      </c>
    </row>
    <row r="49" spans="1:42" x14ac:dyDescent="0.25">
      <c r="AP49" s="64"/>
    </row>
    <row r="50" spans="1:42" x14ac:dyDescent="0.25">
      <c r="AP50" s="64"/>
    </row>
    <row r="51" spans="1:42" x14ac:dyDescent="0.25">
      <c r="A51" s="23" t="s">
        <v>180</v>
      </c>
      <c r="C51" s="81">
        <f>C48</f>
        <v>-2700</v>
      </c>
      <c r="D51" s="81">
        <f t="shared" ref="D51:AL51" si="113">D48</f>
        <v>-792</v>
      </c>
      <c r="E51" s="81">
        <f t="shared" si="113"/>
        <v>261.66666666666652</v>
      </c>
      <c r="F51" s="81">
        <f t="shared" si="113"/>
        <v>1518.8333333333326</v>
      </c>
      <c r="G51" s="81">
        <f t="shared" si="113"/>
        <v>2979.4999999999995</v>
      </c>
      <c r="H51" s="81">
        <f t="shared" si="113"/>
        <v>1887.333333333333</v>
      </c>
      <c r="I51" s="81">
        <f t="shared" si="113"/>
        <v>5055</v>
      </c>
      <c r="J51" s="81">
        <f t="shared" si="113"/>
        <v>8083.1666666666661</v>
      </c>
      <c r="K51" s="81">
        <f t="shared" si="113"/>
        <v>11272.666666666666</v>
      </c>
      <c r="L51" s="81">
        <f t="shared" si="113"/>
        <v>14625.333333333334</v>
      </c>
      <c r="M51" s="81">
        <f t="shared" si="113"/>
        <v>18189</v>
      </c>
      <c r="N51" s="81">
        <f t="shared" si="113"/>
        <v>21937.833333333332</v>
      </c>
      <c r="O51" s="81">
        <f t="shared" si="113"/>
        <v>25598.666666666664</v>
      </c>
      <c r="P51" s="81">
        <f t="shared" si="113"/>
        <v>28867</v>
      </c>
      <c r="Q51" s="81">
        <f t="shared" si="113"/>
        <v>32282</v>
      </c>
      <c r="R51" s="81">
        <f t="shared" si="113"/>
        <v>35854.666666666672</v>
      </c>
      <c r="S51" s="81">
        <f t="shared" si="113"/>
        <v>39575.833333333328</v>
      </c>
      <c r="T51" s="81">
        <f t="shared" si="113"/>
        <v>43000.666666666664</v>
      </c>
      <c r="U51" s="112">
        <f t="shared" si="113"/>
        <v>47336.333333333328</v>
      </c>
      <c r="V51" s="81">
        <f t="shared" si="113"/>
        <v>51296</v>
      </c>
      <c r="W51" s="81">
        <f t="shared" si="113"/>
        <v>55417</v>
      </c>
      <c r="X51" s="81">
        <f t="shared" si="113"/>
        <v>59717.666666666664</v>
      </c>
      <c r="Y51" s="81">
        <f t="shared" si="113"/>
        <v>64181.499999999993</v>
      </c>
      <c r="Z51" s="81">
        <f t="shared" si="113"/>
        <v>68810.333333333328</v>
      </c>
      <c r="AA51" s="81">
        <f t="shared" si="113"/>
        <v>73072.5</v>
      </c>
      <c r="AB51" s="81">
        <f t="shared" si="113"/>
        <v>76473</v>
      </c>
      <c r="AC51" s="81">
        <f t="shared" si="113"/>
        <v>80067.833333333328</v>
      </c>
      <c r="AD51" s="81">
        <f t="shared" si="113"/>
        <v>83842.333333333343</v>
      </c>
      <c r="AE51" s="81">
        <f t="shared" si="113"/>
        <v>87796.5</v>
      </c>
      <c r="AF51" s="81">
        <f t="shared" si="113"/>
        <v>90691.5</v>
      </c>
      <c r="AG51" s="81">
        <f t="shared" si="113"/>
        <v>94554.166666666672</v>
      </c>
      <c r="AH51" s="81">
        <f t="shared" si="113"/>
        <v>98616.666666666657</v>
      </c>
      <c r="AI51" s="81">
        <f t="shared" si="113"/>
        <v>102880.83333333333</v>
      </c>
      <c r="AJ51" s="81">
        <f t="shared" si="113"/>
        <v>107401.83333333334</v>
      </c>
      <c r="AK51" s="81">
        <f t="shared" si="113"/>
        <v>111312.16666666666</v>
      </c>
      <c r="AL51" s="81">
        <f t="shared" si="113"/>
        <v>115440.66666666666</v>
      </c>
      <c r="AP51" s="64"/>
    </row>
    <row r="52" spans="1:42" x14ac:dyDescent="0.25">
      <c r="A52" s="22" t="s">
        <v>182</v>
      </c>
      <c r="C52" s="81"/>
      <c r="D52" s="81"/>
      <c r="E52" s="81"/>
      <c r="F52" s="81"/>
      <c r="G52" s="81"/>
      <c r="H52" s="81">
        <f>H45*0.3</f>
        <v>2847.75</v>
      </c>
      <c r="I52" s="81">
        <f t="shared" ref="I52:S52" si="114">I45*0.3</f>
        <v>3899.25</v>
      </c>
      <c r="J52" s="81">
        <f t="shared" si="114"/>
        <v>4904.4999999999991</v>
      </c>
      <c r="K52" s="81">
        <f t="shared" si="114"/>
        <v>5973</v>
      </c>
      <c r="L52" s="81">
        <f t="shared" si="114"/>
        <v>7104.75</v>
      </c>
      <c r="M52" s="81">
        <f t="shared" si="114"/>
        <v>8315.7499999999982</v>
      </c>
      <c r="N52" s="81">
        <f t="shared" si="114"/>
        <v>9598.2499999999982</v>
      </c>
      <c r="O52" s="81">
        <f t="shared" si="114"/>
        <v>10850.499999999998</v>
      </c>
      <c r="P52" s="81">
        <f t="shared" si="114"/>
        <v>11960.25</v>
      </c>
      <c r="Q52" s="81">
        <f t="shared" si="114"/>
        <v>13127.749999999998</v>
      </c>
      <c r="R52" s="81">
        <f t="shared" si="114"/>
        <v>14355.75</v>
      </c>
      <c r="S52" s="81">
        <f t="shared" si="114"/>
        <v>15641.499999999998</v>
      </c>
      <c r="T52" s="81">
        <f>T45*0.15</f>
        <v>8527.9999999999982</v>
      </c>
      <c r="U52" s="112">
        <f t="shared" ref="U52:AL52" si="115">U45*0.15</f>
        <v>9278.9999999999982</v>
      </c>
      <c r="V52" s="81">
        <f t="shared" si="115"/>
        <v>9961.5</v>
      </c>
      <c r="W52" s="81">
        <f t="shared" si="115"/>
        <v>10675.624999999998</v>
      </c>
      <c r="X52" s="81">
        <f t="shared" si="115"/>
        <v>11424.124999999998</v>
      </c>
      <c r="Y52" s="81">
        <f t="shared" si="115"/>
        <v>12204.249999999998</v>
      </c>
      <c r="Z52" s="81">
        <f t="shared" si="115"/>
        <v>13015.999999999998</v>
      </c>
      <c r="AA52" s="81">
        <f t="shared" si="115"/>
        <v>13760.374999999998</v>
      </c>
      <c r="AB52" s="81">
        <f t="shared" si="115"/>
        <v>14343.874999999998</v>
      </c>
      <c r="AC52" s="81">
        <f t="shared" si="115"/>
        <v>14964.499999999998</v>
      </c>
      <c r="AD52" s="81">
        <f t="shared" si="115"/>
        <v>15619.5</v>
      </c>
      <c r="AE52" s="81">
        <f t="shared" si="115"/>
        <v>16308.874999999998</v>
      </c>
      <c r="AF52" s="81">
        <f t="shared" si="115"/>
        <v>16930.625</v>
      </c>
      <c r="AG52" s="81">
        <f t="shared" si="115"/>
        <v>17595</v>
      </c>
      <c r="AH52" s="81">
        <f t="shared" si="115"/>
        <v>18297.875</v>
      </c>
      <c r="AI52" s="81">
        <f t="shared" si="115"/>
        <v>19039.25</v>
      </c>
      <c r="AJ52" s="81">
        <f t="shared" si="115"/>
        <v>19828.5</v>
      </c>
      <c r="AK52" s="81">
        <f t="shared" si="115"/>
        <v>20505.249999999996</v>
      </c>
      <c r="AL52" s="81">
        <f t="shared" si="115"/>
        <v>21223.249999999996</v>
      </c>
      <c r="AP52" s="64"/>
    </row>
    <row r="53" spans="1:42" x14ac:dyDescent="0.25">
      <c r="A53" s="24" t="s">
        <v>183</v>
      </c>
      <c r="AP53" s="64"/>
    </row>
    <row r="54" spans="1:42" x14ac:dyDescent="0.25">
      <c r="A54" s="24" t="s">
        <v>184</v>
      </c>
      <c r="B54" s="81"/>
      <c r="C54" s="81">
        <v>10</v>
      </c>
      <c r="D54" s="81">
        <v>10</v>
      </c>
      <c r="E54" s="81">
        <v>10</v>
      </c>
      <c r="F54" s="81">
        <v>10</v>
      </c>
      <c r="G54" s="81">
        <v>10</v>
      </c>
      <c r="H54" s="81">
        <v>10</v>
      </c>
      <c r="I54" s="81">
        <v>10</v>
      </c>
      <c r="J54" s="81">
        <v>10</v>
      </c>
      <c r="K54" s="81">
        <v>10</v>
      </c>
      <c r="L54" s="81">
        <v>10</v>
      </c>
      <c r="M54" s="81">
        <v>100</v>
      </c>
      <c r="N54" s="81">
        <v>100</v>
      </c>
      <c r="O54" s="81">
        <v>100</v>
      </c>
      <c r="P54" s="81">
        <v>100</v>
      </c>
      <c r="Q54" s="81">
        <v>100</v>
      </c>
      <c r="R54" s="81">
        <v>100</v>
      </c>
      <c r="S54" s="81">
        <v>100</v>
      </c>
      <c r="T54" s="81">
        <v>100</v>
      </c>
      <c r="U54" s="112">
        <v>100</v>
      </c>
      <c r="V54" s="81">
        <v>100</v>
      </c>
      <c r="W54" s="81">
        <v>100</v>
      </c>
      <c r="X54" s="81">
        <v>600</v>
      </c>
      <c r="Y54" s="81">
        <v>600</v>
      </c>
      <c r="Z54" s="81">
        <v>600</v>
      </c>
      <c r="AA54" s="81">
        <v>600</v>
      </c>
      <c r="AB54" s="81">
        <v>600</v>
      </c>
      <c r="AC54" s="81">
        <v>600</v>
      </c>
      <c r="AD54" s="81">
        <v>600</v>
      </c>
      <c r="AE54" s="81">
        <v>600</v>
      </c>
      <c r="AF54" s="81">
        <v>600</v>
      </c>
      <c r="AG54" s="81">
        <v>600</v>
      </c>
      <c r="AH54" s="81">
        <v>600</v>
      </c>
      <c r="AI54" s="81">
        <v>600</v>
      </c>
      <c r="AJ54" s="81">
        <v>600</v>
      </c>
      <c r="AK54" s="81">
        <v>600</v>
      </c>
      <c r="AL54" s="81">
        <v>600</v>
      </c>
      <c r="AP54" s="64"/>
    </row>
    <row r="55" spans="1:42" x14ac:dyDescent="0.25">
      <c r="A55" s="24" t="s">
        <v>185</v>
      </c>
      <c r="AP55" s="64"/>
    </row>
    <row r="56" spans="1:42" x14ac:dyDescent="0.25">
      <c r="A56" s="23" t="s">
        <v>181</v>
      </c>
      <c r="C56" s="81">
        <f>C51-C52-C53-C54-C55</f>
        <v>-2710</v>
      </c>
      <c r="D56" s="81">
        <f t="shared" ref="D56:AL56" si="116">D51-D52-D53-D54-D55</f>
        <v>-802</v>
      </c>
      <c r="E56" s="81">
        <f t="shared" si="116"/>
        <v>251.66666666666652</v>
      </c>
      <c r="F56" s="81">
        <f t="shared" si="116"/>
        <v>1508.8333333333326</v>
      </c>
      <c r="G56" s="81">
        <f t="shared" si="116"/>
        <v>2969.4999999999995</v>
      </c>
      <c r="H56" s="81">
        <f t="shared" si="116"/>
        <v>-970.41666666666697</v>
      </c>
      <c r="I56" s="81">
        <f t="shared" si="116"/>
        <v>1145.75</v>
      </c>
      <c r="J56" s="81">
        <f t="shared" si="116"/>
        <v>3168.666666666667</v>
      </c>
      <c r="K56" s="81">
        <f t="shared" si="116"/>
        <v>5289.6666666666661</v>
      </c>
      <c r="L56" s="81">
        <f t="shared" si="116"/>
        <v>7510.5833333333339</v>
      </c>
      <c r="M56" s="81">
        <f t="shared" si="116"/>
        <v>9773.2500000000018</v>
      </c>
      <c r="N56" s="81">
        <f t="shared" si="116"/>
        <v>12239.583333333334</v>
      </c>
      <c r="O56" s="81">
        <f t="shared" si="116"/>
        <v>14648.166666666666</v>
      </c>
      <c r="P56" s="81">
        <f t="shared" si="116"/>
        <v>16806.75</v>
      </c>
      <c r="Q56" s="81">
        <f t="shared" si="116"/>
        <v>19054.25</v>
      </c>
      <c r="R56" s="81">
        <f t="shared" si="116"/>
        <v>21398.916666666672</v>
      </c>
      <c r="S56" s="81">
        <f t="shared" si="116"/>
        <v>23834.333333333328</v>
      </c>
      <c r="T56" s="81">
        <f t="shared" si="116"/>
        <v>34372.666666666664</v>
      </c>
      <c r="U56" s="112">
        <f t="shared" si="116"/>
        <v>37957.333333333328</v>
      </c>
      <c r="V56" s="81">
        <f t="shared" si="116"/>
        <v>41234.5</v>
      </c>
      <c r="W56" s="81">
        <f t="shared" si="116"/>
        <v>44641.375</v>
      </c>
      <c r="X56" s="81">
        <f t="shared" si="116"/>
        <v>47693.541666666664</v>
      </c>
      <c r="Y56" s="81">
        <f t="shared" si="116"/>
        <v>51377.249999999993</v>
      </c>
      <c r="Z56" s="81">
        <f t="shared" si="116"/>
        <v>55194.333333333328</v>
      </c>
      <c r="AA56" s="81">
        <f t="shared" si="116"/>
        <v>58712.125</v>
      </c>
      <c r="AB56" s="81">
        <f t="shared" si="116"/>
        <v>61529.125</v>
      </c>
      <c r="AC56" s="81">
        <f t="shared" si="116"/>
        <v>64503.333333333328</v>
      </c>
      <c r="AD56" s="81">
        <f t="shared" si="116"/>
        <v>67622.833333333343</v>
      </c>
      <c r="AE56" s="81">
        <f t="shared" si="116"/>
        <v>70887.625</v>
      </c>
      <c r="AF56" s="81">
        <f t="shared" si="116"/>
        <v>73160.875</v>
      </c>
      <c r="AG56" s="81">
        <f t="shared" si="116"/>
        <v>76359.166666666672</v>
      </c>
      <c r="AH56" s="81">
        <f t="shared" si="116"/>
        <v>79718.791666666657</v>
      </c>
      <c r="AI56" s="81">
        <f t="shared" si="116"/>
        <v>83241.583333333328</v>
      </c>
      <c r="AJ56" s="81">
        <f t="shared" si="116"/>
        <v>86973.333333333343</v>
      </c>
      <c r="AK56" s="81">
        <f t="shared" si="116"/>
        <v>90206.916666666657</v>
      </c>
      <c r="AL56" s="81">
        <f t="shared" si="116"/>
        <v>93617.416666666657</v>
      </c>
      <c r="AP56" s="85">
        <f>SUM(C56:AL56)</f>
        <v>1354121.625</v>
      </c>
    </row>
    <row r="57" spans="1:42" x14ac:dyDescent="0.25">
      <c r="AP57" s="64"/>
    </row>
    <row r="58" spans="1:42" x14ac:dyDescent="0.25">
      <c r="A58" s="23" t="s">
        <v>186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112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</row>
    <row r="59" spans="1:42" x14ac:dyDescent="0.25">
      <c r="A59" s="24" t="s">
        <v>187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112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P59" s="81">
        <f t="shared" ref="AP59:AP63" si="117">SUM(C59:AL59)</f>
        <v>0</v>
      </c>
    </row>
    <row r="60" spans="1:42" s="116" customFormat="1" x14ac:dyDescent="0.25">
      <c r="A60" s="114" t="s">
        <v>188</v>
      </c>
      <c r="B60" s="115"/>
      <c r="D60" s="115"/>
      <c r="E60" s="115">
        <v>1500</v>
      </c>
      <c r="F60" s="115">
        <v>1500</v>
      </c>
      <c r="G60" s="115">
        <v>1500</v>
      </c>
      <c r="H60" s="115">
        <v>1500</v>
      </c>
      <c r="I60" s="115">
        <v>1500</v>
      </c>
      <c r="J60" s="115">
        <v>1500</v>
      </c>
      <c r="K60" s="115">
        <v>1500</v>
      </c>
      <c r="L60" s="115"/>
      <c r="M60" s="115"/>
      <c r="N60" s="115"/>
      <c r="O60" s="115"/>
      <c r="P60" s="115"/>
      <c r="Q60" s="115"/>
      <c r="R60" s="115"/>
      <c r="S60" s="115"/>
      <c r="T60" s="115"/>
      <c r="U60" s="112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P60" s="81">
        <f t="shared" si="117"/>
        <v>10500</v>
      </c>
    </row>
    <row r="61" spans="1:42" s="116" customFormat="1" x14ac:dyDescent="0.25">
      <c r="A61" s="114" t="s">
        <v>189</v>
      </c>
      <c r="B61" s="115"/>
      <c r="C61" s="115"/>
      <c r="D61" s="115"/>
      <c r="E61" s="115"/>
      <c r="F61" s="115"/>
      <c r="G61" s="115"/>
      <c r="H61" s="115">
        <v>1000</v>
      </c>
      <c r="I61" s="115">
        <v>1000</v>
      </c>
      <c r="J61" s="115">
        <v>1000</v>
      </c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2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P61" s="81">
        <f t="shared" si="117"/>
        <v>3000</v>
      </c>
    </row>
    <row r="62" spans="1:42" s="116" customFormat="1" x14ac:dyDescent="0.25">
      <c r="A62" s="114" t="s">
        <v>190</v>
      </c>
      <c r="B62" s="115"/>
      <c r="C62" s="115"/>
      <c r="D62" s="115"/>
      <c r="E62" s="115"/>
      <c r="F62" s="115">
        <v>1000</v>
      </c>
      <c r="G62" s="115">
        <v>1000</v>
      </c>
      <c r="H62" s="115">
        <v>1000</v>
      </c>
      <c r="I62" s="115">
        <v>1000</v>
      </c>
      <c r="J62" s="115">
        <v>1000</v>
      </c>
      <c r="K62" s="115">
        <v>1000</v>
      </c>
      <c r="L62" s="115">
        <v>1000</v>
      </c>
      <c r="M62" s="115">
        <v>1000</v>
      </c>
      <c r="N62" s="115">
        <v>1000</v>
      </c>
      <c r="O62" s="115">
        <v>1000</v>
      </c>
      <c r="P62" s="115">
        <v>1000</v>
      </c>
      <c r="Q62" s="115">
        <v>1000</v>
      </c>
      <c r="R62" s="115">
        <v>1000</v>
      </c>
      <c r="S62" s="115">
        <v>1000</v>
      </c>
      <c r="T62" s="115">
        <v>1000</v>
      </c>
      <c r="U62" s="112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P62" s="81">
        <f t="shared" si="117"/>
        <v>15000</v>
      </c>
    </row>
    <row r="63" spans="1:42" x14ac:dyDescent="0.25">
      <c r="A63" s="24" t="s">
        <v>191</v>
      </c>
      <c r="B63" s="81"/>
      <c r="C63" s="81">
        <v>8000</v>
      </c>
      <c r="D63" s="81">
        <v>8000</v>
      </c>
      <c r="E63" s="81">
        <v>8000</v>
      </c>
      <c r="F63" s="81">
        <v>8000</v>
      </c>
      <c r="G63" s="81">
        <v>8000</v>
      </c>
      <c r="H63" s="81">
        <v>8000</v>
      </c>
      <c r="I63" s="81">
        <v>8000</v>
      </c>
      <c r="J63" s="81">
        <v>10000</v>
      </c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112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P63" s="81">
        <f t="shared" si="117"/>
        <v>66000</v>
      </c>
    </row>
    <row r="64" spans="1:42" x14ac:dyDescent="0.25">
      <c r="A64" s="24" t="s">
        <v>192</v>
      </c>
      <c r="B64" s="81"/>
      <c r="C64" s="81">
        <v>0</v>
      </c>
      <c r="D64" s="81">
        <v>0</v>
      </c>
      <c r="E64" s="81">
        <v>500</v>
      </c>
      <c r="F64" s="81">
        <v>500</v>
      </c>
      <c r="G64" s="81">
        <v>500</v>
      </c>
      <c r="H64" s="81">
        <v>500</v>
      </c>
      <c r="I64" s="81">
        <v>500</v>
      </c>
      <c r="J64" s="81">
        <v>500</v>
      </c>
      <c r="K64" s="81">
        <v>500</v>
      </c>
      <c r="L64" s="81">
        <v>500</v>
      </c>
      <c r="M64" s="81">
        <v>500</v>
      </c>
      <c r="N64" s="81">
        <v>500</v>
      </c>
      <c r="O64" s="81">
        <v>1000</v>
      </c>
      <c r="P64" s="81">
        <v>1000</v>
      </c>
      <c r="Q64" s="81">
        <v>1000</v>
      </c>
      <c r="R64" s="81">
        <v>1000</v>
      </c>
      <c r="S64" s="81">
        <v>1000</v>
      </c>
      <c r="T64" s="81">
        <v>1000</v>
      </c>
      <c r="U64" s="112">
        <v>1000</v>
      </c>
      <c r="V64" s="81">
        <v>1000</v>
      </c>
      <c r="W64" s="81">
        <v>1000</v>
      </c>
      <c r="X64" s="81">
        <v>1000</v>
      </c>
      <c r="Y64" s="81">
        <v>1000</v>
      </c>
      <c r="Z64" s="81">
        <v>1000</v>
      </c>
      <c r="AA64" s="81">
        <v>1500</v>
      </c>
      <c r="AB64" s="81">
        <v>1500</v>
      </c>
      <c r="AC64" s="81">
        <v>1500</v>
      </c>
      <c r="AD64" s="81">
        <v>1500</v>
      </c>
      <c r="AE64" s="81">
        <v>1500</v>
      </c>
      <c r="AF64" s="81">
        <v>1500</v>
      </c>
      <c r="AG64" s="81">
        <v>1500</v>
      </c>
      <c r="AH64" s="81">
        <v>1500</v>
      </c>
      <c r="AI64" s="81">
        <v>1500</v>
      </c>
      <c r="AJ64" s="81">
        <v>1500</v>
      </c>
      <c r="AK64" s="81">
        <v>1500</v>
      </c>
      <c r="AL64" s="81">
        <v>1500</v>
      </c>
      <c r="AP64" s="81">
        <f t="shared" ref="AP64:AP68" si="118">SUM(C64:AL64)</f>
        <v>35000</v>
      </c>
    </row>
    <row r="65" spans="1:42" x14ac:dyDescent="0.25">
      <c r="A65" s="24" t="s">
        <v>193</v>
      </c>
      <c r="B65" s="81"/>
      <c r="C65" s="81">
        <f>'Payroll Model'!D38</f>
        <v>5662.5</v>
      </c>
      <c r="D65" s="81">
        <f>'Payroll Model'!E38</f>
        <v>5662.5</v>
      </c>
      <c r="E65" s="81">
        <f>'Payroll Model'!F38</f>
        <v>8162.5</v>
      </c>
      <c r="F65" s="81">
        <f>'Payroll Model'!G38</f>
        <v>8162.5</v>
      </c>
      <c r="G65" s="81">
        <f>'Payroll Model'!H38</f>
        <v>8162.5</v>
      </c>
      <c r="H65" s="81">
        <f>'Payroll Model'!I38</f>
        <v>13162.5</v>
      </c>
      <c r="I65" s="81">
        <f>'Payroll Model'!J38</f>
        <v>13162.5</v>
      </c>
      <c r="J65" s="81">
        <f>'Payroll Model'!K38</f>
        <v>13162.5</v>
      </c>
      <c r="K65" s="81">
        <f>'Payroll Model'!L38</f>
        <v>13162.5</v>
      </c>
      <c r="L65" s="81">
        <f>'Payroll Model'!M38</f>
        <v>15037.5</v>
      </c>
      <c r="M65" s="81">
        <f>'Payroll Model'!N38</f>
        <v>15037.5</v>
      </c>
      <c r="N65" s="81">
        <f>'Payroll Model'!O38</f>
        <v>17537.5</v>
      </c>
      <c r="O65" s="81">
        <f>'Payroll Model'!P38</f>
        <v>24406.2</v>
      </c>
      <c r="P65" s="81">
        <f>'Payroll Model'!Q38</f>
        <v>24406.2</v>
      </c>
      <c r="Q65" s="81">
        <f>'Payroll Model'!R38</f>
        <v>24406.2</v>
      </c>
      <c r="R65" s="81">
        <f>'Payroll Model'!S38</f>
        <v>24406.2</v>
      </c>
      <c r="S65" s="81">
        <f>'Payroll Model'!T38</f>
        <v>24406.2</v>
      </c>
      <c r="T65" s="81">
        <f>'Payroll Model'!U38</f>
        <v>24406.2</v>
      </c>
      <c r="U65" s="112">
        <f>'Payroll Model'!V38</f>
        <v>31686.2</v>
      </c>
      <c r="V65" s="81">
        <f>'Payroll Model'!W38</f>
        <v>31686.2</v>
      </c>
      <c r="W65" s="81">
        <f>'Payroll Model'!X38</f>
        <v>31686.2</v>
      </c>
      <c r="X65" s="81">
        <f>'Payroll Model'!Y38</f>
        <v>31686.2</v>
      </c>
      <c r="Y65" s="81">
        <f>'Payroll Model'!Z38</f>
        <v>31686.2</v>
      </c>
      <c r="Z65" s="81">
        <f>'Payroll Model'!AA38</f>
        <v>31686.2</v>
      </c>
      <c r="AA65" s="81">
        <f>'Payroll Model'!AB38</f>
        <v>34855.800000000003</v>
      </c>
      <c r="AB65" s="81">
        <f>'Payroll Model'!AC38</f>
        <v>34855.800000000003</v>
      </c>
      <c r="AC65" s="81">
        <f>'Payroll Model'!AD38</f>
        <v>34855.800000000003</v>
      </c>
      <c r="AD65" s="81">
        <f>'Payroll Model'!AE38</f>
        <v>34855.800000000003</v>
      </c>
      <c r="AE65" s="81">
        <f>'Payroll Model'!AF38</f>
        <v>34855.800000000003</v>
      </c>
      <c r="AF65" s="81">
        <f>'Payroll Model'!AG38</f>
        <v>34855.800000000003</v>
      </c>
      <c r="AG65" s="81">
        <f>'Payroll Model'!AH38</f>
        <v>34855.800000000003</v>
      </c>
      <c r="AH65" s="81">
        <f>'Payroll Model'!AI38</f>
        <v>34855.800000000003</v>
      </c>
      <c r="AI65" s="81">
        <f>'Payroll Model'!AJ38</f>
        <v>34855.800000000003</v>
      </c>
      <c r="AJ65" s="81">
        <f>'Payroll Model'!AK38</f>
        <v>34855.800000000003</v>
      </c>
      <c r="AK65" s="81">
        <f>'Payroll Model'!AL38</f>
        <v>34855.800000000003</v>
      </c>
      <c r="AL65" s="81">
        <f>'Payroll Model'!AM38</f>
        <v>34855.800000000003</v>
      </c>
      <c r="AP65" s="81">
        <f t="shared" si="118"/>
        <v>890899.00000000058</v>
      </c>
    </row>
    <row r="66" spans="1:42" x14ac:dyDescent="0.25">
      <c r="A66" s="24" t="s">
        <v>194</v>
      </c>
      <c r="B66" s="81"/>
      <c r="C66" s="81">
        <v>250</v>
      </c>
      <c r="D66" s="81">
        <v>250</v>
      </c>
      <c r="E66" s="81">
        <v>250</v>
      </c>
      <c r="F66" s="81">
        <v>250</v>
      </c>
      <c r="G66" s="81">
        <v>250</v>
      </c>
      <c r="H66" s="81">
        <v>250</v>
      </c>
      <c r="I66" s="81">
        <v>250</v>
      </c>
      <c r="J66" s="81">
        <v>250</v>
      </c>
      <c r="K66" s="81">
        <v>250</v>
      </c>
      <c r="L66" s="81">
        <v>250</v>
      </c>
      <c r="M66" s="81">
        <v>250</v>
      </c>
      <c r="N66" s="81">
        <v>250</v>
      </c>
      <c r="O66" s="81">
        <v>400</v>
      </c>
      <c r="P66" s="81">
        <v>400</v>
      </c>
      <c r="Q66" s="81">
        <v>400</v>
      </c>
      <c r="R66" s="81">
        <v>400</v>
      </c>
      <c r="S66" s="81">
        <v>400</v>
      </c>
      <c r="T66" s="81">
        <v>400</v>
      </c>
      <c r="U66" s="112">
        <v>400</v>
      </c>
      <c r="V66" s="81">
        <v>400</v>
      </c>
      <c r="W66" s="81">
        <v>400</v>
      </c>
      <c r="X66" s="81">
        <v>400</v>
      </c>
      <c r="Y66" s="81">
        <v>400</v>
      </c>
      <c r="Z66" s="81">
        <v>400</v>
      </c>
      <c r="AA66" s="81">
        <v>800</v>
      </c>
      <c r="AB66" s="81">
        <v>800</v>
      </c>
      <c r="AC66" s="81">
        <v>800</v>
      </c>
      <c r="AD66" s="81">
        <v>800</v>
      </c>
      <c r="AE66" s="81">
        <v>800</v>
      </c>
      <c r="AF66" s="81">
        <v>800</v>
      </c>
      <c r="AG66" s="81">
        <v>800</v>
      </c>
      <c r="AH66" s="81">
        <v>800</v>
      </c>
      <c r="AI66" s="81">
        <v>800</v>
      </c>
      <c r="AJ66" s="81">
        <v>800</v>
      </c>
      <c r="AK66" s="81">
        <v>800</v>
      </c>
      <c r="AL66" s="81">
        <v>800</v>
      </c>
      <c r="AP66" s="81">
        <f t="shared" si="118"/>
        <v>17400</v>
      </c>
    </row>
    <row r="67" spans="1:42" x14ac:dyDescent="0.25">
      <c r="A67" s="24" t="s">
        <v>195</v>
      </c>
      <c r="B67" s="81"/>
      <c r="C67" s="81">
        <f>15000/12</f>
        <v>1250</v>
      </c>
      <c r="D67" s="81">
        <f t="shared" ref="D67:AL67" si="119">15000/12</f>
        <v>1250</v>
      </c>
      <c r="E67" s="81">
        <f t="shared" si="119"/>
        <v>1250</v>
      </c>
      <c r="F67" s="81">
        <f t="shared" si="119"/>
        <v>1250</v>
      </c>
      <c r="G67" s="81">
        <f t="shared" si="119"/>
        <v>1250</v>
      </c>
      <c r="H67" s="81">
        <f t="shared" si="119"/>
        <v>1250</v>
      </c>
      <c r="I67" s="81">
        <f t="shared" si="119"/>
        <v>1250</v>
      </c>
      <c r="J67" s="81">
        <f t="shared" si="119"/>
        <v>1250</v>
      </c>
      <c r="K67" s="81">
        <f t="shared" si="119"/>
        <v>1250</v>
      </c>
      <c r="L67" s="81">
        <f t="shared" si="119"/>
        <v>1250</v>
      </c>
      <c r="M67" s="81">
        <f t="shared" si="119"/>
        <v>1250</v>
      </c>
      <c r="N67" s="81">
        <f t="shared" si="119"/>
        <v>1250</v>
      </c>
      <c r="O67" s="81">
        <f t="shared" si="119"/>
        <v>1250</v>
      </c>
      <c r="P67" s="81">
        <f t="shared" si="119"/>
        <v>1250</v>
      </c>
      <c r="Q67" s="81">
        <f t="shared" si="119"/>
        <v>1250</v>
      </c>
      <c r="R67" s="81">
        <f t="shared" si="119"/>
        <v>1250</v>
      </c>
      <c r="S67" s="81">
        <f t="shared" si="119"/>
        <v>1250</v>
      </c>
      <c r="T67" s="81">
        <f t="shared" si="119"/>
        <v>1250</v>
      </c>
      <c r="U67" s="112">
        <f t="shared" si="119"/>
        <v>1250</v>
      </c>
      <c r="V67" s="81">
        <f t="shared" si="119"/>
        <v>1250</v>
      </c>
      <c r="W67" s="81">
        <f t="shared" si="119"/>
        <v>1250</v>
      </c>
      <c r="X67" s="81">
        <f t="shared" si="119"/>
        <v>1250</v>
      </c>
      <c r="Y67" s="81">
        <f t="shared" si="119"/>
        <v>1250</v>
      </c>
      <c r="Z67" s="81">
        <f t="shared" si="119"/>
        <v>1250</v>
      </c>
      <c r="AA67" s="81">
        <f t="shared" si="119"/>
        <v>1250</v>
      </c>
      <c r="AB67" s="81">
        <f t="shared" si="119"/>
        <v>1250</v>
      </c>
      <c r="AC67" s="81">
        <f t="shared" si="119"/>
        <v>1250</v>
      </c>
      <c r="AD67" s="81">
        <f t="shared" si="119"/>
        <v>1250</v>
      </c>
      <c r="AE67" s="81">
        <f t="shared" si="119"/>
        <v>1250</v>
      </c>
      <c r="AF67" s="81">
        <f t="shared" si="119"/>
        <v>1250</v>
      </c>
      <c r="AG67" s="81">
        <f t="shared" si="119"/>
        <v>1250</v>
      </c>
      <c r="AH67" s="81">
        <f t="shared" si="119"/>
        <v>1250</v>
      </c>
      <c r="AI67" s="81">
        <f t="shared" si="119"/>
        <v>1250</v>
      </c>
      <c r="AJ67" s="81">
        <f t="shared" si="119"/>
        <v>1250</v>
      </c>
      <c r="AK67" s="81">
        <f t="shared" si="119"/>
        <v>1250</v>
      </c>
      <c r="AL67" s="81">
        <f t="shared" si="119"/>
        <v>1250</v>
      </c>
      <c r="AP67" s="81">
        <f t="shared" si="118"/>
        <v>45000</v>
      </c>
    </row>
    <row r="68" spans="1:42" s="1" customFormat="1" x14ac:dyDescent="0.25">
      <c r="A68" s="124" t="s">
        <v>196</v>
      </c>
      <c r="B68" s="85"/>
      <c r="C68" s="85">
        <f>SUM(C59:C67)</f>
        <v>15162.5</v>
      </c>
      <c r="D68" s="85">
        <f t="shared" ref="D68:AL68" si="120">SUM(D59:D67)</f>
        <v>15162.5</v>
      </c>
      <c r="E68" s="85">
        <f t="shared" si="120"/>
        <v>19662.5</v>
      </c>
      <c r="F68" s="85">
        <f t="shared" si="120"/>
        <v>20662.5</v>
      </c>
      <c r="G68" s="85">
        <f t="shared" si="120"/>
        <v>20662.5</v>
      </c>
      <c r="H68" s="85">
        <f t="shared" si="120"/>
        <v>26662.5</v>
      </c>
      <c r="I68" s="85">
        <f t="shared" si="120"/>
        <v>26662.5</v>
      </c>
      <c r="J68" s="85">
        <f t="shared" si="120"/>
        <v>28662.5</v>
      </c>
      <c r="K68" s="85">
        <f t="shared" si="120"/>
        <v>17662.5</v>
      </c>
      <c r="L68" s="85">
        <f t="shared" si="120"/>
        <v>18037.5</v>
      </c>
      <c r="M68" s="85">
        <f t="shared" si="120"/>
        <v>18037.5</v>
      </c>
      <c r="N68" s="85">
        <f t="shared" si="120"/>
        <v>20537.5</v>
      </c>
      <c r="O68" s="85">
        <f t="shared" si="120"/>
        <v>28056.2</v>
      </c>
      <c r="P68" s="85">
        <f t="shared" si="120"/>
        <v>28056.2</v>
      </c>
      <c r="Q68" s="85">
        <f t="shared" si="120"/>
        <v>28056.2</v>
      </c>
      <c r="R68" s="85">
        <f t="shared" si="120"/>
        <v>28056.2</v>
      </c>
      <c r="S68" s="85">
        <f t="shared" si="120"/>
        <v>28056.2</v>
      </c>
      <c r="T68" s="85">
        <f t="shared" si="120"/>
        <v>28056.2</v>
      </c>
      <c r="U68" s="85">
        <f t="shared" si="120"/>
        <v>34336.199999999997</v>
      </c>
      <c r="V68" s="85">
        <f t="shared" si="120"/>
        <v>34336.199999999997</v>
      </c>
      <c r="W68" s="85">
        <f t="shared" si="120"/>
        <v>34336.199999999997</v>
      </c>
      <c r="X68" s="85">
        <f t="shared" si="120"/>
        <v>34336.199999999997</v>
      </c>
      <c r="Y68" s="85">
        <f t="shared" si="120"/>
        <v>34336.199999999997</v>
      </c>
      <c r="Z68" s="85">
        <f t="shared" si="120"/>
        <v>34336.199999999997</v>
      </c>
      <c r="AA68" s="85">
        <f t="shared" si="120"/>
        <v>38405.800000000003</v>
      </c>
      <c r="AB68" s="85">
        <f t="shared" si="120"/>
        <v>38405.800000000003</v>
      </c>
      <c r="AC68" s="85">
        <f t="shared" si="120"/>
        <v>38405.800000000003</v>
      </c>
      <c r="AD68" s="85">
        <f t="shared" si="120"/>
        <v>38405.800000000003</v>
      </c>
      <c r="AE68" s="85">
        <f t="shared" si="120"/>
        <v>38405.800000000003</v>
      </c>
      <c r="AF68" s="85">
        <f t="shared" si="120"/>
        <v>38405.800000000003</v>
      </c>
      <c r="AG68" s="85">
        <f t="shared" si="120"/>
        <v>38405.800000000003</v>
      </c>
      <c r="AH68" s="85">
        <f t="shared" si="120"/>
        <v>38405.800000000003</v>
      </c>
      <c r="AI68" s="85">
        <f t="shared" si="120"/>
        <v>38405.800000000003</v>
      </c>
      <c r="AJ68" s="85">
        <f t="shared" si="120"/>
        <v>38405.800000000003</v>
      </c>
      <c r="AK68" s="85">
        <f t="shared" si="120"/>
        <v>38405.800000000003</v>
      </c>
      <c r="AL68" s="85">
        <f t="shared" si="120"/>
        <v>38405.800000000003</v>
      </c>
      <c r="AP68" s="81">
        <f t="shared" si="118"/>
        <v>1082799.0000000005</v>
      </c>
    </row>
    <row r="69" spans="1:42" s="1" customFormat="1" x14ac:dyDescent="0.25">
      <c r="A69" s="23" t="s">
        <v>197</v>
      </c>
      <c r="B69" s="85"/>
      <c r="C69" s="85">
        <f>C56-C63-C64-C65-C66-C67-C62-C61-C60</f>
        <v>-17872.5</v>
      </c>
      <c r="D69" s="85">
        <f t="shared" ref="D69:AL69" si="121">D56-D63-D64-D65-D66-D67-D62-D61-D60</f>
        <v>-15964.5</v>
      </c>
      <c r="E69" s="85">
        <f t="shared" si="121"/>
        <v>-19410.833333333336</v>
      </c>
      <c r="F69" s="85">
        <f t="shared" si="121"/>
        <v>-19153.666666666668</v>
      </c>
      <c r="G69" s="85">
        <f t="shared" si="121"/>
        <v>-17693</v>
      </c>
      <c r="H69" s="85">
        <f t="shared" si="121"/>
        <v>-27632.916666666668</v>
      </c>
      <c r="I69" s="85">
        <f t="shared" si="121"/>
        <v>-25516.75</v>
      </c>
      <c r="J69" s="85">
        <f t="shared" si="121"/>
        <v>-25493.833333333332</v>
      </c>
      <c r="K69" s="85">
        <f t="shared" si="121"/>
        <v>-12372.833333333334</v>
      </c>
      <c r="L69" s="85">
        <f t="shared" si="121"/>
        <v>-10526.916666666666</v>
      </c>
      <c r="M69" s="85">
        <f t="shared" si="121"/>
        <v>-8264.2499999999982</v>
      </c>
      <c r="N69" s="85">
        <f t="shared" si="121"/>
        <v>-8297.9166666666661</v>
      </c>
      <c r="O69" s="85">
        <f t="shared" si="121"/>
        <v>-13408.033333333335</v>
      </c>
      <c r="P69" s="85">
        <f t="shared" si="121"/>
        <v>-11249.45</v>
      </c>
      <c r="Q69" s="85">
        <f t="shared" si="121"/>
        <v>-9001.9500000000007</v>
      </c>
      <c r="R69" s="85">
        <f t="shared" si="121"/>
        <v>-6657.2833333333292</v>
      </c>
      <c r="S69" s="85">
        <f t="shared" si="121"/>
        <v>-4221.8666666666722</v>
      </c>
      <c r="T69" s="85">
        <f t="shared" si="121"/>
        <v>6316.4666666666635</v>
      </c>
      <c r="U69" s="113">
        <f t="shared" si="121"/>
        <v>3621.1333333333278</v>
      </c>
      <c r="V69" s="85">
        <f t="shared" si="121"/>
        <v>6898.2999999999993</v>
      </c>
      <c r="W69" s="85">
        <f t="shared" si="121"/>
        <v>10305.174999999999</v>
      </c>
      <c r="X69" s="85">
        <f t="shared" si="121"/>
        <v>13357.341666666664</v>
      </c>
      <c r="Y69" s="85">
        <f t="shared" si="121"/>
        <v>17041.049999999992</v>
      </c>
      <c r="Z69" s="85">
        <f t="shared" si="121"/>
        <v>20858.133333333328</v>
      </c>
      <c r="AA69" s="85">
        <f t="shared" si="121"/>
        <v>20306.324999999997</v>
      </c>
      <c r="AB69" s="85">
        <f t="shared" si="121"/>
        <v>23123.324999999997</v>
      </c>
      <c r="AC69" s="85">
        <f t="shared" si="121"/>
        <v>26097.533333333326</v>
      </c>
      <c r="AD69" s="85">
        <f t="shared" si="121"/>
        <v>29217.03333333334</v>
      </c>
      <c r="AE69" s="85">
        <f t="shared" si="121"/>
        <v>32481.824999999997</v>
      </c>
      <c r="AF69" s="85">
        <f t="shared" si="121"/>
        <v>34755.074999999997</v>
      </c>
      <c r="AG69" s="85">
        <f t="shared" si="121"/>
        <v>37953.366666666669</v>
      </c>
      <c r="AH69" s="85">
        <f t="shared" si="121"/>
        <v>41312.991666666654</v>
      </c>
      <c r="AI69" s="85">
        <f t="shared" si="121"/>
        <v>44835.783333333326</v>
      </c>
      <c r="AJ69" s="85">
        <f t="shared" si="121"/>
        <v>48567.53333333334</v>
      </c>
      <c r="AK69" s="85">
        <f t="shared" si="121"/>
        <v>51801.116666666654</v>
      </c>
      <c r="AL69" s="85">
        <f t="shared" si="121"/>
        <v>55211.616666666654</v>
      </c>
      <c r="AP69" s="85">
        <f>SUM(C69:AL69)</f>
        <v>271322.62499999988</v>
      </c>
    </row>
    <row r="70" spans="1:42" x14ac:dyDescent="0.25">
      <c r="A70" s="24" t="s">
        <v>198</v>
      </c>
      <c r="B70" s="81"/>
      <c r="C70" s="81">
        <v>1875</v>
      </c>
      <c r="D70" s="81">
        <v>1875</v>
      </c>
      <c r="E70" s="81">
        <v>1875</v>
      </c>
      <c r="F70" s="81">
        <v>1875</v>
      </c>
      <c r="G70" s="81">
        <v>1875</v>
      </c>
      <c r="H70" s="81">
        <v>1875</v>
      </c>
      <c r="I70" s="81">
        <v>1875</v>
      </c>
      <c r="J70" s="81">
        <v>1875</v>
      </c>
      <c r="K70" s="81">
        <v>1875</v>
      </c>
      <c r="L70" s="81">
        <v>1875</v>
      </c>
      <c r="M70" s="81">
        <v>1875</v>
      </c>
      <c r="N70" s="81">
        <v>1875</v>
      </c>
      <c r="O70" s="81">
        <v>1875</v>
      </c>
      <c r="P70" s="81">
        <v>1875</v>
      </c>
      <c r="Q70" s="81">
        <v>1875</v>
      </c>
      <c r="R70" s="81">
        <v>1875</v>
      </c>
      <c r="S70" s="81">
        <v>1875</v>
      </c>
      <c r="T70" s="81">
        <v>1875</v>
      </c>
      <c r="U70" s="112">
        <v>1875</v>
      </c>
      <c r="V70" s="81">
        <v>1875</v>
      </c>
      <c r="W70" s="81">
        <v>1875</v>
      </c>
      <c r="X70" s="81">
        <v>1875</v>
      </c>
      <c r="Y70" s="81">
        <v>1875</v>
      </c>
      <c r="Z70" s="81">
        <v>1875</v>
      </c>
      <c r="AA70" s="81">
        <v>1875</v>
      </c>
      <c r="AB70" s="81">
        <v>1875</v>
      </c>
      <c r="AC70" s="81">
        <v>1875</v>
      </c>
      <c r="AD70" s="81">
        <v>1875</v>
      </c>
      <c r="AE70" s="81">
        <v>1875</v>
      </c>
      <c r="AF70" s="81">
        <v>1875</v>
      </c>
      <c r="AG70" s="81">
        <v>1875</v>
      </c>
      <c r="AH70" s="81">
        <v>1875</v>
      </c>
      <c r="AI70" s="81">
        <v>1875</v>
      </c>
      <c r="AJ70" s="81">
        <v>1875</v>
      </c>
      <c r="AK70" s="81">
        <v>1875</v>
      </c>
      <c r="AL70" s="81">
        <v>1875</v>
      </c>
    </row>
    <row r="71" spans="1:42" x14ac:dyDescent="0.25">
      <c r="A71" s="24" t="s">
        <v>199</v>
      </c>
      <c r="B71" s="81"/>
      <c r="C71" s="81">
        <v>200</v>
      </c>
      <c r="D71" s="81">
        <v>200</v>
      </c>
      <c r="E71" s="81">
        <v>200</v>
      </c>
      <c r="F71" s="81">
        <v>200</v>
      </c>
      <c r="G71" s="81">
        <v>200</v>
      </c>
      <c r="H71" s="81">
        <v>200</v>
      </c>
      <c r="I71" s="81">
        <v>200</v>
      </c>
      <c r="J71" s="81">
        <v>200</v>
      </c>
      <c r="K71" s="81">
        <v>200</v>
      </c>
      <c r="L71" s="81">
        <v>200</v>
      </c>
      <c r="M71" s="81">
        <v>200</v>
      </c>
      <c r="N71" s="81">
        <v>200</v>
      </c>
      <c r="O71" s="81">
        <v>200</v>
      </c>
      <c r="P71" s="81">
        <v>200</v>
      </c>
      <c r="Q71" s="81">
        <v>200</v>
      </c>
      <c r="R71" s="81">
        <v>200</v>
      </c>
      <c r="S71" s="81">
        <v>200</v>
      </c>
      <c r="T71" s="81">
        <v>200</v>
      </c>
      <c r="U71" s="112">
        <v>200</v>
      </c>
      <c r="V71" s="81">
        <v>200</v>
      </c>
      <c r="W71" s="81">
        <v>200</v>
      </c>
      <c r="X71" s="81">
        <v>200</v>
      </c>
      <c r="Y71" s="81">
        <v>200</v>
      </c>
      <c r="Z71" s="81">
        <v>200</v>
      </c>
      <c r="AA71" s="81">
        <v>200</v>
      </c>
      <c r="AB71" s="81">
        <v>200</v>
      </c>
      <c r="AC71" s="81">
        <v>200</v>
      </c>
      <c r="AD71" s="81">
        <v>200</v>
      </c>
      <c r="AE71" s="81">
        <v>200</v>
      </c>
      <c r="AF71" s="81">
        <v>200</v>
      </c>
      <c r="AG71" s="81">
        <v>200</v>
      </c>
      <c r="AH71" s="81">
        <v>200</v>
      </c>
      <c r="AI71" s="81">
        <v>200</v>
      </c>
      <c r="AJ71" s="81">
        <v>200</v>
      </c>
      <c r="AK71" s="81">
        <v>200</v>
      </c>
      <c r="AL71" s="81">
        <v>200</v>
      </c>
    </row>
    <row r="72" spans="1:42" x14ac:dyDescent="0.25">
      <c r="A72" s="23" t="s">
        <v>200</v>
      </c>
      <c r="B72" s="81"/>
      <c r="C72" s="85">
        <f>C69-C70-C71</f>
        <v>-19947.5</v>
      </c>
      <c r="D72" s="85">
        <f t="shared" ref="D72:AL72" si="122">D69-D70-D71</f>
        <v>-18039.5</v>
      </c>
      <c r="E72" s="85">
        <f t="shared" si="122"/>
        <v>-21485.833333333336</v>
      </c>
      <c r="F72" s="85">
        <f t="shared" si="122"/>
        <v>-21228.666666666668</v>
      </c>
      <c r="G72" s="85">
        <f t="shared" si="122"/>
        <v>-19768</v>
      </c>
      <c r="H72" s="85">
        <f t="shared" si="122"/>
        <v>-29707.916666666668</v>
      </c>
      <c r="I72" s="85">
        <f t="shared" si="122"/>
        <v>-27591.75</v>
      </c>
      <c r="J72" s="85">
        <f t="shared" si="122"/>
        <v>-27568.833333333332</v>
      </c>
      <c r="K72" s="85">
        <f t="shared" si="122"/>
        <v>-14447.833333333334</v>
      </c>
      <c r="L72" s="85">
        <f t="shared" si="122"/>
        <v>-12601.916666666666</v>
      </c>
      <c r="M72" s="85">
        <f t="shared" si="122"/>
        <v>-10339.249999999998</v>
      </c>
      <c r="N72" s="85">
        <f t="shared" si="122"/>
        <v>-10372.916666666666</v>
      </c>
      <c r="O72" s="85">
        <f t="shared" si="122"/>
        <v>-15483.033333333335</v>
      </c>
      <c r="P72" s="85">
        <f t="shared" si="122"/>
        <v>-13324.45</v>
      </c>
      <c r="Q72" s="85">
        <f t="shared" si="122"/>
        <v>-11076.95</v>
      </c>
      <c r="R72" s="85">
        <f t="shared" si="122"/>
        <v>-8732.2833333333292</v>
      </c>
      <c r="S72" s="85">
        <f t="shared" si="122"/>
        <v>-6296.8666666666722</v>
      </c>
      <c r="T72" s="85">
        <f t="shared" si="122"/>
        <v>4241.4666666666635</v>
      </c>
      <c r="U72" s="113">
        <f t="shared" si="122"/>
        <v>1546.1333333333278</v>
      </c>
      <c r="V72" s="85">
        <f t="shared" si="122"/>
        <v>4823.2999999999993</v>
      </c>
      <c r="W72" s="85">
        <f t="shared" si="122"/>
        <v>8230.1749999999993</v>
      </c>
      <c r="X72" s="85">
        <f t="shared" si="122"/>
        <v>11282.341666666664</v>
      </c>
      <c r="Y72" s="85">
        <f t="shared" si="122"/>
        <v>14966.049999999992</v>
      </c>
      <c r="Z72" s="85">
        <f t="shared" si="122"/>
        <v>18783.133333333328</v>
      </c>
      <c r="AA72" s="85">
        <f t="shared" si="122"/>
        <v>18231.324999999997</v>
      </c>
      <c r="AB72" s="85">
        <f t="shared" si="122"/>
        <v>21048.324999999997</v>
      </c>
      <c r="AC72" s="85">
        <f t="shared" si="122"/>
        <v>24022.533333333326</v>
      </c>
      <c r="AD72" s="85">
        <f t="shared" si="122"/>
        <v>27142.03333333334</v>
      </c>
      <c r="AE72" s="85">
        <f t="shared" si="122"/>
        <v>30406.824999999997</v>
      </c>
      <c r="AF72" s="85">
        <f t="shared" si="122"/>
        <v>32680.074999999997</v>
      </c>
      <c r="AG72" s="85">
        <f t="shared" si="122"/>
        <v>35878.366666666669</v>
      </c>
      <c r="AH72" s="85">
        <f t="shared" si="122"/>
        <v>39237.991666666654</v>
      </c>
      <c r="AI72" s="85">
        <f t="shared" si="122"/>
        <v>42760.783333333326</v>
      </c>
      <c r="AJ72" s="85">
        <f t="shared" si="122"/>
        <v>46492.53333333334</v>
      </c>
      <c r="AK72" s="85">
        <f t="shared" si="122"/>
        <v>49726.116666666654</v>
      </c>
      <c r="AL72" s="85">
        <f t="shared" si="122"/>
        <v>53136.616666666654</v>
      </c>
      <c r="AP72" s="85">
        <f>SUM(C72:AL72)</f>
        <v>196622.62499999983</v>
      </c>
    </row>
    <row r="73" spans="1:42" x14ac:dyDescent="0.25">
      <c r="A73" s="24" t="s">
        <v>201</v>
      </c>
      <c r="B73" s="81"/>
      <c r="C73" s="81">
        <f>IF(C72&lt;0,0,C72*0.087)</f>
        <v>0</v>
      </c>
      <c r="D73" s="81">
        <f t="shared" ref="D73:AL73" si="123">IF(D72&lt;0,0,D72*0.087)</f>
        <v>0</v>
      </c>
      <c r="E73" s="81">
        <f t="shared" si="123"/>
        <v>0</v>
      </c>
      <c r="F73" s="81">
        <f t="shared" si="123"/>
        <v>0</v>
      </c>
      <c r="G73" s="81">
        <f t="shared" si="123"/>
        <v>0</v>
      </c>
      <c r="H73" s="81">
        <f t="shared" si="123"/>
        <v>0</v>
      </c>
      <c r="I73" s="81">
        <f t="shared" si="123"/>
        <v>0</v>
      </c>
      <c r="J73" s="81">
        <f t="shared" si="123"/>
        <v>0</v>
      </c>
      <c r="K73" s="81">
        <f t="shared" si="123"/>
        <v>0</v>
      </c>
      <c r="L73" s="81">
        <f t="shared" si="123"/>
        <v>0</v>
      </c>
      <c r="M73" s="81">
        <f t="shared" si="123"/>
        <v>0</v>
      </c>
      <c r="N73" s="81">
        <f t="shared" si="123"/>
        <v>0</v>
      </c>
      <c r="O73" s="81">
        <f t="shared" si="123"/>
        <v>0</v>
      </c>
      <c r="P73" s="81">
        <f t="shared" si="123"/>
        <v>0</v>
      </c>
      <c r="Q73" s="81">
        <f t="shared" si="123"/>
        <v>0</v>
      </c>
      <c r="R73" s="81">
        <f t="shared" si="123"/>
        <v>0</v>
      </c>
      <c r="S73" s="81">
        <f t="shared" si="123"/>
        <v>0</v>
      </c>
      <c r="T73" s="81">
        <f t="shared" si="123"/>
        <v>369.00759999999968</v>
      </c>
      <c r="U73" s="112">
        <f t="shared" si="123"/>
        <v>134.51359999999951</v>
      </c>
      <c r="V73" s="81">
        <f t="shared" si="123"/>
        <v>419.62709999999993</v>
      </c>
      <c r="W73" s="81">
        <f t="shared" si="123"/>
        <v>716.02522499999986</v>
      </c>
      <c r="X73" s="81">
        <f t="shared" si="123"/>
        <v>981.56372499999964</v>
      </c>
      <c r="Y73" s="81">
        <f t="shared" si="123"/>
        <v>1302.0463499999992</v>
      </c>
      <c r="Z73" s="81">
        <f t="shared" si="123"/>
        <v>1634.1325999999995</v>
      </c>
      <c r="AA73" s="81">
        <f t="shared" si="123"/>
        <v>1586.1252749999996</v>
      </c>
      <c r="AB73" s="81">
        <f t="shared" si="123"/>
        <v>1831.2042749999996</v>
      </c>
      <c r="AC73" s="81">
        <f t="shared" si="123"/>
        <v>2089.960399999999</v>
      </c>
      <c r="AD73" s="81">
        <f t="shared" si="123"/>
        <v>2361.3569000000002</v>
      </c>
      <c r="AE73" s="81">
        <f t="shared" si="123"/>
        <v>2645.3937749999996</v>
      </c>
      <c r="AF73" s="81">
        <f t="shared" si="123"/>
        <v>2843.1665249999996</v>
      </c>
      <c r="AG73" s="81">
        <f t="shared" si="123"/>
        <v>3121.4178999999999</v>
      </c>
      <c r="AH73" s="81">
        <f t="shared" si="123"/>
        <v>3413.7052749999989</v>
      </c>
      <c r="AI73" s="81">
        <f t="shared" si="123"/>
        <v>3720.188149999999</v>
      </c>
      <c r="AJ73" s="81">
        <f t="shared" si="123"/>
        <v>4044.8504000000003</v>
      </c>
      <c r="AK73" s="81">
        <f t="shared" si="123"/>
        <v>4326.1721499999985</v>
      </c>
      <c r="AL73" s="81">
        <f t="shared" si="123"/>
        <v>4622.8856499999983</v>
      </c>
    </row>
    <row r="74" spans="1:42" x14ac:dyDescent="0.25">
      <c r="A74" s="23" t="s">
        <v>202</v>
      </c>
      <c r="C74" s="85">
        <f>C72-C73</f>
        <v>-19947.5</v>
      </c>
      <c r="D74" s="85">
        <f t="shared" ref="D74:AL74" si="124">D72-D73</f>
        <v>-18039.5</v>
      </c>
      <c r="E74" s="85">
        <f t="shared" si="124"/>
        <v>-21485.833333333336</v>
      </c>
      <c r="F74" s="85">
        <f t="shared" si="124"/>
        <v>-21228.666666666668</v>
      </c>
      <c r="G74" s="85">
        <f t="shared" si="124"/>
        <v>-19768</v>
      </c>
      <c r="H74" s="85">
        <f t="shared" si="124"/>
        <v>-29707.916666666668</v>
      </c>
      <c r="I74" s="85">
        <f t="shared" si="124"/>
        <v>-27591.75</v>
      </c>
      <c r="J74" s="85">
        <f t="shared" si="124"/>
        <v>-27568.833333333332</v>
      </c>
      <c r="K74" s="85">
        <f t="shared" si="124"/>
        <v>-14447.833333333334</v>
      </c>
      <c r="L74" s="85">
        <f t="shared" si="124"/>
        <v>-12601.916666666666</v>
      </c>
      <c r="M74" s="85">
        <f t="shared" si="124"/>
        <v>-10339.249999999998</v>
      </c>
      <c r="N74" s="85">
        <f t="shared" si="124"/>
        <v>-10372.916666666666</v>
      </c>
      <c r="O74" s="85">
        <f t="shared" si="124"/>
        <v>-15483.033333333335</v>
      </c>
      <c r="P74" s="85">
        <f t="shared" si="124"/>
        <v>-13324.45</v>
      </c>
      <c r="Q74" s="85">
        <f t="shared" si="124"/>
        <v>-11076.95</v>
      </c>
      <c r="R74" s="85">
        <f t="shared" si="124"/>
        <v>-8732.2833333333292</v>
      </c>
      <c r="S74" s="85">
        <f t="shared" si="124"/>
        <v>-6296.8666666666722</v>
      </c>
      <c r="T74" s="85">
        <f t="shared" si="124"/>
        <v>3872.4590666666636</v>
      </c>
      <c r="U74" s="113">
        <f t="shared" si="124"/>
        <v>1411.6197333333282</v>
      </c>
      <c r="V74" s="85">
        <f t="shared" si="124"/>
        <v>4403.6728999999996</v>
      </c>
      <c r="W74" s="85">
        <f t="shared" si="124"/>
        <v>7514.1497749999999</v>
      </c>
      <c r="X74" s="85">
        <f t="shared" si="124"/>
        <v>10300.777941666664</v>
      </c>
      <c r="Y74" s="85">
        <f t="shared" si="124"/>
        <v>13664.003649999993</v>
      </c>
      <c r="Z74" s="85">
        <f t="shared" si="124"/>
        <v>17149.000733333327</v>
      </c>
      <c r="AA74" s="85">
        <f t="shared" si="124"/>
        <v>16645.199724999999</v>
      </c>
      <c r="AB74" s="85">
        <f t="shared" si="124"/>
        <v>19217.120724999997</v>
      </c>
      <c r="AC74" s="85">
        <f t="shared" si="124"/>
        <v>21932.572933333326</v>
      </c>
      <c r="AD74" s="85">
        <f t="shared" si="124"/>
        <v>24780.676433333341</v>
      </c>
      <c r="AE74" s="85">
        <f t="shared" si="124"/>
        <v>27761.431224999997</v>
      </c>
      <c r="AF74" s="85">
        <f t="shared" si="124"/>
        <v>29836.908474999997</v>
      </c>
      <c r="AG74" s="85">
        <f t="shared" si="124"/>
        <v>32756.948766666668</v>
      </c>
      <c r="AH74" s="85">
        <f t="shared" si="124"/>
        <v>35824.286391666654</v>
      </c>
      <c r="AI74" s="85">
        <f t="shared" si="124"/>
        <v>39040.595183333324</v>
      </c>
      <c r="AJ74" s="85">
        <f t="shared" si="124"/>
        <v>42447.682933333337</v>
      </c>
      <c r="AK74" s="85">
        <f t="shared" si="124"/>
        <v>45399.944516666656</v>
      </c>
      <c r="AL74" s="85">
        <f t="shared" si="124"/>
        <v>48513.731016666658</v>
      </c>
      <c r="AP74" s="85">
        <f>SUM(C74:AL74)</f>
        <v>154459.28212499988</v>
      </c>
    </row>
    <row r="76" spans="1:42" x14ac:dyDescent="0.25">
      <c r="A76" s="22" t="s">
        <v>203</v>
      </c>
      <c r="C76" s="81">
        <f t="shared" ref="C76:S76" si="125">C63</f>
        <v>8000</v>
      </c>
      <c r="D76" s="81">
        <f t="shared" si="125"/>
        <v>8000</v>
      </c>
      <c r="E76" s="81">
        <f t="shared" si="125"/>
        <v>8000</v>
      </c>
      <c r="F76" s="81">
        <f t="shared" si="125"/>
        <v>8000</v>
      </c>
      <c r="G76" s="81">
        <f t="shared" si="125"/>
        <v>8000</v>
      </c>
      <c r="H76" s="81">
        <f t="shared" si="125"/>
        <v>8000</v>
      </c>
      <c r="I76" s="81">
        <f t="shared" si="125"/>
        <v>8000</v>
      </c>
      <c r="J76" s="81">
        <f t="shared" si="125"/>
        <v>10000</v>
      </c>
      <c r="K76" s="81">
        <f t="shared" si="125"/>
        <v>0</v>
      </c>
      <c r="L76" s="81">
        <f t="shared" si="125"/>
        <v>0</v>
      </c>
      <c r="M76" s="81">
        <f t="shared" si="125"/>
        <v>0</v>
      </c>
      <c r="N76" s="81">
        <f t="shared" si="125"/>
        <v>0</v>
      </c>
      <c r="O76" s="81">
        <f t="shared" si="125"/>
        <v>0</v>
      </c>
      <c r="P76" s="81">
        <f t="shared" si="125"/>
        <v>0</v>
      </c>
      <c r="Q76" s="81">
        <f t="shared" si="125"/>
        <v>0</v>
      </c>
      <c r="R76" s="81">
        <f t="shared" si="125"/>
        <v>0</v>
      </c>
      <c r="S76" s="81">
        <f t="shared" si="125"/>
        <v>0</v>
      </c>
    </row>
    <row r="77" spans="1:42" x14ac:dyDescent="0.25">
      <c r="A77" s="86" t="s">
        <v>204</v>
      </c>
      <c r="B77" s="87"/>
      <c r="C77" s="88">
        <f t="shared" ref="C77:AL77" si="126">C69+C76</f>
        <v>-9872.5</v>
      </c>
      <c r="D77" s="88">
        <f t="shared" si="126"/>
        <v>-7964.5</v>
      </c>
      <c r="E77" s="88">
        <f t="shared" si="126"/>
        <v>-11410.833333333336</v>
      </c>
      <c r="F77" s="88">
        <f t="shared" si="126"/>
        <v>-11153.666666666668</v>
      </c>
      <c r="G77" s="88">
        <f t="shared" si="126"/>
        <v>-9693</v>
      </c>
      <c r="H77" s="88">
        <f t="shared" si="126"/>
        <v>-19632.916666666668</v>
      </c>
      <c r="I77" s="88">
        <f t="shared" si="126"/>
        <v>-17516.75</v>
      </c>
      <c r="J77" s="88">
        <f t="shared" si="126"/>
        <v>-15493.833333333332</v>
      </c>
      <c r="K77" s="88">
        <f t="shared" si="126"/>
        <v>-12372.833333333334</v>
      </c>
      <c r="L77" s="88">
        <f t="shared" si="126"/>
        <v>-10526.916666666666</v>
      </c>
      <c r="M77" s="88">
        <f t="shared" si="126"/>
        <v>-8264.2499999999982</v>
      </c>
      <c r="N77" s="88">
        <f t="shared" si="126"/>
        <v>-8297.9166666666661</v>
      </c>
      <c r="O77" s="88">
        <f t="shared" si="126"/>
        <v>-13408.033333333335</v>
      </c>
      <c r="P77" s="88">
        <f t="shared" si="126"/>
        <v>-11249.45</v>
      </c>
      <c r="Q77" s="88">
        <f t="shared" si="126"/>
        <v>-9001.9500000000007</v>
      </c>
      <c r="R77" s="88">
        <f t="shared" si="126"/>
        <v>-6657.2833333333292</v>
      </c>
      <c r="S77" s="88">
        <f t="shared" si="126"/>
        <v>-4221.8666666666722</v>
      </c>
      <c r="T77" s="88">
        <f t="shared" si="126"/>
        <v>6316.4666666666635</v>
      </c>
      <c r="U77" s="112">
        <f t="shared" si="126"/>
        <v>3621.1333333333278</v>
      </c>
      <c r="V77" s="88">
        <f t="shared" si="126"/>
        <v>6898.2999999999993</v>
      </c>
      <c r="W77" s="88">
        <f t="shared" si="126"/>
        <v>10305.174999999999</v>
      </c>
      <c r="X77" s="88">
        <f t="shared" si="126"/>
        <v>13357.341666666664</v>
      </c>
      <c r="Y77" s="88">
        <f t="shared" si="126"/>
        <v>17041.049999999992</v>
      </c>
      <c r="Z77" s="88">
        <f t="shared" si="126"/>
        <v>20858.133333333328</v>
      </c>
      <c r="AA77" s="88">
        <f t="shared" si="126"/>
        <v>20306.324999999997</v>
      </c>
      <c r="AB77" s="88">
        <f t="shared" si="126"/>
        <v>23123.324999999997</v>
      </c>
      <c r="AC77" s="88">
        <f t="shared" si="126"/>
        <v>26097.533333333326</v>
      </c>
      <c r="AD77" s="88">
        <f t="shared" si="126"/>
        <v>29217.03333333334</v>
      </c>
      <c r="AE77" s="88">
        <f t="shared" si="126"/>
        <v>32481.824999999997</v>
      </c>
      <c r="AF77" s="88">
        <f t="shared" si="126"/>
        <v>34755.074999999997</v>
      </c>
      <c r="AG77" s="88">
        <f t="shared" si="126"/>
        <v>37953.366666666669</v>
      </c>
      <c r="AH77" s="88">
        <f t="shared" si="126"/>
        <v>41312.991666666654</v>
      </c>
      <c r="AI77" s="88">
        <f t="shared" si="126"/>
        <v>44835.783333333326</v>
      </c>
      <c r="AJ77" s="88">
        <f t="shared" si="126"/>
        <v>48567.53333333334</v>
      </c>
      <c r="AK77" s="88">
        <f t="shared" si="126"/>
        <v>51801.116666666654</v>
      </c>
      <c r="AL77" s="88">
        <f t="shared" si="126"/>
        <v>55211.616666666654</v>
      </c>
    </row>
    <row r="78" spans="1:42" x14ac:dyDescent="0.25">
      <c r="A78" s="86" t="s">
        <v>197</v>
      </c>
      <c r="B78" s="87"/>
      <c r="C78" s="134">
        <f>SUM(C77:D77)</f>
        <v>-17837</v>
      </c>
      <c r="D78" s="134"/>
      <c r="E78" s="133">
        <f>SUM(E77:G77)</f>
        <v>-32257.500000000004</v>
      </c>
      <c r="F78" s="133"/>
      <c r="G78" s="133"/>
      <c r="H78" s="133">
        <f>SUM(H77:J77)</f>
        <v>-52643.5</v>
      </c>
      <c r="I78" s="133"/>
      <c r="J78" s="133"/>
      <c r="K78" s="133">
        <f>SUM(K77:M77)</f>
        <v>-31164</v>
      </c>
      <c r="L78" s="133"/>
      <c r="M78" s="133"/>
      <c r="N78" s="133">
        <f>SUM(N77:P77)</f>
        <v>-32955.4</v>
      </c>
      <c r="O78" s="133"/>
      <c r="P78" s="133"/>
      <c r="Q78" s="133">
        <f>SUM(Q77:S77)</f>
        <v>-19881.100000000002</v>
      </c>
      <c r="R78" s="133"/>
      <c r="S78" s="133"/>
      <c r="T78" s="133">
        <f>SUM(T77:V77)</f>
        <v>16835.899999999991</v>
      </c>
      <c r="U78" s="133"/>
      <c r="V78" s="133"/>
      <c r="W78" s="133">
        <f>SUM(W77:Y77)</f>
        <v>40703.566666666651</v>
      </c>
      <c r="X78" s="133"/>
      <c r="Y78" s="133"/>
      <c r="Z78" s="133">
        <f>SUM(Z77:AB77)</f>
        <v>64287.783333333326</v>
      </c>
      <c r="AA78" s="133"/>
      <c r="AB78" s="133"/>
      <c r="AC78" s="133">
        <f>SUM(AC77:AE77)</f>
        <v>87796.391666666663</v>
      </c>
      <c r="AD78" s="133"/>
      <c r="AE78" s="133"/>
      <c r="AF78" s="133">
        <f>SUM(AF77:AH77)</f>
        <v>114021.43333333332</v>
      </c>
      <c r="AG78" s="133"/>
      <c r="AH78" s="133"/>
      <c r="AI78" s="133">
        <f>SUM(AI77:AK77)</f>
        <v>145204.43333333332</v>
      </c>
      <c r="AJ78" s="133"/>
      <c r="AK78" s="133"/>
      <c r="AL78" s="88"/>
    </row>
    <row r="79" spans="1:42" x14ac:dyDescent="0.25">
      <c r="A79" s="93" t="s">
        <v>205</v>
      </c>
      <c r="B79" s="81">
        <f>SUM(C77:S77)</f>
        <v>-186738.5</v>
      </c>
    </row>
    <row r="80" spans="1:42" x14ac:dyDescent="0.25">
      <c r="A80" s="95" t="s">
        <v>206</v>
      </c>
      <c r="B80" s="81">
        <f>SUM(C77:AL77)</f>
        <v>337322.62499999988</v>
      </c>
    </row>
    <row r="81" spans="2:8" x14ac:dyDescent="0.25">
      <c r="D81" t="s">
        <v>207</v>
      </c>
      <c r="E81" t="s">
        <v>208</v>
      </c>
    </row>
    <row r="82" spans="2:8" hidden="1" x14ac:dyDescent="0.25">
      <c r="B82" s="65">
        <v>5000</v>
      </c>
      <c r="C82" s="65">
        <v>186739</v>
      </c>
      <c r="D82" s="12">
        <v>17</v>
      </c>
      <c r="H82" s="12"/>
    </row>
    <row r="83" spans="2:8" hidden="1" x14ac:dyDescent="0.25">
      <c r="B83" s="65">
        <v>6000</v>
      </c>
      <c r="C83" s="65">
        <v>182780</v>
      </c>
      <c r="D83" s="12">
        <v>17</v>
      </c>
      <c r="H83" s="12"/>
    </row>
    <row r="84" spans="2:8" hidden="1" x14ac:dyDescent="0.25">
      <c r="B84" s="65">
        <v>7000</v>
      </c>
      <c r="C84" s="65">
        <v>178777</v>
      </c>
      <c r="D84" s="12">
        <v>17</v>
      </c>
      <c r="H84" s="12"/>
    </row>
    <row r="85" spans="2:8" hidden="1" x14ac:dyDescent="0.25">
      <c r="B85" s="65">
        <v>8000</v>
      </c>
      <c r="C85" s="65">
        <v>175742</v>
      </c>
      <c r="D85" s="12">
        <v>16</v>
      </c>
      <c r="H85" s="12"/>
    </row>
    <row r="86" spans="2:8" hidden="1" x14ac:dyDescent="0.25">
      <c r="B86" s="65">
        <v>9000</v>
      </c>
      <c r="C86" s="65">
        <v>171917</v>
      </c>
      <c r="D86" s="12">
        <v>16</v>
      </c>
      <c r="H86" s="12"/>
    </row>
    <row r="87" spans="2:8" hidden="1" x14ac:dyDescent="0.25">
      <c r="B87" s="65">
        <v>10000</v>
      </c>
      <c r="C87" s="65">
        <v>169288</v>
      </c>
      <c r="D87" s="12">
        <v>16</v>
      </c>
      <c r="H87" s="12"/>
    </row>
    <row r="88" spans="2:8" hidden="1" x14ac:dyDescent="0.25">
      <c r="B88" s="65">
        <v>11000</v>
      </c>
      <c r="C88" s="65">
        <v>167156</v>
      </c>
      <c r="D88" s="12">
        <v>15</v>
      </c>
      <c r="H88" s="12"/>
    </row>
    <row r="89" spans="2:8" hidden="1" x14ac:dyDescent="0.25">
      <c r="B89" s="65">
        <v>12000</v>
      </c>
      <c r="C89" s="65">
        <v>165632</v>
      </c>
      <c r="D89" s="12">
        <v>15</v>
      </c>
      <c r="H89" s="12"/>
    </row>
    <row r="90" spans="2:8" hidden="1" x14ac:dyDescent="0.25">
      <c r="B90" s="65">
        <v>13000</v>
      </c>
      <c r="C90" s="65">
        <v>164197</v>
      </c>
      <c r="D90" s="12">
        <v>15</v>
      </c>
      <c r="H90" s="12"/>
    </row>
    <row r="91" spans="2:8" hidden="1" x14ac:dyDescent="0.25">
      <c r="B91" s="65">
        <v>14000</v>
      </c>
      <c r="C91" s="65">
        <v>162785</v>
      </c>
      <c r="D91" s="12">
        <v>15</v>
      </c>
      <c r="H91" s="12"/>
    </row>
    <row r="92" spans="2:8" hidden="1" x14ac:dyDescent="0.25">
      <c r="B92" s="65">
        <v>15000</v>
      </c>
      <c r="C92" s="65">
        <v>162353</v>
      </c>
      <c r="D92" s="12">
        <v>14</v>
      </c>
      <c r="H92" s="12"/>
    </row>
    <row r="93" spans="2:8" hidden="1" x14ac:dyDescent="0.25">
      <c r="B93" s="65">
        <v>16000</v>
      </c>
      <c r="C93" s="65">
        <v>161882</v>
      </c>
      <c r="D93" s="12">
        <v>14</v>
      </c>
      <c r="H93" s="12"/>
    </row>
    <row r="94" spans="2:8" hidden="1" x14ac:dyDescent="0.25">
      <c r="B94" s="65">
        <v>17000</v>
      </c>
      <c r="C94" s="65">
        <v>161462</v>
      </c>
      <c r="D94" s="12">
        <v>14</v>
      </c>
      <c r="H94" s="12"/>
    </row>
    <row r="95" spans="2:8" hidden="1" x14ac:dyDescent="0.25">
      <c r="B95" s="65">
        <v>18000</v>
      </c>
      <c r="C95" s="65">
        <v>161010</v>
      </c>
      <c r="D95" s="12">
        <v>14</v>
      </c>
      <c r="H95" s="12"/>
    </row>
    <row r="96" spans="2:8" hidden="1" x14ac:dyDescent="0.25">
      <c r="B96" s="65">
        <v>19000</v>
      </c>
      <c r="C96" s="65">
        <v>160950</v>
      </c>
      <c r="D96" s="12">
        <v>13</v>
      </c>
      <c r="H96" s="12"/>
    </row>
    <row r="97" spans="2:8" hidden="1" x14ac:dyDescent="0.25">
      <c r="B97" s="65">
        <v>20000</v>
      </c>
      <c r="C97" s="65">
        <v>161346</v>
      </c>
      <c r="D97" s="12">
        <v>13</v>
      </c>
      <c r="H97" s="12"/>
    </row>
    <row r="98" spans="2:8" x14ac:dyDescent="0.25">
      <c r="C98" t="s">
        <v>32</v>
      </c>
      <c r="D98" s="81">
        <f>SUM(C31:S34)</f>
        <v>133341.83333333337</v>
      </c>
      <c r="E98" s="84">
        <f>D98/$D$102</f>
        <v>0.25583727484157492</v>
      </c>
    </row>
    <row r="99" spans="2:8" x14ac:dyDescent="0.25">
      <c r="C99" t="s">
        <v>209</v>
      </c>
      <c r="D99" s="81">
        <f>SUM(C63:T63)+SUM(C60:S62)</f>
        <v>93500</v>
      </c>
      <c r="E99" s="84">
        <f t="shared" ref="E99:E101" si="127">D99/$D$102</f>
        <v>0.17939445258630196</v>
      </c>
    </row>
    <row r="100" spans="2:8" x14ac:dyDescent="0.25">
      <c r="C100" t="s">
        <v>210</v>
      </c>
      <c r="D100" s="81">
        <f>SUM(C65:S65)</f>
        <v>258106.00000000006</v>
      </c>
      <c r="E100" s="84">
        <f t="shared" si="127"/>
        <v>0.49521694737155153</v>
      </c>
    </row>
    <row r="101" spans="2:8" x14ac:dyDescent="0.25">
      <c r="C101" t="s">
        <v>211</v>
      </c>
      <c r="D101" s="130">
        <f>SUM(C64:S64)+SUM(C66:S67)</f>
        <v>36250</v>
      </c>
      <c r="E101" s="84">
        <f t="shared" si="127"/>
        <v>6.9551325200571626E-2</v>
      </c>
    </row>
    <row r="102" spans="2:8" x14ac:dyDescent="0.25">
      <c r="D102" s="81">
        <f>SUM(D98:D101)</f>
        <v>521197.83333333343</v>
      </c>
    </row>
  </sheetData>
  <mergeCells count="36">
    <mergeCell ref="T78:V78"/>
    <mergeCell ref="W78:Y78"/>
    <mergeCell ref="Z78:AB78"/>
    <mergeCell ref="AC78:AE78"/>
    <mergeCell ref="AF78:AH78"/>
    <mergeCell ref="AI78:AK78"/>
    <mergeCell ref="Z47:AB47"/>
    <mergeCell ref="AC47:AE47"/>
    <mergeCell ref="AF47:AH47"/>
    <mergeCell ref="AI47:AK47"/>
    <mergeCell ref="E78:G78"/>
    <mergeCell ref="C78:D78"/>
    <mergeCell ref="H78:J78"/>
    <mergeCell ref="K78:M78"/>
    <mergeCell ref="N78:P78"/>
    <mergeCell ref="Q78:S78"/>
    <mergeCell ref="AF3:AH3"/>
    <mergeCell ref="AI3:AK3"/>
    <mergeCell ref="C47:D47"/>
    <mergeCell ref="E47:G47"/>
    <mergeCell ref="H47:J47"/>
    <mergeCell ref="K47:M47"/>
    <mergeCell ref="N47:P47"/>
    <mergeCell ref="Q47:S47"/>
    <mergeCell ref="T47:V47"/>
    <mergeCell ref="W47:Y47"/>
    <mergeCell ref="N3:P3"/>
    <mergeCell ref="Q3:S3"/>
    <mergeCell ref="T3:V3"/>
    <mergeCell ref="W3:Y3"/>
    <mergeCell ref="Z3:AB3"/>
    <mergeCell ref="AC3:AE3"/>
    <mergeCell ref="C3:D3"/>
    <mergeCell ref="E3:G3"/>
    <mergeCell ref="H3:J3"/>
    <mergeCell ref="K3:M3"/>
  </mergeCells>
  <conditionalFormatting sqref="C46:AL46">
    <cfRule type="cellIs" dxfId="0" priority="1" operator="greaterThan">
      <formula>1000000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C7EC-BC70-4414-AB3C-170F937D6312}">
  <dimension ref="A1:AO3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P37" sqref="P37"/>
    </sheetView>
  </sheetViews>
  <sheetFormatPr defaultRowHeight="15" x14ac:dyDescent="0.25"/>
  <cols>
    <col min="1" max="1" width="25.7109375" bestFit="1" customWidth="1"/>
    <col min="2" max="2" width="12.140625" customWidth="1"/>
    <col min="3" max="8" width="9.42578125" bestFit="1" customWidth="1"/>
    <col min="9" max="39" width="10.42578125" bestFit="1" customWidth="1"/>
  </cols>
  <sheetData>
    <row r="1" spans="1:41" x14ac:dyDescent="0.25">
      <c r="A1" s="23" t="s">
        <v>212</v>
      </c>
      <c r="B1" s="23"/>
    </row>
    <row r="2" spans="1:41" x14ac:dyDescent="0.25">
      <c r="A2" s="24" t="s">
        <v>213</v>
      </c>
      <c r="B2" s="24"/>
      <c r="C2" s="90">
        <v>0.1</v>
      </c>
    </row>
    <row r="3" spans="1:41" x14ac:dyDescent="0.25">
      <c r="A3" s="24" t="s">
        <v>214</v>
      </c>
      <c r="B3" s="24"/>
      <c r="C3" s="90" t="s">
        <v>129</v>
      </c>
    </row>
    <row r="4" spans="1:41" x14ac:dyDescent="0.25">
      <c r="A4" s="2" t="s">
        <v>215</v>
      </c>
      <c r="B4" s="2"/>
      <c r="C4" s="90">
        <v>0.25</v>
      </c>
    </row>
    <row r="5" spans="1:41" x14ac:dyDescent="0.25">
      <c r="A5" s="2" t="s">
        <v>216</v>
      </c>
      <c r="B5" s="2"/>
      <c r="C5" s="90">
        <v>0.15</v>
      </c>
    </row>
    <row r="7" spans="1:41" x14ac:dyDescent="0.25">
      <c r="C7" s="1" t="s">
        <v>74</v>
      </c>
      <c r="D7" t="s">
        <v>75</v>
      </c>
      <c r="E7" t="s">
        <v>76</v>
      </c>
      <c r="F7" t="s">
        <v>77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  <c r="L7" t="s">
        <v>83</v>
      </c>
      <c r="M7" t="s">
        <v>84</v>
      </c>
      <c r="N7" t="s">
        <v>85</v>
      </c>
      <c r="O7" t="s">
        <v>86</v>
      </c>
      <c r="P7" t="s">
        <v>87</v>
      </c>
      <c r="Q7" t="s">
        <v>88</v>
      </c>
      <c r="R7" t="s">
        <v>89</v>
      </c>
      <c r="S7" t="s">
        <v>90</v>
      </c>
      <c r="T7" t="s">
        <v>91</v>
      </c>
      <c r="U7" t="s">
        <v>92</v>
      </c>
      <c r="V7" t="s">
        <v>93</v>
      </c>
      <c r="W7" t="s">
        <v>94</v>
      </c>
      <c r="X7" t="s">
        <v>95</v>
      </c>
      <c r="Y7" t="s">
        <v>96</v>
      </c>
      <c r="Z7" t="s">
        <v>97</v>
      </c>
      <c r="AA7" t="s">
        <v>98</v>
      </c>
      <c r="AB7" t="s">
        <v>99</v>
      </c>
      <c r="AC7" t="s">
        <v>100</v>
      </c>
      <c r="AD7" t="s">
        <v>101</v>
      </c>
      <c r="AE7" t="s">
        <v>102</v>
      </c>
      <c r="AF7" t="s">
        <v>103</v>
      </c>
      <c r="AG7" t="s">
        <v>104</v>
      </c>
      <c r="AH7" t="s">
        <v>105</v>
      </c>
      <c r="AI7" t="s">
        <v>106</v>
      </c>
      <c r="AJ7" t="s">
        <v>107</v>
      </c>
      <c r="AK7" t="s">
        <v>108</v>
      </c>
      <c r="AL7" t="s">
        <v>109</v>
      </c>
      <c r="AM7" t="s">
        <v>110</v>
      </c>
      <c r="AN7" t="s">
        <v>111</v>
      </c>
      <c r="AO7" t="s">
        <v>112</v>
      </c>
    </row>
    <row r="8" spans="1:41" x14ac:dyDescent="0.25">
      <c r="C8" s="1"/>
      <c r="D8" t="s">
        <v>129</v>
      </c>
      <c r="E8" t="s">
        <v>130</v>
      </c>
      <c r="F8" t="s">
        <v>131</v>
      </c>
      <c r="G8" t="s">
        <v>132</v>
      </c>
      <c r="H8" t="s">
        <v>133</v>
      </c>
      <c r="I8" t="s">
        <v>134</v>
      </c>
      <c r="J8" t="s">
        <v>135</v>
      </c>
      <c r="K8" t="s">
        <v>136</v>
      </c>
      <c r="L8" t="s">
        <v>137</v>
      </c>
      <c r="M8" t="s">
        <v>138</v>
      </c>
      <c r="N8" t="s">
        <v>139</v>
      </c>
      <c r="O8" t="s">
        <v>140</v>
      </c>
      <c r="P8" t="s">
        <v>129</v>
      </c>
      <c r="Q8" t="s">
        <v>130</v>
      </c>
      <c r="R8" t="s">
        <v>131</v>
      </c>
      <c r="S8" t="s">
        <v>132</v>
      </c>
      <c r="T8" t="s">
        <v>133</v>
      </c>
      <c r="U8" t="s">
        <v>134</v>
      </c>
      <c r="V8" t="s">
        <v>135</v>
      </c>
      <c r="W8" t="s">
        <v>136</v>
      </c>
      <c r="X8" t="s">
        <v>137</v>
      </c>
      <c r="Y8" t="s">
        <v>138</v>
      </c>
      <c r="Z8" t="s">
        <v>139</v>
      </c>
      <c r="AA8" t="s">
        <v>140</v>
      </c>
      <c r="AB8" t="s">
        <v>129</v>
      </c>
      <c r="AC8" t="s">
        <v>130</v>
      </c>
      <c r="AD8" t="s">
        <v>131</v>
      </c>
      <c r="AE8" t="s">
        <v>132</v>
      </c>
      <c r="AF8" t="s">
        <v>133</v>
      </c>
      <c r="AG8" t="s">
        <v>134</v>
      </c>
      <c r="AH8" t="s">
        <v>135</v>
      </c>
      <c r="AI8" t="s">
        <v>136</v>
      </c>
      <c r="AJ8" t="s">
        <v>137</v>
      </c>
      <c r="AK8" t="s">
        <v>138</v>
      </c>
      <c r="AL8" t="s">
        <v>139</v>
      </c>
      <c r="AM8" t="s">
        <v>140</v>
      </c>
    </row>
    <row r="9" spans="1:41" x14ac:dyDescent="0.25">
      <c r="A9" s="23" t="s">
        <v>217</v>
      </c>
      <c r="B9" s="23" t="s">
        <v>218</v>
      </c>
    </row>
    <row r="10" spans="1:41" x14ac:dyDescent="0.25">
      <c r="A10" s="24" t="s">
        <v>219</v>
      </c>
      <c r="B10" s="24"/>
      <c r="F10">
        <v>2000</v>
      </c>
      <c r="G10">
        <f t="shared" ref="G10:AM10" si="0">ROUNDUP(F10*(1+IF(G$8=$C$3,$C$2,0)),0)</f>
        <v>2000</v>
      </c>
      <c r="H10">
        <f t="shared" si="0"/>
        <v>2000</v>
      </c>
      <c r="I10">
        <f t="shared" si="0"/>
        <v>2000</v>
      </c>
      <c r="J10">
        <f t="shared" si="0"/>
        <v>2000</v>
      </c>
      <c r="K10">
        <f t="shared" si="0"/>
        <v>2000</v>
      </c>
      <c r="L10">
        <f t="shared" si="0"/>
        <v>2000</v>
      </c>
      <c r="M10">
        <f t="shared" si="0"/>
        <v>2000</v>
      </c>
      <c r="N10">
        <f t="shared" si="0"/>
        <v>2000</v>
      </c>
      <c r="O10">
        <f t="shared" si="0"/>
        <v>2000</v>
      </c>
      <c r="P10">
        <f t="shared" si="0"/>
        <v>2200</v>
      </c>
      <c r="Q10">
        <f t="shared" si="0"/>
        <v>2200</v>
      </c>
      <c r="R10">
        <f t="shared" si="0"/>
        <v>2200</v>
      </c>
      <c r="S10">
        <f t="shared" si="0"/>
        <v>2200</v>
      </c>
      <c r="T10">
        <f t="shared" si="0"/>
        <v>2200</v>
      </c>
      <c r="U10">
        <f t="shared" si="0"/>
        <v>2200</v>
      </c>
      <c r="V10">
        <f t="shared" si="0"/>
        <v>2200</v>
      </c>
      <c r="W10">
        <f t="shared" si="0"/>
        <v>2200</v>
      </c>
      <c r="X10">
        <f t="shared" si="0"/>
        <v>2200</v>
      </c>
      <c r="Y10">
        <f t="shared" si="0"/>
        <v>2200</v>
      </c>
      <c r="Z10">
        <f t="shared" si="0"/>
        <v>2200</v>
      </c>
      <c r="AA10">
        <f t="shared" si="0"/>
        <v>2200</v>
      </c>
      <c r="AB10">
        <f t="shared" si="0"/>
        <v>2420</v>
      </c>
      <c r="AC10">
        <f t="shared" si="0"/>
        <v>2420</v>
      </c>
      <c r="AD10">
        <f t="shared" si="0"/>
        <v>2420</v>
      </c>
      <c r="AE10">
        <f t="shared" si="0"/>
        <v>2420</v>
      </c>
      <c r="AF10">
        <f t="shared" si="0"/>
        <v>2420</v>
      </c>
      <c r="AG10">
        <f t="shared" si="0"/>
        <v>2420</v>
      </c>
      <c r="AH10">
        <f t="shared" si="0"/>
        <v>2420</v>
      </c>
      <c r="AI10">
        <f t="shared" si="0"/>
        <v>2420</v>
      </c>
      <c r="AJ10">
        <f t="shared" si="0"/>
        <v>2420</v>
      </c>
      <c r="AK10">
        <f t="shared" si="0"/>
        <v>2420</v>
      </c>
      <c r="AL10">
        <f t="shared" si="0"/>
        <v>2420</v>
      </c>
      <c r="AM10">
        <f t="shared" si="0"/>
        <v>2420</v>
      </c>
    </row>
    <row r="11" spans="1:41" x14ac:dyDescent="0.25">
      <c r="A11" s="24" t="s">
        <v>220</v>
      </c>
      <c r="B11" s="24"/>
      <c r="I11">
        <v>2000</v>
      </c>
      <c r="J11">
        <f t="shared" ref="J11:AM11" si="1">ROUNDUP(I11*(1+IF(J$8=$C$3,$C$2,0)),0)</f>
        <v>2000</v>
      </c>
      <c r="K11">
        <f t="shared" si="1"/>
        <v>2000</v>
      </c>
      <c r="L11">
        <f t="shared" si="1"/>
        <v>2000</v>
      </c>
      <c r="M11">
        <f t="shared" si="1"/>
        <v>2000</v>
      </c>
      <c r="N11">
        <f t="shared" si="1"/>
        <v>2000</v>
      </c>
      <c r="O11">
        <f t="shared" si="1"/>
        <v>2000</v>
      </c>
      <c r="P11">
        <f t="shared" si="1"/>
        <v>2200</v>
      </c>
      <c r="Q11">
        <f t="shared" si="1"/>
        <v>2200</v>
      </c>
      <c r="R11">
        <f t="shared" si="1"/>
        <v>2200</v>
      </c>
      <c r="S11">
        <f t="shared" si="1"/>
        <v>2200</v>
      </c>
      <c r="T11">
        <f t="shared" si="1"/>
        <v>2200</v>
      </c>
      <c r="U11">
        <f t="shared" si="1"/>
        <v>2200</v>
      </c>
      <c r="V11">
        <f t="shared" si="1"/>
        <v>2200</v>
      </c>
      <c r="W11">
        <f t="shared" si="1"/>
        <v>2200</v>
      </c>
      <c r="X11">
        <f t="shared" si="1"/>
        <v>2200</v>
      </c>
      <c r="Y11">
        <f t="shared" si="1"/>
        <v>2200</v>
      </c>
      <c r="Z11">
        <f t="shared" si="1"/>
        <v>2200</v>
      </c>
      <c r="AA11">
        <f t="shared" si="1"/>
        <v>2200</v>
      </c>
      <c r="AB11">
        <f t="shared" si="1"/>
        <v>2420</v>
      </c>
      <c r="AC11">
        <f t="shared" si="1"/>
        <v>2420</v>
      </c>
      <c r="AD11">
        <f t="shared" si="1"/>
        <v>2420</v>
      </c>
      <c r="AE11">
        <f t="shared" si="1"/>
        <v>2420</v>
      </c>
      <c r="AF11">
        <f t="shared" si="1"/>
        <v>2420</v>
      </c>
      <c r="AG11">
        <f t="shared" si="1"/>
        <v>2420</v>
      </c>
      <c r="AH11">
        <f t="shared" si="1"/>
        <v>2420</v>
      </c>
      <c r="AI11">
        <f t="shared" si="1"/>
        <v>2420</v>
      </c>
      <c r="AJ11">
        <f t="shared" si="1"/>
        <v>2420</v>
      </c>
      <c r="AK11">
        <f t="shared" si="1"/>
        <v>2420</v>
      </c>
      <c r="AL11">
        <f t="shared" si="1"/>
        <v>2420</v>
      </c>
      <c r="AM11">
        <f t="shared" si="1"/>
        <v>2420</v>
      </c>
    </row>
    <row r="12" spans="1:41" x14ac:dyDescent="0.25">
      <c r="A12" s="24" t="s">
        <v>221</v>
      </c>
      <c r="B12" s="24"/>
      <c r="P12">
        <v>2000</v>
      </c>
      <c r="Q12">
        <f t="shared" ref="Q12:AM12" si="2">ROUNDUP(P12*(1+IF(Q$8=$C$3,$C$2,0)),0)</f>
        <v>2000</v>
      </c>
      <c r="R12">
        <f t="shared" si="2"/>
        <v>2000</v>
      </c>
      <c r="S12">
        <f t="shared" si="2"/>
        <v>2000</v>
      </c>
      <c r="T12">
        <f t="shared" si="2"/>
        <v>2000</v>
      </c>
      <c r="U12">
        <f t="shared" si="2"/>
        <v>2000</v>
      </c>
      <c r="V12">
        <f t="shared" si="2"/>
        <v>2000</v>
      </c>
      <c r="W12">
        <f t="shared" si="2"/>
        <v>2000</v>
      </c>
      <c r="X12">
        <f t="shared" si="2"/>
        <v>2000</v>
      </c>
      <c r="Y12">
        <f t="shared" si="2"/>
        <v>2000</v>
      </c>
      <c r="Z12">
        <f t="shared" si="2"/>
        <v>2000</v>
      </c>
      <c r="AA12">
        <f t="shared" si="2"/>
        <v>2000</v>
      </c>
      <c r="AB12">
        <f t="shared" si="2"/>
        <v>2200</v>
      </c>
      <c r="AC12">
        <f t="shared" si="2"/>
        <v>2200</v>
      </c>
      <c r="AD12">
        <f t="shared" si="2"/>
        <v>2200</v>
      </c>
      <c r="AE12">
        <f t="shared" si="2"/>
        <v>2200</v>
      </c>
      <c r="AF12">
        <f t="shared" si="2"/>
        <v>2200</v>
      </c>
      <c r="AG12">
        <f t="shared" si="2"/>
        <v>2200</v>
      </c>
      <c r="AH12">
        <f t="shared" si="2"/>
        <v>2200</v>
      </c>
      <c r="AI12">
        <f t="shared" si="2"/>
        <v>2200</v>
      </c>
      <c r="AJ12">
        <f t="shared" si="2"/>
        <v>2200</v>
      </c>
      <c r="AK12">
        <f t="shared" si="2"/>
        <v>2200</v>
      </c>
      <c r="AL12">
        <f t="shared" si="2"/>
        <v>2200</v>
      </c>
      <c r="AM12">
        <f t="shared" si="2"/>
        <v>2200</v>
      </c>
    </row>
    <row r="13" spans="1:41" x14ac:dyDescent="0.25">
      <c r="A13" s="24"/>
      <c r="B13" s="24"/>
    </row>
    <row r="14" spans="1:41" x14ac:dyDescent="0.25">
      <c r="A14" s="23" t="s">
        <v>222</v>
      </c>
      <c r="B14" s="23"/>
    </row>
    <row r="15" spans="1:41" x14ac:dyDescent="0.25">
      <c r="A15" s="24" t="s">
        <v>223</v>
      </c>
      <c r="B15" s="24"/>
      <c r="O15">
        <v>2000</v>
      </c>
      <c r="P15">
        <f t="shared" ref="P15:AM15" si="3">ROUNDUP(O15*(1+IF(P8=$C$3,$C$2,0)),0)</f>
        <v>2200</v>
      </c>
      <c r="Q15">
        <f t="shared" si="3"/>
        <v>2200</v>
      </c>
      <c r="R15">
        <f t="shared" si="3"/>
        <v>2200</v>
      </c>
      <c r="S15">
        <f t="shared" si="3"/>
        <v>2200</v>
      </c>
      <c r="T15">
        <f t="shared" si="3"/>
        <v>2200</v>
      </c>
      <c r="U15">
        <f t="shared" si="3"/>
        <v>2200</v>
      </c>
      <c r="V15">
        <f t="shared" si="3"/>
        <v>2200</v>
      </c>
      <c r="W15">
        <f t="shared" si="3"/>
        <v>2200</v>
      </c>
      <c r="X15">
        <f t="shared" si="3"/>
        <v>2200</v>
      </c>
      <c r="Y15">
        <f t="shared" si="3"/>
        <v>2200</v>
      </c>
      <c r="Z15">
        <f t="shared" si="3"/>
        <v>2200</v>
      </c>
      <c r="AA15">
        <f t="shared" si="3"/>
        <v>2200</v>
      </c>
      <c r="AB15">
        <f t="shared" si="3"/>
        <v>2420</v>
      </c>
      <c r="AC15">
        <f t="shared" si="3"/>
        <v>2420</v>
      </c>
      <c r="AD15">
        <f t="shared" si="3"/>
        <v>2420</v>
      </c>
      <c r="AE15">
        <f t="shared" si="3"/>
        <v>2420</v>
      </c>
      <c r="AF15">
        <f t="shared" si="3"/>
        <v>2420</v>
      </c>
      <c r="AG15">
        <f t="shared" si="3"/>
        <v>2420</v>
      </c>
      <c r="AH15">
        <f t="shared" si="3"/>
        <v>2420</v>
      </c>
      <c r="AI15">
        <f t="shared" si="3"/>
        <v>2420</v>
      </c>
      <c r="AJ15">
        <f t="shared" si="3"/>
        <v>2420</v>
      </c>
      <c r="AK15">
        <f t="shared" si="3"/>
        <v>2420</v>
      </c>
      <c r="AL15">
        <f t="shared" si="3"/>
        <v>2420</v>
      </c>
      <c r="AM15">
        <f t="shared" si="3"/>
        <v>2420</v>
      </c>
    </row>
    <row r="16" spans="1:41" x14ac:dyDescent="0.25">
      <c r="A16" s="24" t="s">
        <v>224</v>
      </c>
      <c r="B16" s="24"/>
      <c r="C16">
        <v>2000</v>
      </c>
      <c r="D16">
        <f t="shared" ref="D16:AM16" si="4">ROUNDUP(C16*(1+IF(D$8=$C$3,$C$2,0)),0)</f>
        <v>2200</v>
      </c>
      <c r="E16">
        <f t="shared" si="4"/>
        <v>2200</v>
      </c>
      <c r="F16">
        <f t="shared" si="4"/>
        <v>2200</v>
      </c>
      <c r="G16">
        <f t="shared" si="4"/>
        <v>2200</v>
      </c>
      <c r="H16">
        <f t="shared" si="4"/>
        <v>2200</v>
      </c>
      <c r="I16">
        <f t="shared" si="4"/>
        <v>2200</v>
      </c>
      <c r="J16">
        <f t="shared" si="4"/>
        <v>2200</v>
      </c>
      <c r="K16">
        <f t="shared" si="4"/>
        <v>2200</v>
      </c>
      <c r="L16">
        <f t="shared" si="4"/>
        <v>2200</v>
      </c>
      <c r="M16">
        <f t="shared" si="4"/>
        <v>2200</v>
      </c>
      <c r="N16">
        <f t="shared" si="4"/>
        <v>2200</v>
      </c>
      <c r="O16">
        <f t="shared" si="4"/>
        <v>2200</v>
      </c>
      <c r="P16">
        <f t="shared" si="4"/>
        <v>2420</v>
      </c>
      <c r="Q16">
        <f t="shared" si="4"/>
        <v>2420</v>
      </c>
      <c r="R16">
        <f t="shared" si="4"/>
        <v>2420</v>
      </c>
      <c r="S16">
        <f t="shared" si="4"/>
        <v>2420</v>
      </c>
      <c r="T16">
        <f t="shared" si="4"/>
        <v>2420</v>
      </c>
      <c r="U16">
        <f t="shared" si="4"/>
        <v>2420</v>
      </c>
      <c r="V16">
        <f t="shared" si="4"/>
        <v>2420</v>
      </c>
      <c r="W16">
        <f t="shared" si="4"/>
        <v>2420</v>
      </c>
      <c r="X16">
        <f t="shared" si="4"/>
        <v>2420</v>
      </c>
      <c r="Y16">
        <f t="shared" si="4"/>
        <v>2420</v>
      </c>
      <c r="Z16">
        <f t="shared" si="4"/>
        <v>2420</v>
      </c>
      <c r="AA16">
        <f t="shared" si="4"/>
        <v>2420</v>
      </c>
      <c r="AB16">
        <f t="shared" si="4"/>
        <v>2662</v>
      </c>
      <c r="AC16">
        <f t="shared" si="4"/>
        <v>2662</v>
      </c>
      <c r="AD16">
        <f t="shared" si="4"/>
        <v>2662</v>
      </c>
      <c r="AE16">
        <f t="shared" si="4"/>
        <v>2662</v>
      </c>
      <c r="AF16">
        <f t="shared" si="4"/>
        <v>2662</v>
      </c>
      <c r="AG16">
        <f t="shared" si="4"/>
        <v>2662</v>
      </c>
      <c r="AH16">
        <f t="shared" si="4"/>
        <v>2662</v>
      </c>
      <c r="AI16">
        <f t="shared" si="4"/>
        <v>2662</v>
      </c>
      <c r="AJ16">
        <f t="shared" si="4"/>
        <v>2662</v>
      </c>
      <c r="AK16">
        <f t="shared" si="4"/>
        <v>2662</v>
      </c>
      <c r="AL16">
        <f t="shared" si="4"/>
        <v>2662</v>
      </c>
      <c r="AM16">
        <f t="shared" si="4"/>
        <v>2662</v>
      </c>
    </row>
    <row r="17" spans="1:39" x14ac:dyDescent="0.25">
      <c r="A17" s="24" t="s">
        <v>225</v>
      </c>
      <c r="B17" s="24"/>
      <c r="V17">
        <v>1500</v>
      </c>
      <c r="W17">
        <f t="shared" ref="W17:AM17" si="5">ROUNDUP(V17*(1+IF(W$8=$C$3,$C$2,0)),0)</f>
        <v>1500</v>
      </c>
      <c r="X17">
        <f t="shared" si="5"/>
        <v>1500</v>
      </c>
      <c r="Y17">
        <f t="shared" si="5"/>
        <v>1500</v>
      </c>
      <c r="Z17">
        <f t="shared" si="5"/>
        <v>1500</v>
      </c>
      <c r="AA17">
        <f t="shared" si="5"/>
        <v>1500</v>
      </c>
      <c r="AB17">
        <f t="shared" si="5"/>
        <v>1650</v>
      </c>
      <c r="AC17">
        <f t="shared" si="5"/>
        <v>1650</v>
      </c>
      <c r="AD17">
        <f t="shared" si="5"/>
        <v>1650</v>
      </c>
      <c r="AE17">
        <f t="shared" si="5"/>
        <v>1650</v>
      </c>
      <c r="AF17">
        <f t="shared" si="5"/>
        <v>1650</v>
      </c>
      <c r="AG17">
        <f t="shared" si="5"/>
        <v>1650</v>
      </c>
      <c r="AH17">
        <f t="shared" si="5"/>
        <v>1650</v>
      </c>
      <c r="AI17">
        <f t="shared" si="5"/>
        <v>1650</v>
      </c>
      <c r="AJ17">
        <f t="shared" si="5"/>
        <v>1650</v>
      </c>
      <c r="AK17">
        <f t="shared" si="5"/>
        <v>1650</v>
      </c>
      <c r="AL17">
        <f t="shared" si="5"/>
        <v>1650</v>
      </c>
      <c r="AM17">
        <f t="shared" si="5"/>
        <v>1650</v>
      </c>
    </row>
    <row r="18" spans="1:39" x14ac:dyDescent="0.25">
      <c r="A18" s="24" t="s">
        <v>226</v>
      </c>
      <c r="B18" s="24"/>
      <c r="V18">
        <v>1000</v>
      </c>
      <c r="W18">
        <f t="shared" ref="W18:AM18" si="6">ROUNDUP(V18*(1+IF(W$8=$C$3,$C$2,0)),0)</f>
        <v>1000</v>
      </c>
      <c r="X18">
        <f t="shared" si="6"/>
        <v>1000</v>
      </c>
      <c r="Y18">
        <f t="shared" si="6"/>
        <v>1000</v>
      </c>
      <c r="Z18">
        <f t="shared" si="6"/>
        <v>1000</v>
      </c>
      <c r="AA18">
        <f t="shared" si="6"/>
        <v>1000</v>
      </c>
      <c r="AB18">
        <f t="shared" si="6"/>
        <v>1100</v>
      </c>
      <c r="AC18">
        <f t="shared" si="6"/>
        <v>1100</v>
      </c>
      <c r="AD18">
        <f t="shared" si="6"/>
        <v>1100</v>
      </c>
      <c r="AE18">
        <f t="shared" si="6"/>
        <v>1100</v>
      </c>
      <c r="AF18">
        <f t="shared" si="6"/>
        <v>1100</v>
      </c>
      <c r="AG18">
        <f t="shared" si="6"/>
        <v>1100</v>
      </c>
      <c r="AH18">
        <f t="shared" si="6"/>
        <v>1100</v>
      </c>
      <c r="AI18">
        <f t="shared" si="6"/>
        <v>1100</v>
      </c>
      <c r="AJ18">
        <f t="shared" si="6"/>
        <v>1100</v>
      </c>
      <c r="AK18">
        <f t="shared" si="6"/>
        <v>1100</v>
      </c>
      <c r="AL18">
        <f t="shared" si="6"/>
        <v>1100</v>
      </c>
      <c r="AM18">
        <f t="shared" si="6"/>
        <v>1100</v>
      </c>
    </row>
    <row r="19" spans="1:39" x14ac:dyDescent="0.25">
      <c r="A19" s="24" t="s">
        <v>227</v>
      </c>
      <c r="B19" s="24"/>
      <c r="M19">
        <v>1500</v>
      </c>
      <c r="N19">
        <f t="shared" ref="N19:V19" si="7">ROUNDUP(M19*(1+IF(N$8=$C$3,$C$2,0)),0)</f>
        <v>1500</v>
      </c>
      <c r="O19">
        <f t="shared" si="7"/>
        <v>1500</v>
      </c>
      <c r="P19">
        <f t="shared" si="7"/>
        <v>1650</v>
      </c>
      <c r="Q19">
        <f t="shared" si="7"/>
        <v>1650</v>
      </c>
      <c r="R19">
        <f t="shared" si="7"/>
        <v>1650</v>
      </c>
      <c r="S19">
        <f t="shared" si="7"/>
        <v>1650</v>
      </c>
      <c r="T19">
        <f t="shared" si="7"/>
        <v>1650</v>
      </c>
      <c r="U19">
        <f t="shared" si="7"/>
        <v>1650</v>
      </c>
      <c r="V19">
        <f t="shared" si="7"/>
        <v>1650</v>
      </c>
      <c r="W19">
        <f t="shared" ref="W19:AM19" si="8">ROUNDUP(V19*(1+IF(W$8=$C$3,$C$2,0)),0)</f>
        <v>1650</v>
      </c>
      <c r="X19">
        <f t="shared" si="8"/>
        <v>1650</v>
      </c>
      <c r="Y19">
        <f t="shared" si="8"/>
        <v>1650</v>
      </c>
      <c r="Z19">
        <f t="shared" si="8"/>
        <v>1650</v>
      </c>
      <c r="AA19">
        <f t="shared" si="8"/>
        <v>1650</v>
      </c>
      <c r="AB19">
        <f t="shared" si="8"/>
        <v>1815</v>
      </c>
      <c r="AC19">
        <f t="shared" si="8"/>
        <v>1815</v>
      </c>
      <c r="AD19">
        <f t="shared" si="8"/>
        <v>1815</v>
      </c>
      <c r="AE19">
        <f t="shared" si="8"/>
        <v>1815</v>
      </c>
      <c r="AF19">
        <f t="shared" si="8"/>
        <v>1815</v>
      </c>
      <c r="AG19">
        <f t="shared" si="8"/>
        <v>1815</v>
      </c>
      <c r="AH19">
        <f t="shared" si="8"/>
        <v>1815</v>
      </c>
      <c r="AI19">
        <f t="shared" si="8"/>
        <v>1815</v>
      </c>
      <c r="AJ19">
        <f t="shared" si="8"/>
        <v>1815</v>
      </c>
      <c r="AK19">
        <f t="shared" si="8"/>
        <v>1815</v>
      </c>
      <c r="AL19">
        <f t="shared" si="8"/>
        <v>1815</v>
      </c>
      <c r="AM19">
        <f t="shared" si="8"/>
        <v>1815</v>
      </c>
    </row>
    <row r="20" spans="1:39" x14ac:dyDescent="0.25">
      <c r="A20" s="24"/>
      <c r="B20" s="24"/>
    </row>
    <row r="21" spans="1:39" x14ac:dyDescent="0.25">
      <c r="A21" s="23" t="s">
        <v>228</v>
      </c>
      <c r="B21" s="23"/>
    </row>
    <row r="22" spans="1:39" x14ac:dyDescent="0.25">
      <c r="A22" s="24" t="s">
        <v>229</v>
      </c>
      <c r="B22" s="24"/>
      <c r="C22">
        <v>1300</v>
      </c>
      <c r="D22">
        <f>ROUNDUP(C22*(1+IF(D$8=$C$3,$C$2,0)),0)</f>
        <v>1430</v>
      </c>
      <c r="E22">
        <f t="shared" ref="E22:AM22" si="9">ROUNDUP(D22*(1+IF(E$8=$C$3,$C$2,0)),0)</f>
        <v>1430</v>
      </c>
      <c r="F22">
        <f t="shared" si="9"/>
        <v>1430</v>
      </c>
      <c r="G22">
        <f t="shared" si="9"/>
        <v>1430</v>
      </c>
      <c r="H22">
        <f t="shared" si="9"/>
        <v>1430</v>
      </c>
      <c r="I22">
        <f t="shared" si="9"/>
        <v>1430</v>
      </c>
      <c r="J22">
        <f t="shared" si="9"/>
        <v>1430</v>
      </c>
      <c r="K22">
        <f t="shared" si="9"/>
        <v>1430</v>
      </c>
      <c r="L22">
        <f t="shared" si="9"/>
        <v>1430</v>
      </c>
      <c r="M22">
        <f t="shared" si="9"/>
        <v>1430</v>
      </c>
      <c r="N22">
        <f t="shared" si="9"/>
        <v>1430</v>
      </c>
      <c r="O22">
        <f t="shared" si="9"/>
        <v>1430</v>
      </c>
      <c r="P22">
        <f t="shared" si="9"/>
        <v>1573</v>
      </c>
      <c r="Q22">
        <f t="shared" si="9"/>
        <v>1573</v>
      </c>
      <c r="R22">
        <f t="shared" si="9"/>
        <v>1573</v>
      </c>
      <c r="S22">
        <f t="shared" si="9"/>
        <v>1573</v>
      </c>
      <c r="T22">
        <f t="shared" si="9"/>
        <v>1573</v>
      </c>
      <c r="U22">
        <f t="shared" si="9"/>
        <v>1573</v>
      </c>
      <c r="V22">
        <f t="shared" si="9"/>
        <v>1573</v>
      </c>
      <c r="W22">
        <f t="shared" si="9"/>
        <v>1573</v>
      </c>
      <c r="X22">
        <f t="shared" si="9"/>
        <v>1573</v>
      </c>
      <c r="Y22">
        <f t="shared" si="9"/>
        <v>1573</v>
      </c>
      <c r="Z22">
        <f t="shared" si="9"/>
        <v>1573</v>
      </c>
      <c r="AA22">
        <f t="shared" si="9"/>
        <v>1573</v>
      </c>
      <c r="AB22">
        <f t="shared" si="9"/>
        <v>1731</v>
      </c>
      <c r="AC22">
        <f t="shared" si="9"/>
        <v>1731</v>
      </c>
      <c r="AD22">
        <f t="shared" si="9"/>
        <v>1731</v>
      </c>
      <c r="AE22">
        <f t="shared" si="9"/>
        <v>1731</v>
      </c>
      <c r="AF22">
        <f t="shared" si="9"/>
        <v>1731</v>
      </c>
      <c r="AG22">
        <f t="shared" si="9"/>
        <v>1731</v>
      </c>
      <c r="AH22">
        <f t="shared" si="9"/>
        <v>1731</v>
      </c>
      <c r="AI22">
        <f t="shared" si="9"/>
        <v>1731</v>
      </c>
      <c r="AJ22">
        <f t="shared" si="9"/>
        <v>1731</v>
      </c>
      <c r="AK22">
        <f t="shared" si="9"/>
        <v>1731</v>
      </c>
      <c r="AL22">
        <f t="shared" si="9"/>
        <v>1731</v>
      </c>
      <c r="AM22">
        <f t="shared" si="9"/>
        <v>1731</v>
      </c>
    </row>
    <row r="23" spans="1:39" x14ac:dyDescent="0.25">
      <c r="A23" s="24" t="s">
        <v>230</v>
      </c>
      <c r="B23" s="24"/>
      <c r="V23">
        <v>700</v>
      </c>
      <c r="W23">
        <f t="shared" ref="W23:AM23" si="10">ROUNDUP(V23*(1+IF(W$8=$C$3,$C$2,0)),0)</f>
        <v>700</v>
      </c>
      <c r="X23">
        <f t="shared" si="10"/>
        <v>700</v>
      </c>
      <c r="Y23">
        <f t="shared" si="10"/>
        <v>700</v>
      </c>
      <c r="Z23">
        <f t="shared" si="10"/>
        <v>700</v>
      </c>
      <c r="AA23">
        <f t="shared" si="10"/>
        <v>700</v>
      </c>
      <c r="AB23">
        <f t="shared" si="10"/>
        <v>770</v>
      </c>
      <c r="AC23">
        <f t="shared" si="10"/>
        <v>770</v>
      </c>
      <c r="AD23">
        <f t="shared" si="10"/>
        <v>770</v>
      </c>
      <c r="AE23">
        <f t="shared" si="10"/>
        <v>770</v>
      </c>
      <c r="AF23">
        <f t="shared" si="10"/>
        <v>770</v>
      </c>
      <c r="AG23">
        <f t="shared" si="10"/>
        <v>770</v>
      </c>
      <c r="AH23">
        <f t="shared" si="10"/>
        <v>770</v>
      </c>
      <c r="AI23">
        <f t="shared" si="10"/>
        <v>770</v>
      </c>
      <c r="AJ23">
        <f t="shared" si="10"/>
        <v>770</v>
      </c>
      <c r="AK23">
        <f t="shared" si="10"/>
        <v>770</v>
      </c>
      <c r="AL23">
        <f t="shared" si="10"/>
        <v>770</v>
      </c>
      <c r="AM23">
        <f t="shared" si="10"/>
        <v>770</v>
      </c>
    </row>
    <row r="24" spans="1:39" x14ac:dyDescent="0.25">
      <c r="A24" s="24" t="s">
        <v>231</v>
      </c>
      <c r="B24" s="24"/>
      <c r="V24">
        <v>700</v>
      </c>
      <c r="W24">
        <f t="shared" ref="W24:AM24" si="11">ROUNDUP(V24*(1+IF(W$8=$C$3,$C$2,0)),0)</f>
        <v>700</v>
      </c>
      <c r="X24">
        <f t="shared" si="11"/>
        <v>700</v>
      </c>
      <c r="Y24">
        <f t="shared" si="11"/>
        <v>700</v>
      </c>
      <c r="Z24">
        <f t="shared" si="11"/>
        <v>700</v>
      </c>
      <c r="AA24">
        <f t="shared" si="11"/>
        <v>700</v>
      </c>
      <c r="AB24">
        <f t="shared" si="11"/>
        <v>770</v>
      </c>
      <c r="AC24">
        <f t="shared" si="11"/>
        <v>770</v>
      </c>
      <c r="AD24">
        <f t="shared" si="11"/>
        <v>770</v>
      </c>
      <c r="AE24">
        <f t="shared" si="11"/>
        <v>770</v>
      </c>
      <c r="AF24">
        <f t="shared" si="11"/>
        <v>770</v>
      </c>
      <c r="AG24">
        <f t="shared" si="11"/>
        <v>770</v>
      </c>
      <c r="AH24">
        <f t="shared" si="11"/>
        <v>770</v>
      </c>
      <c r="AI24">
        <f t="shared" si="11"/>
        <v>770</v>
      </c>
      <c r="AJ24">
        <f t="shared" si="11"/>
        <v>770</v>
      </c>
      <c r="AK24">
        <f t="shared" si="11"/>
        <v>770</v>
      </c>
      <c r="AL24">
        <f t="shared" si="11"/>
        <v>770</v>
      </c>
      <c r="AM24">
        <f t="shared" si="11"/>
        <v>770</v>
      </c>
    </row>
    <row r="25" spans="1:39" x14ac:dyDescent="0.25">
      <c r="A25" s="24" t="s">
        <v>232</v>
      </c>
      <c r="B25" s="24"/>
      <c r="V25">
        <v>200</v>
      </c>
      <c r="W25">
        <f t="shared" ref="W25:AM25" si="12">ROUNDUP(V25*(1+IF(W$8=$C$3,$C$2,0)),0)</f>
        <v>200</v>
      </c>
      <c r="X25">
        <f t="shared" si="12"/>
        <v>200</v>
      </c>
      <c r="Y25">
        <f t="shared" si="12"/>
        <v>200</v>
      </c>
      <c r="Z25">
        <f t="shared" si="12"/>
        <v>200</v>
      </c>
      <c r="AA25">
        <f t="shared" si="12"/>
        <v>200</v>
      </c>
      <c r="AB25">
        <f t="shared" si="12"/>
        <v>220</v>
      </c>
      <c r="AC25">
        <f t="shared" si="12"/>
        <v>220</v>
      </c>
      <c r="AD25">
        <f t="shared" si="12"/>
        <v>220</v>
      </c>
      <c r="AE25">
        <f t="shared" si="12"/>
        <v>220</v>
      </c>
      <c r="AF25">
        <f t="shared" si="12"/>
        <v>220</v>
      </c>
      <c r="AG25">
        <f t="shared" si="12"/>
        <v>220</v>
      </c>
      <c r="AH25">
        <f t="shared" si="12"/>
        <v>220</v>
      </c>
      <c r="AI25">
        <f t="shared" si="12"/>
        <v>220</v>
      </c>
      <c r="AJ25">
        <f t="shared" si="12"/>
        <v>220</v>
      </c>
      <c r="AK25">
        <f t="shared" si="12"/>
        <v>220</v>
      </c>
      <c r="AL25">
        <f t="shared" si="12"/>
        <v>220</v>
      </c>
      <c r="AM25">
        <f t="shared" si="12"/>
        <v>220</v>
      </c>
    </row>
    <row r="26" spans="1:39" x14ac:dyDescent="0.25">
      <c r="A26" s="24" t="s">
        <v>233</v>
      </c>
      <c r="B26" s="24"/>
      <c r="V26">
        <v>200</v>
      </c>
      <c r="W26">
        <f t="shared" ref="W26:AM26" si="13">ROUNDUP(V26*(1+IF(W$8=$C$3,$C$2,0)),0)</f>
        <v>200</v>
      </c>
      <c r="X26">
        <f t="shared" si="13"/>
        <v>200</v>
      </c>
      <c r="Y26">
        <f t="shared" si="13"/>
        <v>200</v>
      </c>
      <c r="Z26">
        <f t="shared" si="13"/>
        <v>200</v>
      </c>
      <c r="AA26">
        <f t="shared" si="13"/>
        <v>200</v>
      </c>
      <c r="AB26">
        <f t="shared" si="13"/>
        <v>220</v>
      </c>
      <c r="AC26">
        <f t="shared" si="13"/>
        <v>220</v>
      </c>
      <c r="AD26">
        <f t="shared" si="13"/>
        <v>220</v>
      </c>
      <c r="AE26">
        <f t="shared" si="13"/>
        <v>220</v>
      </c>
      <c r="AF26">
        <f t="shared" si="13"/>
        <v>220</v>
      </c>
      <c r="AG26">
        <f t="shared" si="13"/>
        <v>220</v>
      </c>
      <c r="AH26">
        <f t="shared" si="13"/>
        <v>220</v>
      </c>
      <c r="AI26">
        <f t="shared" si="13"/>
        <v>220</v>
      </c>
      <c r="AJ26">
        <f t="shared" si="13"/>
        <v>220</v>
      </c>
      <c r="AK26">
        <f t="shared" si="13"/>
        <v>220</v>
      </c>
      <c r="AL26">
        <f t="shared" si="13"/>
        <v>220</v>
      </c>
      <c r="AM26">
        <f t="shared" si="13"/>
        <v>220</v>
      </c>
    </row>
    <row r="28" spans="1:39" x14ac:dyDescent="0.25">
      <c r="A28" s="23" t="s">
        <v>234</v>
      </c>
      <c r="B28" s="23"/>
    </row>
    <row r="29" spans="1:39" x14ac:dyDescent="0.25">
      <c r="A29" s="24" t="s">
        <v>235</v>
      </c>
      <c r="B29" s="24"/>
      <c r="I29">
        <v>2000</v>
      </c>
      <c r="J29">
        <f t="shared" ref="J29:AM29" si="14">ROUNDUP(I29*(1+IF(J$8=$C$3,$C$2,0)),0)</f>
        <v>2000</v>
      </c>
      <c r="K29">
        <f t="shared" si="14"/>
        <v>2000</v>
      </c>
      <c r="L29">
        <f t="shared" si="14"/>
        <v>2000</v>
      </c>
      <c r="M29">
        <f t="shared" si="14"/>
        <v>2000</v>
      </c>
      <c r="N29">
        <f t="shared" si="14"/>
        <v>2000</v>
      </c>
      <c r="O29">
        <f t="shared" si="14"/>
        <v>2000</v>
      </c>
      <c r="P29">
        <f t="shared" si="14"/>
        <v>2200</v>
      </c>
      <c r="Q29">
        <f t="shared" si="14"/>
        <v>2200</v>
      </c>
      <c r="R29">
        <f t="shared" si="14"/>
        <v>2200</v>
      </c>
      <c r="S29">
        <f t="shared" si="14"/>
        <v>2200</v>
      </c>
      <c r="T29">
        <f t="shared" si="14"/>
        <v>2200</v>
      </c>
      <c r="U29">
        <f t="shared" si="14"/>
        <v>2200</v>
      </c>
      <c r="V29">
        <f t="shared" si="14"/>
        <v>2200</v>
      </c>
      <c r="W29">
        <f t="shared" si="14"/>
        <v>2200</v>
      </c>
      <c r="X29">
        <f t="shared" si="14"/>
        <v>2200</v>
      </c>
      <c r="Y29">
        <f t="shared" si="14"/>
        <v>2200</v>
      </c>
      <c r="Z29">
        <f t="shared" si="14"/>
        <v>2200</v>
      </c>
      <c r="AA29">
        <f t="shared" si="14"/>
        <v>2200</v>
      </c>
      <c r="AB29">
        <f t="shared" si="14"/>
        <v>2420</v>
      </c>
      <c r="AC29">
        <f t="shared" si="14"/>
        <v>2420</v>
      </c>
      <c r="AD29">
        <f t="shared" si="14"/>
        <v>2420</v>
      </c>
      <c r="AE29">
        <f t="shared" si="14"/>
        <v>2420</v>
      </c>
      <c r="AF29">
        <f t="shared" si="14"/>
        <v>2420</v>
      </c>
      <c r="AG29">
        <f t="shared" si="14"/>
        <v>2420</v>
      </c>
      <c r="AH29">
        <f t="shared" si="14"/>
        <v>2420</v>
      </c>
      <c r="AI29">
        <f t="shared" si="14"/>
        <v>2420</v>
      </c>
      <c r="AJ29">
        <f t="shared" si="14"/>
        <v>2420</v>
      </c>
      <c r="AK29">
        <f t="shared" si="14"/>
        <v>2420</v>
      </c>
      <c r="AL29">
        <f t="shared" si="14"/>
        <v>2420</v>
      </c>
      <c r="AM29">
        <f t="shared" si="14"/>
        <v>2420</v>
      </c>
    </row>
    <row r="30" spans="1:39" x14ac:dyDescent="0.25">
      <c r="A30" s="24" t="s">
        <v>236</v>
      </c>
      <c r="B30" s="24"/>
      <c r="C30">
        <v>900</v>
      </c>
      <c r="D30">
        <v>900</v>
      </c>
      <c r="E30">
        <f t="shared" ref="E30:AM30" si="15">ROUNDUP(D30*(1+IF(E$8=$C$3,$C$2,0)),0)</f>
        <v>900</v>
      </c>
      <c r="F30">
        <f t="shared" si="15"/>
        <v>900</v>
      </c>
      <c r="G30">
        <f t="shared" si="15"/>
        <v>900</v>
      </c>
      <c r="H30">
        <f t="shared" si="15"/>
        <v>900</v>
      </c>
      <c r="I30">
        <f t="shared" si="15"/>
        <v>900</v>
      </c>
      <c r="J30">
        <f t="shared" si="15"/>
        <v>900</v>
      </c>
      <c r="K30">
        <f t="shared" si="15"/>
        <v>900</v>
      </c>
      <c r="L30">
        <f t="shared" si="15"/>
        <v>900</v>
      </c>
      <c r="M30">
        <f t="shared" si="15"/>
        <v>900</v>
      </c>
      <c r="N30">
        <f t="shared" si="15"/>
        <v>900</v>
      </c>
      <c r="O30">
        <f t="shared" si="15"/>
        <v>900</v>
      </c>
      <c r="P30">
        <f t="shared" si="15"/>
        <v>990</v>
      </c>
      <c r="Q30">
        <f t="shared" si="15"/>
        <v>990</v>
      </c>
      <c r="R30">
        <f t="shared" si="15"/>
        <v>990</v>
      </c>
      <c r="S30">
        <f t="shared" si="15"/>
        <v>990</v>
      </c>
      <c r="T30">
        <f t="shared" si="15"/>
        <v>990</v>
      </c>
      <c r="U30">
        <f t="shared" si="15"/>
        <v>990</v>
      </c>
      <c r="V30">
        <f t="shared" si="15"/>
        <v>990</v>
      </c>
      <c r="W30">
        <f t="shared" si="15"/>
        <v>990</v>
      </c>
      <c r="X30">
        <f t="shared" si="15"/>
        <v>990</v>
      </c>
      <c r="Y30">
        <f t="shared" si="15"/>
        <v>990</v>
      </c>
      <c r="Z30">
        <f t="shared" si="15"/>
        <v>990</v>
      </c>
      <c r="AA30">
        <f t="shared" si="15"/>
        <v>990</v>
      </c>
      <c r="AB30">
        <f t="shared" si="15"/>
        <v>1089</v>
      </c>
      <c r="AC30">
        <f t="shared" si="15"/>
        <v>1089</v>
      </c>
      <c r="AD30">
        <f t="shared" si="15"/>
        <v>1089</v>
      </c>
      <c r="AE30">
        <f t="shared" si="15"/>
        <v>1089</v>
      </c>
      <c r="AF30">
        <f t="shared" si="15"/>
        <v>1089</v>
      </c>
      <c r="AG30">
        <f t="shared" si="15"/>
        <v>1089</v>
      </c>
      <c r="AH30">
        <f t="shared" si="15"/>
        <v>1089</v>
      </c>
      <c r="AI30">
        <f t="shared" si="15"/>
        <v>1089</v>
      </c>
      <c r="AJ30">
        <f t="shared" si="15"/>
        <v>1089</v>
      </c>
      <c r="AK30">
        <f t="shared" si="15"/>
        <v>1089</v>
      </c>
      <c r="AL30">
        <f t="shared" si="15"/>
        <v>1089</v>
      </c>
      <c r="AM30">
        <f t="shared" si="15"/>
        <v>1089</v>
      </c>
    </row>
    <row r="31" spans="1:39" x14ac:dyDescent="0.25">
      <c r="A31" s="24" t="s">
        <v>237</v>
      </c>
      <c r="B31" s="24"/>
    </row>
    <row r="32" spans="1:39" x14ac:dyDescent="0.25">
      <c r="A32" s="24" t="s">
        <v>238</v>
      </c>
      <c r="B32" s="24"/>
      <c r="V32">
        <v>900</v>
      </c>
      <c r="W32">
        <f>ROUNDUP(V32*(1+IF(W$8=$C$3,$C$2,0)),0)</f>
        <v>900</v>
      </c>
      <c r="X32">
        <f t="shared" ref="X32:AM32" si="16">ROUNDUP(W32*(1+IF(X$8=$C$3,$C$2,0)),0)</f>
        <v>900</v>
      </c>
      <c r="Y32">
        <f t="shared" si="16"/>
        <v>900</v>
      </c>
      <c r="Z32">
        <f t="shared" si="16"/>
        <v>900</v>
      </c>
      <c r="AA32">
        <f t="shared" si="16"/>
        <v>900</v>
      </c>
      <c r="AB32">
        <f t="shared" si="16"/>
        <v>990</v>
      </c>
      <c r="AC32">
        <f t="shared" si="16"/>
        <v>990</v>
      </c>
      <c r="AD32">
        <f t="shared" si="16"/>
        <v>990</v>
      </c>
      <c r="AE32">
        <f t="shared" si="16"/>
        <v>990</v>
      </c>
      <c r="AF32">
        <f t="shared" si="16"/>
        <v>990</v>
      </c>
      <c r="AG32">
        <f t="shared" si="16"/>
        <v>990</v>
      </c>
      <c r="AH32">
        <f t="shared" si="16"/>
        <v>990</v>
      </c>
      <c r="AI32">
        <f t="shared" si="16"/>
        <v>990</v>
      </c>
      <c r="AJ32">
        <f t="shared" si="16"/>
        <v>990</v>
      </c>
      <c r="AK32">
        <f t="shared" si="16"/>
        <v>990</v>
      </c>
      <c r="AL32">
        <f t="shared" si="16"/>
        <v>990</v>
      </c>
      <c r="AM32">
        <f t="shared" si="16"/>
        <v>990</v>
      </c>
    </row>
    <row r="35" spans="1:39" x14ac:dyDescent="0.25">
      <c r="A35" s="25" t="s">
        <v>239</v>
      </c>
      <c r="B35" s="25"/>
      <c r="C35" s="76">
        <f>SUM(C10:C32)</f>
        <v>4200</v>
      </c>
      <c r="D35" s="76">
        <f t="shared" ref="D35:AM35" si="17">SUM(D10:D32)</f>
        <v>4530</v>
      </c>
      <c r="E35" s="76">
        <f t="shared" si="17"/>
        <v>4530</v>
      </c>
      <c r="F35" s="76">
        <f t="shared" si="17"/>
        <v>6530</v>
      </c>
      <c r="G35" s="76">
        <f t="shared" si="17"/>
        <v>6530</v>
      </c>
      <c r="H35" s="76">
        <f t="shared" si="17"/>
        <v>6530</v>
      </c>
      <c r="I35" s="76">
        <f t="shared" si="17"/>
        <v>10530</v>
      </c>
      <c r="J35" s="76">
        <f t="shared" si="17"/>
        <v>10530</v>
      </c>
      <c r="K35" s="76">
        <f t="shared" si="17"/>
        <v>10530</v>
      </c>
      <c r="L35" s="76">
        <f t="shared" si="17"/>
        <v>10530</v>
      </c>
      <c r="M35" s="76">
        <f t="shared" si="17"/>
        <v>12030</v>
      </c>
      <c r="N35" s="76">
        <f t="shared" si="17"/>
        <v>12030</v>
      </c>
      <c r="O35" s="76">
        <f t="shared" si="17"/>
        <v>14030</v>
      </c>
      <c r="P35" s="76">
        <f t="shared" si="17"/>
        <v>17433</v>
      </c>
      <c r="Q35" s="76">
        <f t="shared" si="17"/>
        <v>17433</v>
      </c>
      <c r="R35" s="76">
        <f t="shared" si="17"/>
        <v>17433</v>
      </c>
      <c r="S35" s="76">
        <f t="shared" si="17"/>
        <v>17433</v>
      </c>
      <c r="T35" s="76">
        <f t="shared" si="17"/>
        <v>17433</v>
      </c>
      <c r="U35" s="76">
        <f t="shared" si="17"/>
        <v>17433</v>
      </c>
      <c r="V35" s="76">
        <f t="shared" si="17"/>
        <v>22633</v>
      </c>
      <c r="W35" s="76">
        <f t="shared" si="17"/>
        <v>22633</v>
      </c>
      <c r="X35" s="76">
        <f t="shared" si="17"/>
        <v>22633</v>
      </c>
      <c r="Y35" s="76">
        <f t="shared" si="17"/>
        <v>22633</v>
      </c>
      <c r="Z35" s="76">
        <f t="shared" si="17"/>
        <v>22633</v>
      </c>
      <c r="AA35" s="76">
        <f t="shared" si="17"/>
        <v>22633</v>
      </c>
      <c r="AB35" s="76">
        <f t="shared" si="17"/>
        <v>24897</v>
      </c>
      <c r="AC35" s="76">
        <f t="shared" si="17"/>
        <v>24897</v>
      </c>
      <c r="AD35" s="76">
        <f t="shared" si="17"/>
        <v>24897</v>
      </c>
      <c r="AE35" s="76">
        <f t="shared" si="17"/>
        <v>24897</v>
      </c>
      <c r="AF35" s="76">
        <f t="shared" si="17"/>
        <v>24897</v>
      </c>
      <c r="AG35" s="76">
        <f t="shared" si="17"/>
        <v>24897</v>
      </c>
      <c r="AH35" s="76">
        <f t="shared" si="17"/>
        <v>24897</v>
      </c>
      <c r="AI35" s="76">
        <f t="shared" si="17"/>
        <v>24897</v>
      </c>
      <c r="AJ35" s="76">
        <f t="shared" si="17"/>
        <v>24897</v>
      </c>
      <c r="AK35" s="76">
        <f t="shared" si="17"/>
        <v>24897</v>
      </c>
      <c r="AL35" s="76">
        <f t="shared" si="17"/>
        <v>24897</v>
      </c>
      <c r="AM35" s="76">
        <f t="shared" si="17"/>
        <v>24897</v>
      </c>
    </row>
    <row r="36" spans="1:39" x14ac:dyDescent="0.25">
      <c r="A36" s="89" t="s">
        <v>215</v>
      </c>
      <c r="B36" s="89"/>
      <c r="C36" s="76">
        <f>C35*$C$4</f>
        <v>1050</v>
      </c>
      <c r="D36" s="76">
        <f t="shared" ref="D36:AM36" si="18">D35*$C$4</f>
        <v>1132.5</v>
      </c>
      <c r="E36" s="76">
        <f t="shared" si="18"/>
        <v>1132.5</v>
      </c>
      <c r="F36" s="76">
        <f t="shared" si="18"/>
        <v>1632.5</v>
      </c>
      <c r="G36" s="76">
        <f t="shared" si="18"/>
        <v>1632.5</v>
      </c>
      <c r="H36" s="76">
        <f t="shared" si="18"/>
        <v>1632.5</v>
      </c>
      <c r="I36" s="76">
        <f t="shared" si="18"/>
        <v>2632.5</v>
      </c>
      <c r="J36" s="76">
        <f t="shared" si="18"/>
        <v>2632.5</v>
      </c>
      <c r="K36" s="76">
        <f t="shared" si="18"/>
        <v>2632.5</v>
      </c>
      <c r="L36" s="76">
        <f t="shared" si="18"/>
        <v>2632.5</v>
      </c>
      <c r="M36" s="76">
        <f t="shared" si="18"/>
        <v>3007.5</v>
      </c>
      <c r="N36" s="76">
        <f t="shared" si="18"/>
        <v>3007.5</v>
      </c>
      <c r="O36" s="76">
        <f t="shared" si="18"/>
        <v>3507.5</v>
      </c>
      <c r="P36" s="76">
        <f t="shared" si="18"/>
        <v>4358.25</v>
      </c>
      <c r="Q36" s="76">
        <f t="shared" si="18"/>
        <v>4358.25</v>
      </c>
      <c r="R36" s="76">
        <f t="shared" si="18"/>
        <v>4358.25</v>
      </c>
      <c r="S36" s="76">
        <f t="shared" si="18"/>
        <v>4358.25</v>
      </c>
      <c r="T36" s="76">
        <f t="shared" si="18"/>
        <v>4358.25</v>
      </c>
      <c r="U36" s="76">
        <f t="shared" si="18"/>
        <v>4358.25</v>
      </c>
      <c r="V36" s="76">
        <f t="shared" si="18"/>
        <v>5658.25</v>
      </c>
      <c r="W36" s="76">
        <f t="shared" si="18"/>
        <v>5658.25</v>
      </c>
      <c r="X36" s="76">
        <f t="shared" si="18"/>
        <v>5658.25</v>
      </c>
      <c r="Y36" s="76">
        <f t="shared" si="18"/>
        <v>5658.25</v>
      </c>
      <c r="Z36" s="76">
        <f t="shared" si="18"/>
        <v>5658.25</v>
      </c>
      <c r="AA36" s="76">
        <f t="shared" si="18"/>
        <v>5658.25</v>
      </c>
      <c r="AB36" s="76">
        <f t="shared" si="18"/>
        <v>6224.25</v>
      </c>
      <c r="AC36" s="76">
        <f t="shared" si="18"/>
        <v>6224.25</v>
      </c>
      <c r="AD36" s="76">
        <f t="shared" si="18"/>
        <v>6224.25</v>
      </c>
      <c r="AE36" s="76">
        <f t="shared" si="18"/>
        <v>6224.25</v>
      </c>
      <c r="AF36" s="76">
        <f t="shared" si="18"/>
        <v>6224.25</v>
      </c>
      <c r="AG36" s="76">
        <f t="shared" si="18"/>
        <v>6224.25</v>
      </c>
      <c r="AH36" s="76">
        <f t="shared" si="18"/>
        <v>6224.25</v>
      </c>
      <c r="AI36" s="76">
        <f t="shared" si="18"/>
        <v>6224.25</v>
      </c>
      <c r="AJ36" s="76">
        <f t="shared" si="18"/>
        <v>6224.25</v>
      </c>
      <c r="AK36" s="76">
        <f t="shared" si="18"/>
        <v>6224.25</v>
      </c>
      <c r="AL36" s="76">
        <f t="shared" si="18"/>
        <v>6224.25</v>
      </c>
      <c r="AM36" s="76">
        <f t="shared" si="18"/>
        <v>6224.25</v>
      </c>
    </row>
    <row r="37" spans="1:39" x14ac:dyDescent="0.25">
      <c r="A37" s="89" t="s">
        <v>216</v>
      </c>
      <c r="B37" s="89"/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f t="shared" ref="P37:AM37" si="19">P35*$C$5</f>
        <v>2614.9499999999998</v>
      </c>
      <c r="Q37" s="76">
        <f t="shared" si="19"/>
        <v>2614.9499999999998</v>
      </c>
      <c r="R37" s="76">
        <f t="shared" si="19"/>
        <v>2614.9499999999998</v>
      </c>
      <c r="S37" s="76">
        <f t="shared" si="19"/>
        <v>2614.9499999999998</v>
      </c>
      <c r="T37" s="76">
        <f t="shared" si="19"/>
        <v>2614.9499999999998</v>
      </c>
      <c r="U37" s="76">
        <f t="shared" si="19"/>
        <v>2614.9499999999998</v>
      </c>
      <c r="V37" s="76">
        <f t="shared" si="19"/>
        <v>3394.95</v>
      </c>
      <c r="W37" s="76">
        <f t="shared" si="19"/>
        <v>3394.95</v>
      </c>
      <c r="X37" s="76">
        <f t="shared" si="19"/>
        <v>3394.95</v>
      </c>
      <c r="Y37" s="76">
        <f t="shared" si="19"/>
        <v>3394.95</v>
      </c>
      <c r="Z37" s="76">
        <f t="shared" si="19"/>
        <v>3394.95</v>
      </c>
      <c r="AA37" s="76">
        <f t="shared" si="19"/>
        <v>3394.95</v>
      </c>
      <c r="AB37" s="76">
        <f t="shared" si="19"/>
        <v>3734.5499999999997</v>
      </c>
      <c r="AC37" s="76">
        <f t="shared" si="19"/>
        <v>3734.5499999999997</v>
      </c>
      <c r="AD37" s="76">
        <f t="shared" si="19"/>
        <v>3734.5499999999997</v>
      </c>
      <c r="AE37" s="76">
        <f t="shared" si="19"/>
        <v>3734.5499999999997</v>
      </c>
      <c r="AF37" s="76">
        <f t="shared" si="19"/>
        <v>3734.5499999999997</v>
      </c>
      <c r="AG37" s="76">
        <f t="shared" si="19"/>
        <v>3734.5499999999997</v>
      </c>
      <c r="AH37" s="76">
        <f t="shared" si="19"/>
        <v>3734.5499999999997</v>
      </c>
      <c r="AI37" s="76">
        <f t="shared" si="19"/>
        <v>3734.5499999999997</v>
      </c>
      <c r="AJ37" s="76">
        <f t="shared" si="19"/>
        <v>3734.5499999999997</v>
      </c>
      <c r="AK37" s="76">
        <f t="shared" si="19"/>
        <v>3734.5499999999997</v>
      </c>
      <c r="AL37" s="76">
        <f t="shared" si="19"/>
        <v>3734.5499999999997</v>
      </c>
      <c r="AM37" s="76">
        <f t="shared" si="19"/>
        <v>3734.5499999999997</v>
      </c>
    </row>
    <row r="38" spans="1:39" x14ac:dyDescent="0.25">
      <c r="A38" s="25" t="s">
        <v>240</v>
      </c>
      <c r="B38" s="25"/>
      <c r="C38" s="85">
        <f>SUM(C35:C37)</f>
        <v>5250</v>
      </c>
      <c r="D38" s="85">
        <f t="shared" ref="D38:AM38" si="20">SUM(D35:D37)</f>
        <v>5662.5</v>
      </c>
      <c r="E38" s="85">
        <f t="shared" si="20"/>
        <v>5662.5</v>
      </c>
      <c r="F38" s="85">
        <f t="shared" si="20"/>
        <v>8162.5</v>
      </c>
      <c r="G38" s="85">
        <f t="shared" si="20"/>
        <v>8162.5</v>
      </c>
      <c r="H38" s="85">
        <f t="shared" si="20"/>
        <v>8162.5</v>
      </c>
      <c r="I38" s="85">
        <f t="shared" si="20"/>
        <v>13162.5</v>
      </c>
      <c r="J38" s="85">
        <f t="shared" si="20"/>
        <v>13162.5</v>
      </c>
      <c r="K38" s="85">
        <f t="shared" si="20"/>
        <v>13162.5</v>
      </c>
      <c r="L38" s="85">
        <f t="shared" si="20"/>
        <v>13162.5</v>
      </c>
      <c r="M38" s="85">
        <f t="shared" si="20"/>
        <v>15037.5</v>
      </c>
      <c r="N38" s="85">
        <f t="shared" si="20"/>
        <v>15037.5</v>
      </c>
      <c r="O38" s="85">
        <f t="shared" si="20"/>
        <v>17537.5</v>
      </c>
      <c r="P38" s="85">
        <f t="shared" si="20"/>
        <v>24406.2</v>
      </c>
      <c r="Q38" s="85">
        <f t="shared" si="20"/>
        <v>24406.2</v>
      </c>
      <c r="R38" s="85">
        <f t="shared" si="20"/>
        <v>24406.2</v>
      </c>
      <c r="S38" s="85">
        <f t="shared" si="20"/>
        <v>24406.2</v>
      </c>
      <c r="T38" s="85">
        <f t="shared" si="20"/>
        <v>24406.2</v>
      </c>
      <c r="U38" s="85">
        <f t="shared" si="20"/>
        <v>24406.2</v>
      </c>
      <c r="V38" s="85">
        <f t="shared" si="20"/>
        <v>31686.2</v>
      </c>
      <c r="W38" s="85">
        <f t="shared" si="20"/>
        <v>31686.2</v>
      </c>
      <c r="X38" s="85">
        <f t="shared" si="20"/>
        <v>31686.2</v>
      </c>
      <c r="Y38" s="85">
        <f t="shared" si="20"/>
        <v>31686.2</v>
      </c>
      <c r="Z38" s="85">
        <f t="shared" si="20"/>
        <v>31686.2</v>
      </c>
      <c r="AA38" s="85">
        <f t="shared" si="20"/>
        <v>31686.2</v>
      </c>
      <c r="AB38" s="85">
        <f t="shared" si="20"/>
        <v>34855.800000000003</v>
      </c>
      <c r="AC38" s="85">
        <f t="shared" si="20"/>
        <v>34855.800000000003</v>
      </c>
      <c r="AD38" s="85">
        <f t="shared" si="20"/>
        <v>34855.800000000003</v>
      </c>
      <c r="AE38" s="85">
        <f t="shared" si="20"/>
        <v>34855.800000000003</v>
      </c>
      <c r="AF38" s="85">
        <f t="shared" si="20"/>
        <v>34855.800000000003</v>
      </c>
      <c r="AG38" s="85">
        <f t="shared" si="20"/>
        <v>34855.800000000003</v>
      </c>
      <c r="AH38" s="85">
        <f t="shared" si="20"/>
        <v>34855.800000000003</v>
      </c>
      <c r="AI38" s="85">
        <f t="shared" si="20"/>
        <v>34855.800000000003</v>
      </c>
      <c r="AJ38" s="85">
        <f t="shared" si="20"/>
        <v>34855.800000000003</v>
      </c>
      <c r="AK38" s="85">
        <f t="shared" si="20"/>
        <v>34855.800000000003</v>
      </c>
      <c r="AL38" s="85">
        <f t="shared" si="20"/>
        <v>34855.800000000003</v>
      </c>
      <c r="AM38" s="85">
        <f t="shared" si="20"/>
        <v>34855.800000000003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Assumptions and Drivers</vt:lpstr>
      <vt:lpstr>Model</vt:lpstr>
      <vt:lpstr>Payroll 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Nader</dc:creator>
  <cp:keywords/>
  <dc:description/>
  <cp:lastModifiedBy>Sarah Nader</cp:lastModifiedBy>
  <cp:revision/>
  <dcterms:created xsi:type="dcterms:W3CDTF">2024-07-19T07:48:24Z</dcterms:created>
  <dcterms:modified xsi:type="dcterms:W3CDTF">2025-01-22T14:35:22Z</dcterms:modified>
  <cp:category/>
  <cp:contentStatus/>
</cp:coreProperties>
</file>