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nleitung" sheetId="1" state="visible" r:id="rId3"/>
    <sheet name="Runway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<sst xmlns="http://schemas.openxmlformats.org/spreadsheetml/2006/main" count="37" uniqueCount="37">
  <si>
    <t xml:space="preserve">Runway-Rechner (Vorlage)</t>
  </si>
  <si>
    <t xml:space="preserve">Bereitgestellt von nugrow GmbH (www.nugrow.de)</t>
  </si>
  <si>
    <t xml:space="preserve">So funktioniert es</t>
  </si>
  <si>
    <t xml:space="preserve">1. Blatt 'Runway': Kontostand, Umsatz, Kosten und Wachstumsraten in den blau/gelben Zellen eintragen.</t>
  </si>
  <si>
    <t xml:space="preserve">2. Schwarze Zellen sind Formeln und bitte nicht überschreiben.</t>
  </si>
  <si>
    <t xml:space="preserve">3. Das Ergebnis zeigt Burn Rate, Runway in Monaten und den Monat, in dem das Geld ausgeht, für drei Szenarien.</t>
  </si>
  <si>
    <t xml:space="preserve">4. 'Einmalige Einzahlung' bildet eine Finanzierungsrunde oder Fördermittel ab (Monat und Betrag eintragen).</t>
  </si>
  <si>
    <t xml:space="preserve">Hinweise</t>
  </si>
  <si>
    <t xml:space="preserve">Alle Zahlen sind erfundene Beispielwerte. Bitte durch eigene Werte ersetzen. Alle Beträge in Euro, netto.</t>
  </si>
  <si>
    <t xml:space="preserve">Runway = Monate, bis der Kontostand unter null fällt. Die Vorlage ersetzt keine Finanzplanung durch Fachleute.</t>
  </si>
  <si>
    <t xml:space="preserve">Fragen? www.nugrow.de/kontakt</t>
  </si>
  <si>
    <t xml:space="preserve">Runway-Rechner</t>
  </si>
  <si>
    <t xml:space="preserve">Annahmen (Eingaben)</t>
  </si>
  <si>
    <t xml:space="preserve">Kontostand heute (EUR)</t>
  </si>
  <si>
    <t xml:space="preserve">Monatsumsatz heute (EUR)</t>
  </si>
  <si>
    <t xml:space="preserve">Umsatzwachstum pro Monat (Basisfall)</t>
  </si>
  <si>
    <t xml:space="preserve">Monatliche Kosten heute (EUR)</t>
  </si>
  <si>
    <t xml:space="preserve">Kostenwachstum pro Monat</t>
  </si>
  <si>
    <t xml:space="preserve">Einmalige Einzahlung (EUR)</t>
  </si>
  <si>
    <t xml:space="preserve">Monat der Einzahlung (1 bis 24)</t>
  </si>
  <si>
    <t xml:space="preserve">Abweichung Umsatzwachstum Pessimistisch (Prozentpunkte)</t>
  </si>
  <si>
    <t xml:space="preserve">Abweichung Umsatzwachstum Optimistisch (Prozentpunkte)</t>
  </si>
  <si>
    <t xml:space="preserve">Monat</t>
  </si>
  <si>
    <t xml:space="preserve">Umsatz (Basisfall)</t>
  </si>
  <si>
    <t xml:space="preserve">Kosten</t>
  </si>
  <si>
    <t xml:space="preserve">Pessimistisch – Kontostand</t>
  </si>
  <si>
    <t xml:space="preserve">Basisfall – Kontostand</t>
  </si>
  <si>
    <t xml:space="preserve">Optimistisch – Kontostand</t>
  </si>
  <si>
    <t xml:space="preserve">Ergebnis</t>
  </si>
  <si>
    <t xml:space="preserve">Szenario</t>
  </si>
  <si>
    <t xml:space="preserve">Burn Rate heute (EUR/Monat)</t>
  </si>
  <si>
    <t xml:space="preserve">Runway (Monate)</t>
  </si>
  <si>
    <t xml:space="preserve">Geld ist leer in Monat</t>
  </si>
  <si>
    <t xml:space="preserve">Pessimistisch</t>
  </si>
  <si>
    <t xml:space="preserve">Basisfall</t>
  </si>
  <si>
    <t xml:space="preserve">Optimistisch</t>
  </si>
  <si>
    <t xml:space="preserve">Runway 24+ bedeutet: im Betrachtungszeitraum von 24 Monaten reicht das Geld.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</si>
</sst>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;\(#,##0\);\-"/>
    <numFmt numFmtId="166" formatCode="0.0%"/>
    <numFmt numFmtId="167" formatCode="0"/>
    <numFmt numFmtId="168" formatCode="General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sz val="10"/>
      <name val="Arial"/>
      <family val="0"/>
      <charset val="1"/>
    </font>
    <font>
      <b val="true"/>
      <sz val="1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i val="true"/>
      <sz val="9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9C4"/>
        <bgColor rgb="FFFFFF99"/>
      </patternFill>
    </fill>
    <fill>
      <patternFill patternType="solid">
        <fgColor rgb="FF1F3A5F"/>
        <bgColor rgb="FF333333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8" fillId="3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4" fontId="8" fillId="3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8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8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>
          <bgColor rgb="FFF8CBAD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78787"/>
      <rgbColor rgb="FF9999FF"/>
      <rgbColor rgb="FFBE4B48"/>
      <rgbColor rgb="FFFFF9C4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8CBAD"/>
      <rgbColor rgb="FF3366FF"/>
      <rgbColor rgb="FF33CCCC"/>
      <rgbColor rgb="FF98B855"/>
      <rgbColor rgb="FFFFCC00"/>
      <rgbColor rgb="FFFF9900"/>
      <rgbColor rgb="FFFF6600"/>
      <rgbColor rgb="FF4A7EBB"/>
      <rgbColor rgb="FF969696"/>
      <rgbColor rgb="FF1F3A5F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Kontostand pro Monat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Runway!A19</c:f>
              <c:strCache>
                <c:ptCount val="1"/>
                <c:pt idx="0">
                  <c:v>Pessimistisch – Kontostand</c:v>
                </c:pt>
              </c:strCache>
            </c:strRef>
          </c:tx>
          <c:spPr>
            <a:solidFill>
              <a:srgbClr val="4a7ebb"/>
            </a:solidFill>
            <a:ln w="28440">
              <a:solidFill>
                <a:srgbClr val="4a7ebb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Runway!$B$15:$Y$15</c:f>
              <c:strCache>
                <c:ptCount val="2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</c:strCache>
            </c:strRef>
          </c:cat>
          <c:val>
            <c:numRef>
              <c:f>Runway!$B$19:$Y$19</c:f>
              <c:numCache>
                <c:formatCode>#,##0;\(#,##0\);\-</c:formatCode>
                <c:ptCount val="24"/>
                <c:pt idx="0">
                  <c:v>350000</c:v>
                </c:pt>
                <c:pt idx="1">
                  <c:v>299500</c:v>
                </c:pt>
                <c:pt idx="2">
                  <c:v>248495</c:v>
                </c:pt>
                <c:pt idx="3">
                  <c:v>196979.95</c:v>
                </c:pt>
                <c:pt idx="4">
                  <c:v>144949.7495</c:v>
                </c:pt>
                <c:pt idx="5">
                  <c:v>92399.246995</c:v>
                </c:pt>
                <c:pt idx="6">
                  <c:v>39323.23946495</c:v>
                </c:pt>
                <c:pt idx="7">
                  <c:v>-14283.5281404005</c:v>
                </c:pt>
                <c:pt idx="8">
                  <c:v>-68426.3634218045</c:v>
                </c:pt>
                <c:pt idx="9">
                  <c:v>-123110.627056023</c:v>
                </c:pt>
                <c:pt idx="10">
                  <c:v>-178341.733326583</c:v>
                </c:pt>
                <c:pt idx="11">
                  <c:v>-234125.150659849</c:v>
                </c:pt>
                <c:pt idx="12">
                  <c:v>-290466.402166447</c:v>
                </c:pt>
                <c:pt idx="13">
                  <c:v>-347371.066188112</c:v>
                </c:pt>
                <c:pt idx="14">
                  <c:v>-404844.776849993</c:v>
                </c:pt>
                <c:pt idx="15">
                  <c:v>-462893.224618493</c:v>
                </c:pt>
                <c:pt idx="16">
                  <c:v>-521522.156864678</c:v>
                </c:pt>
                <c:pt idx="17">
                  <c:v>-580737.378433324</c:v>
                </c:pt>
                <c:pt idx="18">
                  <c:v>-640544.752217658</c:v>
                </c:pt>
                <c:pt idx="19">
                  <c:v>-700950.199739834</c:v>
                </c:pt>
                <c:pt idx="20">
                  <c:v>-761959.701737233</c:v>
                </c:pt>
                <c:pt idx="21">
                  <c:v>-823579.298754605</c:v>
                </c:pt>
                <c:pt idx="22">
                  <c:v>-885815.091742151</c:v>
                </c:pt>
                <c:pt idx="23">
                  <c:v>-948673.242659573</c:v>
                </c:pt>
              </c:numCache>
            </c:numRef>
          </c:val>
          <c:smooth val="1"/>
        </c:ser>
        <c:ser>
          <c:idx val="1"/>
          <c:order val="1"/>
          <c:tx>
            <c:strRef>
              <c:f>Runway!A20</c:f>
              <c:strCache>
                <c:ptCount val="1"/>
                <c:pt idx="0">
                  <c:v>Basisfall – Kontostand</c:v>
                </c:pt>
              </c:strCache>
            </c:strRef>
          </c:tx>
          <c:spPr>
            <a:solidFill>
              <a:srgbClr val="be4b48"/>
            </a:solidFill>
            <a:ln w="28440">
              <a:solidFill>
                <a:srgbClr val="be4b48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Runway!$B$15:$Y$15</c:f>
              <c:strCache>
                <c:ptCount val="2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</c:strCache>
            </c:strRef>
          </c:cat>
          <c:val>
            <c:numRef>
              <c:f>Runway!$B$20:$Y$20</c:f>
              <c:numCache>
                <c:formatCode>#,##0;\(#,##0\);\-</c:formatCode>
                <c:ptCount val="24"/>
                <c:pt idx="0">
                  <c:v>350000</c:v>
                </c:pt>
                <c:pt idx="1">
                  <c:v>301300</c:v>
                </c:pt>
                <c:pt idx="2">
                  <c:v>253985</c:v>
                </c:pt>
                <c:pt idx="3">
                  <c:v>208143.73</c:v>
                </c:pt>
                <c:pt idx="4">
                  <c:v>163868.8025</c:v>
                </c:pt>
                <c:pt idx="5">
                  <c:v>121256.871133</c:v>
                </c:pt>
                <c:pt idx="6">
                  <c:v>80408.79567665</c:v>
                </c:pt>
                <c:pt idx="7">
                  <c:v>41429.8136990293</c:v>
                </c:pt>
                <c:pt idx="8">
                  <c:v>4429.71910425695</c:v>
                </c:pt>
                <c:pt idx="9">
                  <c:v>-30476.9521457337</c:v>
                </c:pt>
                <c:pt idx="10">
                  <c:v>-63170.7288458655</c:v>
                </c:pt>
                <c:pt idx="11">
                  <c:v>-93527.0036001456</c:v>
                </c:pt>
                <c:pt idx="12">
                  <c:v>-121415.823800601</c:v>
                </c:pt>
                <c:pt idx="13">
                  <c:v>-146701.67420964</c:v>
                </c:pt>
                <c:pt idx="14">
                  <c:v>-169243.25080961</c:v>
                </c:pt>
                <c:pt idx="15">
                  <c:v>-188893.225569895</c:v>
                </c:pt>
                <c:pt idx="16">
                  <c:v>-205498.00176787</c:v>
                </c:pt>
                <c:pt idx="17">
                  <c:v>-218897.459485516</c:v>
                </c:pt>
                <c:pt idx="18">
                  <c:v>-228924.690888338</c:v>
                </c:pt>
                <c:pt idx="19">
                  <c:v>-235405.724877506</c:v>
                </c:pt>
                <c:pt idx="20">
                  <c:v>-238159.240689777</c:v>
                </c:pt>
                <c:pt idx="21">
                  <c:v>-236996.27000271</c:v>
                </c:pt>
                <c:pt idx="22">
                  <c:v>-231719.887085015</c:v>
                </c:pt>
                <c:pt idx="23">
                  <c:v>-222124.886513433</c:v>
                </c:pt>
              </c:numCache>
            </c:numRef>
          </c:val>
          <c:smooth val="1"/>
        </c:ser>
        <c:ser>
          <c:idx val="2"/>
          <c:order val="2"/>
          <c:tx>
            <c:strRef>
              <c:f>Runway!A21</c:f>
              <c:strCache>
                <c:ptCount val="1"/>
                <c:pt idx="0">
                  <c:v>Optimistisch – Kontostand</c:v>
                </c:pt>
              </c:strCache>
            </c:strRef>
          </c:tx>
          <c:spPr>
            <a:solidFill>
              <a:srgbClr val="98b855"/>
            </a:solidFill>
            <a:ln w="28440">
              <a:solidFill>
                <a:srgbClr val="98b855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Runway!$B$15:$Y$15</c:f>
              <c:strCache>
                <c:ptCount val="2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</c:strCache>
            </c:strRef>
          </c:cat>
          <c:val>
            <c:numRef>
              <c:f>Runway!$B$21:$Y$21</c:f>
              <c:numCache>
                <c:formatCode>#,##0;\(#,##0\);\-</c:formatCode>
                <c:ptCount val="24"/>
                <c:pt idx="0">
                  <c:v>350000</c:v>
                </c:pt>
                <c:pt idx="1">
                  <c:v>302500</c:v>
                </c:pt>
                <c:pt idx="2">
                  <c:v>257705</c:v>
                </c:pt>
                <c:pt idx="3">
                  <c:v>215832.85</c:v>
                </c:pt>
                <c:pt idx="4">
                  <c:v>177115.0265</c:v>
                </c:pt>
                <c:pt idx="5">
                  <c:v>141797.455645</c:v>
                </c:pt>
                <c:pt idx="6">
                  <c:v>110141.38581425</c:v>
                </c:pt>
                <c:pt idx="7">
                  <c:v>82424.3126219606</c:v>
                </c:pt>
                <c:pt idx="8">
                  <c:v>58940.9594747223</c:v>
                </c:pt>
                <c:pt idx="9">
                  <c:v>40004.3170196042</c:v>
                </c:pt>
                <c:pt idx="10">
                  <c:v>25946.7450169429</c:v>
                </c:pt>
                <c:pt idx="11">
                  <c:v>17121.1403838837</c:v>
                </c:pt>
                <c:pt idx="12">
                  <c:v>13902.1753795001</c:v>
                </c:pt>
                <c:pt idx="13">
                  <c:v>16687.6101405793</c:v>
                </c:pt>
                <c:pt idx="14">
                  <c:v>25899.6840297064</c:v>
                </c:pt>
                <c:pt idx="15">
                  <c:v>41986.590524988</c:v>
                </c:pt>
                <c:pt idx="16">
                  <c:v>65424.0406645215</c:v>
                </c:pt>
                <c:pt idx="17">
                  <c:v>96716.9203595075</c:v>
                </c:pt>
                <c:pt idx="18">
                  <c:v>136401.047208744</c:v>
                </c:pt>
                <c:pt idx="19">
                  <c:v>185045.032785211</c:v>
                </c:pt>
                <c:pt idx="20">
                  <c:v>243252.256723705</c:v>
                </c:pt>
                <c:pt idx="21">
                  <c:v>311662.959318223</c:v>
                </c:pt>
                <c:pt idx="22">
                  <c:v>390956.459740323</c:v>
                </c:pt>
                <c:pt idx="23">
                  <c:v>481853.507416379</c:v>
                </c:pt>
              </c:numCache>
            </c:numRef>
          </c:val>
          <c:smooth val="1"/>
        </c:ser>
        <c:hiLowLines>
          <c:spPr>
            <a:ln w="0">
              <a:noFill/>
            </a:ln>
          </c:spPr>
        </c:hiLowLines>
        <c:marker val="0"/>
        <c:axId val="30164239"/>
        <c:axId val="9478833"/>
      </c:lineChart>
      <c:catAx>
        <c:axId val="30164239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Monat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478833"/>
        <c:crosses val="autoZero"/>
        <c:auto val="1"/>
        <c:lblAlgn val="ctr"/>
        <c:lblOffset val="100"/>
        <c:noMultiLvlLbl val="0"/>
      </c:catAx>
      <c:valAx>
        <c:axId val="9478833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EUR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;\(#,##0\);\-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0164239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30</xdr:row>
      <xdr:rowOff>96480</xdr:rowOff>
    </xdr:from>
    <xdr:to>
      <xdr:col>6</xdr:col>
      <xdr:colOff>745200</xdr:colOff>
      <xdr:row>45</xdr:row>
      <xdr:rowOff>118440</xdr:rowOff>
    </xdr:to>
    <xdr:graphicFrame>
      <xdr:nvGraphicFramePr>
        <xdr:cNvPr id="0" name="Chart 1"/>
        <xdr:cNvGraphicFramePr/>
      </xdr:nvGraphicFramePr>
      <xdr:xfrm>
        <a:off x="0" y="6095880"/>
        <a:ext cx="863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5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2"/>
    </row>
    <row r="4" customFormat="false" ht="15" hidden="false" customHeight="false" outlineLevel="0" collapsed="false">
      <c r="A4" s="3" t="s">
        <v>2</v>
      </c>
    </row>
    <row r="5" customFormat="false" ht="15" hidden="false" customHeight="false" outlineLevel="0" collapsed="false">
      <c r="A5" s="2" t="s">
        <v>3</v>
      </c>
    </row>
    <row r="6" customFormat="false" ht="15" hidden="false" customHeight="false" outlineLevel="0" collapsed="false">
      <c r="A6" s="2" t="s">
        <v>4</v>
      </c>
    </row>
    <row r="7" customFormat="false" ht="15" hidden="false" customHeight="false" outlineLevel="0" collapsed="false">
      <c r="A7" s="2" t="s">
        <v>5</v>
      </c>
    </row>
    <row r="8" customFormat="false" ht="15" hidden="false" customHeight="false" outlineLevel="0" collapsed="false">
      <c r="A8" s="2" t="s">
        <v>6</v>
      </c>
    </row>
    <row r="9" customFormat="false" ht="15" hidden="false" customHeight="false" outlineLevel="0" collapsed="false">
      <c r="A9" s="2"/>
    </row>
    <row r="10" customFormat="false" ht="15" hidden="false" customHeight="false" outlineLevel="0" collapsed="false">
      <c r="A10" s="3" t="s">
        <v>7</v>
      </c>
    </row>
    <row r="11" customFormat="false" ht="15" hidden="false" customHeight="false" outlineLevel="0" collapsed="false">
      <c r="A11" s="2" t="s">
        <v>8</v>
      </c>
    </row>
    <row r="12" customFormat="false" ht="15" hidden="false" customHeight="false" outlineLevel="0" collapsed="false">
      <c r="A12" s="2" t="s">
        <v>9</v>
      </c>
    </row>
    <row r="13" customFormat="false" ht="15" hidden="false" customHeight="false" outlineLevel="0" collapsed="false">
      <c r="A13" s="2" t="s">
        <v>10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Y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15" topLeftCell="B16" activePane="bottomRight" state="frozen"/>
      <selection pane="topLeft" activeCell="A1" activeCellId="0" sqref="A1"/>
      <selection pane="topRight" activeCell="B1" activeCellId="0" sqref="B1"/>
      <selection pane="bottomLeft" activeCell="A16" activeCellId="0" sqref="A1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2"/>
    <col collapsed="false" customWidth="true" hidden="false" outlineLevel="0" max="25" min="2" style="0" width="12"/>
  </cols>
  <sheetData>
    <row r="1" customFormat="false" ht="17.35" hidden="false" customHeight="false" outlineLevel="0" collapsed="false">
      <c r="A1" s="1" t="s">
        <v>11</v>
      </c>
    </row>
    <row r="3" customFormat="false" ht="15" hidden="false" customHeight="false" outlineLevel="0" collapsed="false">
      <c r="A3" s="3" t="s">
        <v>12</v>
      </c>
    </row>
    <row r="4" customFormat="false" ht="15" hidden="false" customHeight="false" outlineLevel="0" collapsed="false">
      <c r="A4" s="2" t="s">
        <v>13</v>
      </c>
      <c r="B4" s="4" t="n">
        <v>400000</v>
      </c>
    </row>
    <row r="5" customFormat="false" ht="15" hidden="false" customHeight="false" outlineLevel="0" collapsed="false">
      <c r="A5" s="2" t="s">
        <v>14</v>
      </c>
      <c r="B5" s="4" t="n">
        <v>60000</v>
      </c>
    </row>
    <row r="6" customFormat="false" ht="15" hidden="false" customHeight="false" outlineLevel="0" collapsed="false">
      <c r="A6" s="2" t="s">
        <v>15</v>
      </c>
      <c r="B6" s="5" t="n">
        <v>0.04</v>
      </c>
    </row>
    <row r="7" customFormat="false" ht="15" hidden="false" customHeight="false" outlineLevel="0" collapsed="false">
      <c r="A7" s="2" t="s">
        <v>16</v>
      </c>
      <c r="B7" s="4" t="n">
        <v>110000</v>
      </c>
    </row>
    <row r="8" customFormat="false" ht="15" hidden="false" customHeight="false" outlineLevel="0" collapsed="false">
      <c r="A8" s="2" t="s">
        <v>17</v>
      </c>
      <c r="B8" s="5" t="n">
        <v>0.01</v>
      </c>
    </row>
    <row r="9" customFormat="false" ht="15" hidden="false" customHeight="false" outlineLevel="0" collapsed="false">
      <c r="A9" s="2" t="s">
        <v>18</v>
      </c>
      <c r="B9" s="4" t="n">
        <v>0</v>
      </c>
    </row>
    <row r="10" customFormat="false" ht="15" hidden="false" customHeight="false" outlineLevel="0" collapsed="false">
      <c r="A10" s="2" t="s">
        <v>19</v>
      </c>
      <c r="B10" s="6" t="n">
        <v>12</v>
      </c>
    </row>
    <row r="11" customFormat="false" ht="15" hidden="false" customHeight="false" outlineLevel="0" collapsed="false">
      <c r="A11" s="2" t="s">
        <v>20</v>
      </c>
      <c r="B11" s="5" t="n">
        <v>-0.03</v>
      </c>
    </row>
    <row r="12" customFormat="false" ht="15" hidden="false" customHeight="false" outlineLevel="0" collapsed="false">
      <c r="A12" s="2" t="s">
        <v>21</v>
      </c>
      <c r="B12" s="5" t="n">
        <v>0.02</v>
      </c>
    </row>
    <row r="15" customFormat="false" ht="15" hidden="false" customHeight="false" outlineLevel="0" collapsed="false">
      <c r="A15" s="7" t="s">
        <v>22</v>
      </c>
      <c r="B15" s="8" t="n">
        <v>1</v>
      </c>
      <c r="C15" s="8" t="n">
        <v>2</v>
      </c>
      <c r="D15" s="8" t="n">
        <v>3</v>
      </c>
      <c r="E15" s="8" t="n">
        <v>4</v>
      </c>
      <c r="F15" s="8" t="n">
        <v>5</v>
      </c>
      <c r="G15" s="8" t="n">
        <v>6</v>
      </c>
      <c r="H15" s="8" t="n">
        <v>7</v>
      </c>
      <c r="I15" s="8" t="n">
        <v>8</v>
      </c>
      <c r="J15" s="8" t="n">
        <v>9</v>
      </c>
      <c r="K15" s="8" t="n">
        <v>10</v>
      </c>
      <c r="L15" s="8" t="n">
        <v>11</v>
      </c>
      <c r="M15" s="8" t="n">
        <v>12</v>
      </c>
      <c r="N15" s="8" t="n">
        <v>13</v>
      </c>
      <c r="O15" s="8" t="n">
        <v>14</v>
      </c>
      <c r="P15" s="8" t="n">
        <v>15</v>
      </c>
      <c r="Q15" s="8" t="n">
        <v>16</v>
      </c>
      <c r="R15" s="8" t="n">
        <v>17</v>
      </c>
      <c r="S15" s="8" t="n">
        <v>18</v>
      </c>
      <c r="T15" s="8" t="n">
        <v>19</v>
      </c>
      <c r="U15" s="8" t="n">
        <v>20</v>
      </c>
      <c r="V15" s="8" t="n">
        <v>21</v>
      </c>
      <c r="W15" s="8" t="n">
        <v>22</v>
      </c>
      <c r="X15" s="8" t="n">
        <v>23</v>
      </c>
      <c r="Y15" s="8" t="n">
        <v>24</v>
      </c>
    </row>
    <row r="16" customFormat="false" ht="15" hidden="false" customHeight="false" outlineLevel="0" collapsed="false">
      <c r="A16" s="0" t="s">
        <v>23</v>
      </c>
      <c r="B16" s="9" t="n">
        <f aca="false">$B$5*(1+$B$6)^(1-1)</f>
        <v>60000</v>
      </c>
      <c r="C16" s="9" t="n">
        <f aca="false">$B$5*(1+$B$6)^(2-1)</f>
        <v>62400</v>
      </c>
      <c r="D16" s="9" t="n">
        <f aca="false">$B$5*(1+$B$6)^(3-1)</f>
        <v>64896</v>
      </c>
      <c r="E16" s="9" t="n">
        <f aca="false">$B$5*(1+$B$6)^(4-1)</f>
        <v>67491.84</v>
      </c>
      <c r="F16" s="9" t="n">
        <f aca="false">$B$5*(1+$B$6)^(5-1)</f>
        <v>70191.5136</v>
      </c>
      <c r="G16" s="9" t="n">
        <f aca="false">$B$5*(1+$B$6)^(6-1)</f>
        <v>72999.174144</v>
      </c>
      <c r="H16" s="9" t="n">
        <f aca="false">$B$5*(1+$B$6)^(7-1)</f>
        <v>75919.14110976</v>
      </c>
      <c r="I16" s="9" t="n">
        <f aca="false">$B$5*(1+$B$6)^(8-1)</f>
        <v>78955.9067541504</v>
      </c>
      <c r="J16" s="9" t="n">
        <f aca="false">$B$5*(1+$B$6)^(9-1)</f>
        <v>82114.1430243164</v>
      </c>
      <c r="K16" s="9" t="n">
        <f aca="false">$B$5*(1+$B$6)^(10-1)</f>
        <v>85398.7087452891</v>
      </c>
      <c r="L16" s="9" t="n">
        <f aca="false">$B$5*(1+$B$6)^(11-1)</f>
        <v>88814.6570951007</v>
      </c>
      <c r="M16" s="9" t="n">
        <f aca="false">$B$5*(1+$B$6)^(12-1)</f>
        <v>92367.2433789047</v>
      </c>
      <c r="N16" s="9" t="n">
        <f aca="false">$B$5*(1+$B$6)^(13-1)</f>
        <v>96061.9331140609</v>
      </c>
      <c r="O16" s="9" t="n">
        <f aca="false">$B$5*(1+$B$6)^(14-1)</f>
        <v>99904.4104386233</v>
      </c>
      <c r="P16" s="9" t="n">
        <f aca="false">$B$5*(1+$B$6)^(15-1)</f>
        <v>103900.586856168</v>
      </c>
      <c r="Q16" s="9" t="n">
        <f aca="false">$B$5*(1+$B$6)^(16-1)</f>
        <v>108056.610330415</v>
      </c>
      <c r="R16" s="9" t="n">
        <f aca="false">$B$5*(1+$B$6)^(17-1)</f>
        <v>112378.874743632</v>
      </c>
      <c r="S16" s="9" t="n">
        <f aca="false">$B$5*(1+$B$6)^(18-1)</f>
        <v>116874.029733377</v>
      </c>
      <c r="T16" s="9" t="n">
        <f aca="false">$B$5*(1+$B$6)^(19-1)</f>
        <v>121548.990922712</v>
      </c>
      <c r="U16" s="9" t="n">
        <f aca="false">$B$5*(1+$B$6)^(20-1)</f>
        <v>126410.95055962</v>
      </c>
      <c r="V16" s="9" t="n">
        <f aca="false">$B$5*(1+$B$6)^(21-1)</f>
        <v>131467.388582005</v>
      </c>
      <c r="W16" s="9" t="n">
        <f aca="false">$B$5*(1+$B$6)^(22-1)</f>
        <v>136726.084125285</v>
      </c>
      <c r="X16" s="9" t="n">
        <f aca="false">$B$5*(1+$B$6)^(23-1)</f>
        <v>142195.127490297</v>
      </c>
      <c r="Y16" s="9" t="n">
        <f aca="false">$B$5*(1+$B$6)^(24-1)</f>
        <v>147882.932589909</v>
      </c>
    </row>
    <row r="17" customFormat="false" ht="15" hidden="false" customHeight="false" outlineLevel="0" collapsed="false">
      <c r="A17" s="0" t="s">
        <v>24</v>
      </c>
      <c r="B17" s="9" t="n">
        <f aca="false">$B$7*(1+$B$8)^(1-1)</f>
        <v>110000</v>
      </c>
      <c r="C17" s="9" t="n">
        <f aca="false">$B$7*(1+$B$8)^(2-1)</f>
        <v>111100</v>
      </c>
      <c r="D17" s="9" t="n">
        <f aca="false">$B$7*(1+$B$8)^(3-1)</f>
        <v>112211</v>
      </c>
      <c r="E17" s="9" t="n">
        <f aca="false">$B$7*(1+$B$8)^(4-1)</f>
        <v>113333.11</v>
      </c>
      <c r="F17" s="9" t="n">
        <f aca="false">$B$7*(1+$B$8)^(5-1)</f>
        <v>114466.4411</v>
      </c>
      <c r="G17" s="9" t="n">
        <f aca="false">$B$7*(1+$B$8)^(6-1)</f>
        <v>115611.105511</v>
      </c>
      <c r="H17" s="9" t="n">
        <f aca="false">$B$7*(1+$B$8)^(7-1)</f>
        <v>116767.21656611</v>
      </c>
      <c r="I17" s="9" t="n">
        <f aca="false">$B$7*(1+$B$8)^(8-1)</f>
        <v>117934.888731771</v>
      </c>
      <c r="J17" s="9" t="n">
        <f aca="false">$B$7*(1+$B$8)^(9-1)</f>
        <v>119114.237619089</v>
      </c>
      <c r="K17" s="9" t="n">
        <f aca="false">$B$7*(1+$B$8)^(10-1)</f>
        <v>120305.37999528</v>
      </c>
      <c r="L17" s="9" t="n">
        <f aca="false">$B$7*(1+$B$8)^(11-1)</f>
        <v>121508.433795233</v>
      </c>
      <c r="M17" s="9" t="n">
        <f aca="false">$B$7*(1+$B$8)^(12-1)</f>
        <v>122723.518133185</v>
      </c>
      <c r="N17" s="9" t="n">
        <f aca="false">$B$7*(1+$B$8)^(13-1)</f>
        <v>123950.753314517</v>
      </c>
      <c r="O17" s="9" t="n">
        <f aca="false">$B$7*(1+$B$8)^(14-1)</f>
        <v>125190.260847662</v>
      </c>
      <c r="P17" s="9" t="n">
        <f aca="false">$B$7*(1+$B$8)^(15-1)</f>
        <v>126442.163456138</v>
      </c>
      <c r="Q17" s="9" t="n">
        <f aca="false">$B$7*(1+$B$8)^(16-1)</f>
        <v>127706.5850907</v>
      </c>
      <c r="R17" s="9" t="n">
        <f aca="false">$B$7*(1+$B$8)^(17-1)</f>
        <v>128983.650941607</v>
      </c>
      <c r="S17" s="9" t="n">
        <f aca="false">$B$7*(1+$B$8)^(18-1)</f>
        <v>130273.487451023</v>
      </c>
      <c r="T17" s="9" t="n">
        <f aca="false">$B$7*(1+$B$8)^(19-1)</f>
        <v>131576.222325533</v>
      </c>
      <c r="U17" s="9" t="n">
        <f aca="false">$B$7*(1+$B$8)^(20-1)</f>
        <v>132891.984548789</v>
      </c>
      <c r="V17" s="9" t="n">
        <f aca="false">$B$7*(1+$B$8)^(21-1)</f>
        <v>134220.904394276</v>
      </c>
      <c r="W17" s="9" t="n">
        <f aca="false">$B$7*(1+$B$8)^(22-1)</f>
        <v>135563.113438219</v>
      </c>
      <c r="X17" s="9" t="n">
        <f aca="false">$B$7*(1+$B$8)^(23-1)</f>
        <v>136918.744572601</v>
      </c>
      <c r="Y17" s="9" t="n">
        <f aca="false">$B$7*(1+$B$8)^(24-1)</f>
        <v>138287.932018327</v>
      </c>
    </row>
    <row r="18" customFormat="false" ht="15" hidden="false" customHeight="false" outlineLevel="0" collapsed="false"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</row>
    <row r="19" customFormat="false" ht="15" hidden="false" customHeight="false" outlineLevel="0" collapsed="false">
      <c r="A19" s="3" t="s">
        <v>25</v>
      </c>
      <c r="B19" s="9" t="n">
        <f aca="false">$B$4+$B$5*(1+$B$6+$B$11)^(1-1)-$B$7*(1+$B$8)^(1-1)+IF($B$10=1,$B$9,0)</f>
        <v>350000</v>
      </c>
      <c r="C19" s="9" t="n">
        <f aca="false">B19+$B$5*(1+$B$6+$B$11)^(2-1)-$B$7*(1+$B$8)^(2-1)+IF($B$10=2,$B$9,0)</f>
        <v>299500</v>
      </c>
      <c r="D19" s="9" t="n">
        <f aca="false">C19+$B$5*(1+$B$6+$B$11)^(3-1)-$B$7*(1+$B$8)^(3-1)+IF($B$10=3,$B$9,0)</f>
        <v>248495</v>
      </c>
      <c r="E19" s="9" t="n">
        <f aca="false">D19+$B$5*(1+$B$6+$B$11)^(4-1)-$B$7*(1+$B$8)^(4-1)+IF($B$10=4,$B$9,0)</f>
        <v>196979.95</v>
      </c>
      <c r="F19" s="9" t="n">
        <f aca="false">E19+$B$5*(1+$B$6+$B$11)^(5-1)-$B$7*(1+$B$8)^(5-1)+IF($B$10=5,$B$9,0)</f>
        <v>144949.7495</v>
      </c>
      <c r="G19" s="9" t="n">
        <f aca="false">F19+$B$5*(1+$B$6+$B$11)^(6-1)-$B$7*(1+$B$8)^(6-1)+IF($B$10=6,$B$9,0)</f>
        <v>92399.246995</v>
      </c>
      <c r="H19" s="9" t="n">
        <f aca="false">G19+$B$5*(1+$B$6+$B$11)^(7-1)-$B$7*(1+$B$8)^(7-1)+IF($B$10=7,$B$9,0)</f>
        <v>39323.23946495</v>
      </c>
      <c r="I19" s="9" t="n">
        <f aca="false">H19+$B$5*(1+$B$6+$B$11)^(8-1)-$B$7*(1+$B$8)^(8-1)+IF($B$10=8,$B$9,0)</f>
        <v>-14283.5281404005</v>
      </c>
      <c r="J19" s="9" t="n">
        <f aca="false">I19+$B$5*(1+$B$6+$B$11)^(9-1)-$B$7*(1+$B$8)^(9-1)+IF($B$10=9,$B$9,0)</f>
        <v>-68426.3634218045</v>
      </c>
      <c r="K19" s="9" t="n">
        <f aca="false">J19+$B$5*(1+$B$6+$B$11)^(10-1)-$B$7*(1+$B$8)^(10-1)+IF($B$10=10,$B$9,0)</f>
        <v>-123110.627056023</v>
      </c>
      <c r="L19" s="9" t="n">
        <f aca="false">K19+$B$5*(1+$B$6+$B$11)^(11-1)-$B$7*(1+$B$8)^(11-1)+IF($B$10=11,$B$9,0)</f>
        <v>-178341.733326583</v>
      </c>
      <c r="M19" s="9" t="n">
        <f aca="false">L19+$B$5*(1+$B$6+$B$11)^(12-1)-$B$7*(1+$B$8)^(12-1)+IF($B$10=12,$B$9,0)</f>
        <v>-234125.150659849</v>
      </c>
      <c r="N19" s="9" t="n">
        <f aca="false">M19+$B$5*(1+$B$6+$B$11)^(13-1)-$B$7*(1+$B$8)^(13-1)+IF($B$10=13,$B$9,0)</f>
        <v>-290466.402166447</v>
      </c>
      <c r="O19" s="9" t="n">
        <f aca="false">N19+$B$5*(1+$B$6+$B$11)^(14-1)-$B$7*(1+$B$8)^(14-1)+IF($B$10=14,$B$9,0)</f>
        <v>-347371.066188112</v>
      </c>
      <c r="P19" s="9" t="n">
        <f aca="false">O19+$B$5*(1+$B$6+$B$11)^(15-1)-$B$7*(1+$B$8)^(15-1)+IF($B$10=15,$B$9,0)</f>
        <v>-404844.776849993</v>
      </c>
      <c r="Q19" s="9" t="n">
        <f aca="false">P19+$B$5*(1+$B$6+$B$11)^(16-1)-$B$7*(1+$B$8)^(16-1)+IF($B$10=16,$B$9,0)</f>
        <v>-462893.224618493</v>
      </c>
      <c r="R19" s="9" t="n">
        <f aca="false">Q19+$B$5*(1+$B$6+$B$11)^(17-1)-$B$7*(1+$B$8)^(17-1)+IF($B$10=17,$B$9,0)</f>
        <v>-521522.156864678</v>
      </c>
      <c r="S19" s="9" t="n">
        <f aca="false">R19+$B$5*(1+$B$6+$B$11)^(18-1)-$B$7*(1+$B$8)^(18-1)+IF($B$10=18,$B$9,0)</f>
        <v>-580737.378433324</v>
      </c>
      <c r="T19" s="9" t="n">
        <f aca="false">S19+$B$5*(1+$B$6+$B$11)^(19-1)-$B$7*(1+$B$8)^(19-1)+IF($B$10=19,$B$9,0)</f>
        <v>-640544.752217658</v>
      </c>
      <c r="U19" s="9" t="n">
        <f aca="false">T19+$B$5*(1+$B$6+$B$11)^(20-1)-$B$7*(1+$B$8)^(20-1)+IF($B$10=20,$B$9,0)</f>
        <v>-700950.199739834</v>
      </c>
      <c r="V19" s="9" t="n">
        <f aca="false">U19+$B$5*(1+$B$6+$B$11)^(21-1)-$B$7*(1+$B$8)^(21-1)+IF($B$10=21,$B$9,0)</f>
        <v>-761959.701737233</v>
      </c>
      <c r="W19" s="9" t="n">
        <f aca="false">V19+$B$5*(1+$B$6+$B$11)^(22-1)-$B$7*(1+$B$8)^(22-1)+IF($B$10=22,$B$9,0)</f>
        <v>-823579.298754605</v>
      </c>
      <c r="X19" s="9" t="n">
        <f aca="false">W19+$B$5*(1+$B$6+$B$11)^(23-1)-$B$7*(1+$B$8)^(23-1)+IF($B$10=23,$B$9,0)</f>
        <v>-885815.091742151</v>
      </c>
      <c r="Y19" s="9" t="n">
        <f aca="false">X19+$B$5*(1+$B$6+$B$11)^(24-1)-$B$7*(1+$B$8)^(24-1)+IF($B$10=24,$B$9,0)</f>
        <v>-948673.242659573</v>
      </c>
    </row>
    <row r="20" customFormat="false" ht="15" hidden="false" customHeight="false" outlineLevel="0" collapsed="false">
      <c r="A20" s="3" t="s">
        <v>26</v>
      </c>
      <c r="B20" s="9" t="n">
        <f aca="false">$B$4+$B$5*(1+$B$6+0)^(1-1)-$B$7*(1+$B$8)^(1-1)+IF($B$10=1,$B$9,0)</f>
        <v>350000</v>
      </c>
      <c r="C20" s="9" t="n">
        <f aca="false">B20+$B$5*(1+$B$6+0)^(2-1)-$B$7*(1+$B$8)^(2-1)+IF($B$10=2,$B$9,0)</f>
        <v>301300</v>
      </c>
      <c r="D20" s="9" t="n">
        <f aca="false">C20+$B$5*(1+$B$6+0)^(3-1)-$B$7*(1+$B$8)^(3-1)+IF($B$10=3,$B$9,0)</f>
        <v>253985</v>
      </c>
      <c r="E20" s="9" t="n">
        <f aca="false">D20+$B$5*(1+$B$6+0)^(4-1)-$B$7*(1+$B$8)^(4-1)+IF($B$10=4,$B$9,0)</f>
        <v>208143.73</v>
      </c>
      <c r="F20" s="9" t="n">
        <f aca="false">E20+$B$5*(1+$B$6+0)^(5-1)-$B$7*(1+$B$8)^(5-1)+IF($B$10=5,$B$9,0)</f>
        <v>163868.8025</v>
      </c>
      <c r="G20" s="9" t="n">
        <f aca="false">F20+$B$5*(1+$B$6+0)^(6-1)-$B$7*(1+$B$8)^(6-1)+IF($B$10=6,$B$9,0)</f>
        <v>121256.871133</v>
      </c>
      <c r="H20" s="9" t="n">
        <f aca="false">G20+$B$5*(1+$B$6+0)^(7-1)-$B$7*(1+$B$8)^(7-1)+IF($B$10=7,$B$9,0)</f>
        <v>80408.79567665</v>
      </c>
      <c r="I20" s="9" t="n">
        <f aca="false">H20+$B$5*(1+$B$6+0)^(8-1)-$B$7*(1+$B$8)^(8-1)+IF($B$10=8,$B$9,0)</f>
        <v>41429.8136990293</v>
      </c>
      <c r="J20" s="9" t="n">
        <f aca="false">I20+$B$5*(1+$B$6+0)^(9-1)-$B$7*(1+$B$8)^(9-1)+IF($B$10=9,$B$9,0)</f>
        <v>4429.71910425695</v>
      </c>
      <c r="K20" s="9" t="n">
        <f aca="false">J20+$B$5*(1+$B$6+0)^(10-1)-$B$7*(1+$B$8)^(10-1)+IF($B$10=10,$B$9,0)</f>
        <v>-30476.9521457337</v>
      </c>
      <c r="L20" s="9" t="n">
        <f aca="false">K20+$B$5*(1+$B$6+0)^(11-1)-$B$7*(1+$B$8)^(11-1)+IF($B$10=11,$B$9,0)</f>
        <v>-63170.7288458655</v>
      </c>
      <c r="M20" s="9" t="n">
        <f aca="false">L20+$B$5*(1+$B$6+0)^(12-1)-$B$7*(1+$B$8)^(12-1)+IF($B$10=12,$B$9,0)</f>
        <v>-93527.0036001456</v>
      </c>
      <c r="N20" s="9" t="n">
        <f aca="false">M20+$B$5*(1+$B$6+0)^(13-1)-$B$7*(1+$B$8)^(13-1)+IF($B$10=13,$B$9,0)</f>
        <v>-121415.823800601</v>
      </c>
      <c r="O20" s="9" t="n">
        <f aca="false">N20+$B$5*(1+$B$6+0)^(14-1)-$B$7*(1+$B$8)^(14-1)+IF($B$10=14,$B$9,0)</f>
        <v>-146701.67420964</v>
      </c>
      <c r="P20" s="9" t="n">
        <f aca="false">O20+$B$5*(1+$B$6+0)^(15-1)-$B$7*(1+$B$8)^(15-1)+IF($B$10=15,$B$9,0)</f>
        <v>-169243.25080961</v>
      </c>
      <c r="Q20" s="9" t="n">
        <f aca="false">P20+$B$5*(1+$B$6+0)^(16-1)-$B$7*(1+$B$8)^(16-1)+IF($B$10=16,$B$9,0)</f>
        <v>-188893.225569895</v>
      </c>
      <c r="R20" s="9" t="n">
        <f aca="false">Q20+$B$5*(1+$B$6+0)^(17-1)-$B$7*(1+$B$8)^(17-1)+IF($B$10=17,$B$9,0)</f>
        <v>-205498.00176787</v>
      </c>
      <c r="S20" s="9" t="n">
        <f aca="false">R20+$B$5*(1+$B$6+0)^(18-1)-$B$7*(1+$B$8)^(18-1)+IF($B$10=18,$B$9,0)</f>
        <v>-218897.459485516</v>
      </c>
      <c r="T20" s="9" t="n">
        <f aca="false">S20+$B$5*(1+$B$6+0)^(19-1)-$B$7*(1+$B$8)^(19-1)+IF($B$10=19,$B$9,0)</f>
        <v>-228924.690888338</v>
      </c>
      <c r="U20" s="9" t="n">
        <f aca="false">T20+$B$5*(1+$B$6+0)^(20-1)-$B$7*(1+$B$8)^(20-1)+IF($B$10=20,$B$9,0)</f>
        <v>-235405.724877506</v>
      </c>
      <c r="V20" s="9" t="n">
        <f aca="false">U20+$B$5*(1+$B$6+0)^(21-1)-$B$7*(1+$B$8)^(21-1)+IF($B$10=21,$B$9,0)</f>
        <v>-238159.240689777</v>
      </c>
      <c r="W20" s="9" t="n">
        <f aca="false">V20+$B$5*(1+$B$6+0)^(22-1)-$B$7*(1+$B$8)^(22-1)+IF($B$10=22,$B$9,0)</f>
        <v>-236996.27000271</v>
      </c>
      <c r="X20" s="9" t="n">
        <f aca="false">W20+$B$5*(1+$B$6+0)^(23-1)-$B$7*(1+$B$8)^(23-1)+IF($B$10=23,$B$9,0)</f>
        <v>-231719.887085015</v>
      </c>
      <c r="Y20" s="9" t="n">
        <f aca="false">X20+$B$5*(1+$B$6+0)^(24-1)-$B$7*(1+$B$8)^(24-1)+IF($B$10=24,$B$9,0)</f>
        <v>-222124.886513433</v>
      </c>
    </row>
    <row r="21" customFormat="false" ht="15" hidden="false" customHeight="false" outlineLevel="0" collapsed="false">
      <c r="A21" s="3" t="s">
        <v>27</v>
      </c>
      <c r="B21" s="9" t="n">
        <f aca="false">$B$4+$B$5*(1+$B$6+$B$12)^(1-1)-$B$7*(1+$B$8)^(1-1)+IF($B$10=1,$B$9,0)</f>
        <v>350000</v>
      </c>
      <c r="C21" s="9" t="n">
        <f aca="false">B21+$B$5*(1+$B$6+$B$12)^(2-1)-$B$7*(1+$B$8)^(2-1)+IF($B$10=2,$B$9,0)</f>
        <v>302500</v>
      </c>
      <c r="D21" s="9" t="n">
        <f aca="false">C21+$B$5*(1+$B$6+$B$12)^(3-1)-$B$7*(1+$B$8)^(3-1)+IF($B$10=3,$B$9,0)</f>
        <v>257705</v>
      </c>
      <c r="E21" s="9" t="n">
        <f aca="false">D21+$B$5*(1+$B$6+$B$12)^(4-1)-$B$7*(1+$B$8)^(4-1)+IF($B$10=4,$B$9,0)</f>
        <v>215832.85</v>
      </c>
      <c r="F21" s="9" t="n">
        <f aca="false">E21+$B$5*(1+$B$6+$B$12)^(5-1)-$B$7*(1+$B$8)^(5-1)+IF($B$10=5,$B$9,0)</f>
        <v>177115.0265</v>
      </c>
      <c r="G21" s="9" t="n">
        <f aca="false">F21+$B$5*(1+$B$6+$B$12)^(6-1)-$B$7*(1+$B$8)^(6-1)+IF($B$10=6,$B$9,0)</f>
        <v>141797.455645</v>
      </c>
      <c r="H21" s="9" t="n">
        <f aca="false">G21+$B$5*(1+$B$6+$B$12)^(7-1)-$B$7*(1+$B$8)^(7-1)+IF($B$10=7,$B$9,0)</f>
        <v>110141.38581425</v>
      </c>
      <c r="I21" s="9" t="n">
        <f aca="false">H21+$B$5*(1+$B$6+$B$12)^(8-1)-$B$7*(1+$B$8)^(8-1)+IF($B$10=8,$B$9,0)</f>
        <v>82424.3126219606</v>
      </c>
      <c r="J21" s="9" t="n">
        <f aca="false">I21+$B$5*(1+$B$6+$B$12)^(9-1)-$B$7*(1+$B$8)^(9-1)+IF($B$10=9,$B$9,0)</f>
        <v>58940.9594747223</v>
      </c>
      <c r="K21" s="9" t="n">
        <f aca="false">J21+$B$5*(1+$B$6+$B$12)^(10-1)-$B$7*(1+$B$8)^(10-1)+IF($B$10=10,$B$9,0)</f>
        <v>40004.3170196042</v>
      </c>
      <c r="L21" s="9" t="n">
        <f aca="false">K21+$B$5*(1+$B$6+$B$12)^(11-1)-$B$7*(1+$B$8)^(11-1)+IF($B$10=11,$B$9,0)</f>
        <v>25946.7450169429</v>
      </c>
      <c r="M21" s="9" t="n">
        <f aca="false">L21+$B$5*(1+$B$6+$B$12)^(12-1)-$B$7*(1+$B$8)^(12-1)+IF($B$10=12,$B$9,0)</f>
        <v>17121.1403838837</v>
      </c>
      <c r="N21" s="9" t="n">
        <f aca="false">M21+$B$5*(1+$B$6+$B$12)^(13-1)-$B$7*(1+$B$8)^(13-1)+IF($B$10=13,$B$9,0)</f>
        <v>13902.1753795001</v>
      </c>
      <c r="O21" s="9" t="n">
        <f aca="false">N21+$B$5*(1+$B$6+$B$12)^(14-1)-$B$7*(1+$B$8)^(14-1)+IF($B$10=14,$B$9,0)</f>
        <v>16687.6101405793</v>
      </c>
      <c r="P21" s="9" t="n">
        <f aca="false">O21+$B$5*(1+$B$6+$B$12)^(15-1)-$B$7*(1+$B$8)^(15-1)+IF($B$10=15,$B$9,0)</f>
        <v>25899.6840297064</v>
      </c>
      <c r="Q21" s="9" t="n">
        <f aca="false">P21+$B$5*(1+$B$6+$B$12)^(16-1)-$B$7*(1+$B$8)^(16-1)+IF($B$10=16,$B$9,0)</f>
        <v>41986.590524988</v>
      </c>
      <c r="R21" s="9" t="n">
        <f aca="false">Q21+$B$5*(1+$B$6+$B$12)^(17-1)-$B$7*(1+$B$8)^(17-1)+IF($B$10=17,$B$9,0)</f>
        <v>65424.0406645215</v>
      </c>
      <c r="S21" s="9" t="n">
        <f aca="false">R21+$B$5*(1+$B$6+$B$12)^(18-1)-$B$7*(1+$B$8)^(18-1)+IF($B$10=18,$B$9,0)</f>
        <v>96716.9203595075</v>
      </c>
      <c r="T21" s="9" t="n">
        <f aca="false">S21+$B$5*(1+$B$6+$B$12)^(19-1)-$B$7*(1+$B$8)^(19-1)+IF($B$10=19,$B$9,0)</f>
        <v>136401.047208744</v>
      </c>
      <c r="U21" s="9" t="n">
        <f aca="false">T21+$B$5*(1+$B$6+$B$12)^(20-1)-$B$7*(1+$B$8)^(20-1)+IF($B$10=20,$B$9,0)</f>
        <v>185045.032785211</v>
      </c>
      <c r="V21" s="9" t="n">
        <f aca="false">U21+$B$5*(1+$B$6+$B$12)^(21-1)-$B$7*(1+$B$8)^(21-1)+IF($B$10=21,$B$9,0)</f>
        <v>243252.256723705</v>
      </c>
      <c r="W21" s="9" t="n">
        <f aca="false">V21+$B$5*(1+$B$6+$B$12)^(22-1)-$B$7*(1+$B$8)^(22-1)+IF($B$10=22,$B$9,0)</f>
        <v>311662.959318223</v>
      </c>
      <c r="X21" s="9" t="n">
        <f aca="false">W21+$B$5*(1+$B$6+$B$12)^(23-1)-$B$7*(1+$B$8)^(23-1)+IF($B$10=23,$B$9,0)</f>
        <v>390956.459740323</v>
      </c>
      <c r="Y21" s="9" t="n">
        <f aca="false">X21+$B$5*(1+$B$6+$B$12)^(24-1)-$B$7*(1+$B$8)^(24-1)+IF($B$10=24,$B$9,0)</f>
        <v>481853.507416379</v>
      </c>
    </row>
    <row r="25" customFormat="false" ht="15" hidden="false" customHeight="false" outlineLevel="0" collapsed="false">
      <c r="A25" s="3" t="s">
        <v>28</v>
      </c>
    </row>
    <row r="26" customFormat="false" ht="35.05" hidden="false" customHeight="false" outlineLevel="0" collapsed="false">
      <c r="A26" s="10" t="s">
        <v>29</v>
      </c>
      <c r="B26" s="11" t="s">
        <v>30</v>
      </c>
      <c r="C26" s="11" t="s">
        <v>31</v>
      </c>
      <c r="D26" s="11" t="s">
        <v>32</v>
      </c>
    </row>
    <row r="27" customFormat="false" ht="15" hidden="false" customHeight="false" outlineLevel="0" collapsed="false">
      <c r="A27" s="2" t="s">
        <v>33</v>
      </c>
      <c r="B27" s="9" t="n">
        <f aca="false">$B$7-$B$5</f>
        <v>50000</v>
      </c>
      <c r="C27" s="12" t="n">
        <f aca="false">IFERROR(MATCH(TRUE(),INDEX(B19:Y19&lt;0,0),0)-1,"24+")</f>
        <v>7</v>
      </c>
      <c r="D27" s="13" t="n">
        <f aca="false">IF(ISNUMBER(C27),C27+1,"24+")</f>
        <v>8</v>
      </c>
    </row>
    <row r="28" customFormat="false" ht="15" hidden="false" customHeight="false" outlineLevel="0" collapsed="false">
      <c r="A28" s="2" t="s">
        <v>34</v>
      </c>
      <c r="B28" s="9" t="n">
        <f aca="false">$B$7-$B$5</f>
        <v>50000</v>
      </c>
      <c r="C28" s="12" t="n">
        <f aca="false">IFERROR(MATCH(TRUE(),INDEX(B20:Y20&lt;0,0),0)-1,"24+")</f>
        <v>9</v>
      </c>
      <c r="D28" s="13" t="n">
        <f aca="false">IF(ISNUMBER(C28),C28+1,"24+")</f>
        <v>10</v>
      </c>
    </row>
    <row r="29" customFormat="false" ht="15" hidden="false" customHeight="false" outlineLevel="0" collapsed="false">
      <c r="A29" s="2" t="s">
        <v>35</v>
      </c>
      <c r="B29" s="9" t="n">
        <f aca="false">$B$7-$B$5</f>
        <v>50000</v>
      </c>
      <c r="C29" s="12" t="str">
        <f aca="false">IFERROR(MATCH(TRUE(),INDEX(B21:Y21&lt;0,0),0)-1,"24+")</f>
        <v>24+</v>
      </c>
      <c r="D29" s="13" t="str">
        <f aca="false">IF(ISNUMBER(C29),C29+1,"24+")</f>
        <v>24+</v>
      </c>
    </row>
    <row r="31" customFormat="false" ht="15" hidden="false" customHeight="false" outlineLevel="0" collapsed="false">
      <c r="A31" s="14" t="s">
        <v>36</v>
      </c>
    </row>
  </sheetData>
  <conditionalFormatting sqref="B19:Y21">
    <cfRule type="cellIs" priority="2" operator="lessThan" aboveAverage="0" equalAverage="0" bottom="0" percent="0" rank="0" text="" dxfId="0">
      <formula>0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2026-10-03T08:34:28Z</dcterms:created>
  <dc:creator>openpyxl</dc:creator>
  <dc:description/>
  <dc:language>en-US</dc:language>
  <cp:lastModifiedBy/>
  <dcterms:modified xsi:type="dcterms:W3CDTF">2026-10-03T10:34:35Z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