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C87A065C-3740-42C8-8575-FCBFF3D94456}" xr6:coauthVersionLast="47" xr6:coauthVersionMax="47" xr10:uidLastSave="{00000000-0000-0000-0000-000000000000}"/>
  <bookViews>
    <workbookView xWindow="25080" yWindow="-120" windowWidth="25440" windowHeight="15270" xr2:uid="{682E3785-3C80-4053-BF25-C5030B9C1C5A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I2" i="2"/>
  <c r="O2" i="2" s="1"/>
  <c r="Q2" i="2"/>
  <c r="G3" i="2"/>
  <c r="I3" i="2"/>
  <c r="P3" i="2" s="1"/>
  <c r="O3" i="2"/>
  <c r="G4" i="2"/>
  <c r="I4" i="2"/>
  <c r="O4" i="2"/>
  <c r="P4" i="2"/>
  <c r="Q4" i="2"/>
  <c r="G5" i="2"/>
  <c r="I5" i="2"/>
  <c r="O5" i="2"/>
  <c r="P5" i="2"/>
  <c r="Q5" i="2"/>
  <c r="G6" i="2"/>
  <c r="I6" i="2"/>
  <c r="O6" i="2" s="1"/>
  <c r="P6" i="2"/>
  <c r="G7" i="2"/>
  <c r="I7" i="2"/>
  <c r="P7" i="2" s="1"/>
  <c r="O7" i="2"/>
  <c r="G8" i="2"/>
  <c r="I8" i="2"/>
  <c r="O8" i="2"/>
  <c r="P8" i="2"/>
  <c r="Q8" i="2"/>
  <c r="G9" i="2"/>
  <c r="I9" i="2"/>
  <c r="O9" i="2" s="1"/>
  <c r="P9" i="2"/>
  <c r="Q9" i="2"/>
  <c r="G10" i="2"/>
  <c r="I10" i="2"/>
  <c r="O10" i="2" s="1"/>
  <c r="G11" i="2"/>
  <c r="I11" i="2"/>
  <c r="Q11" i="2" s="1"/>
  <c r="O11" i="2"/>
  <c r="P11" i="2"/>
  <c r="G12" i="2"/>
  <c r="I12" i="2"/>
  <c r="O12" i="2"/>
  <c r="P12" i="2"/>
  <c r="Q12" i="2"/>
  <c r="G13" i="2"/>
  <c r="I13" i="2"/>
  <c r="O13" i="2" s="1"/>
  <c r="Q13" i="2"/>
  <c r="G14" i="2"/>
  <c r="I14" i="2"/>
  <c r="P14" i="2" s="1"/>
  <c r="O14" i="2"/>
  <c r="G15" i="2"/>
  <c r="I15" i="2"/>
  <c r="O15" i="2"/>
  <c r="P15" i="2"/>
  <c r="Q15" i="2"/>
  <c r="G16" i="2"/>
  <c r="I16" i="2"/>
  <c r="O16" i="2"/>
  <c r="P16" i="2"/>
  <c r="Q16" i="2"/>
  <c r="G17" i="2"/>
  <c r="I17" i="2"/>
  <c r="O17" i="2" s="1"/>
  <c r="P17" i="2"/>
  <c r="Q17" i="2"/>
  <c r="G18" i="2"/>
  <c r="I18" i="2"/>
  <c r="P18" i="2" s="1"/>
  <c r="O18" i="2"/>
  <c r="G19" i="2"/>
  <c r="I19" i="2"/>
  <c r="O19" i="2"/>
  <c r="P19" i="2"/>
  <c r="Q19" i="2"/>
  <c r="G20" i="2"/>
  <c r="I20" i="2"/>
  <c r="O20" i="2"/>
  <c r="P20" i="2"/>
  <c r="Q20" i="2"/>
  <c r="G21" i="2"/>
  <c r="I21" i="2"/>
  <c r="O21" i="2" s="1"/>
  <c r="G22" i="2"/>
  <c r="I22" i="2"/>
  <c r="O22" i="2"/>
  <c r="P22" i="2"/>
  <c r="Q22" i="2"/>
  <c r="G23" i="2"/>
  <c r="I23" i="2"/>
  <c r="O23" i="2" s="1"/>
  <c r="P23" i="2"/>
  <c r="Q23" i="2"/>
  <c r="G24" i="2"/>
  <c r="I24" i="2"/>
  <c r="P24" i="2" s="1"/>
  <c r="O24" i="2"/>
  <c r="G25" i="2"/>
  <c r="I25" i="2"/>
  <c r="O25" i="2"/>
  <c r="P25" i="2"/>
  <c r="Q25" i="2"/>
  <c r="G26" i="2"/>
  <c r="I26" i="2"/>
  <c r="O26" i="2" s="1"/>
  <c r="G27" i="2"/>
  <c r="I27" i="2"/>
  <c r="O27" i="2" s="1"/>
  <c r="P27" i="2"/>
  <c r="Q27" i="2"/>
  <c r="G28" i="2"/>
  <c r="I28" i="2"/>
  <c r="P28" i="2" s="1"/>
  <c r="O28" i="2"/>
  <c r="G29" i="2"/>
  <c r="I29" i="2"/>
  <c r="O29" i="2"/>
  <c r="P29" i="2"/>
  <c r="Q29" i="2"/>
  <c r="G30" i="2"/>
  <c r="I30" i="2"/>
  <c r="O30" i="2"/>
  <c r="P30" i="2"/>
  <c r="Q30" i="2"/>
  <c r="G31" i="2"/>
  <c r="I31" i="2"/>
  <c r="O31" i="2" s="1"/>
  <c r="Q31" i="2"/>
  <c r="G32" i="2"/>
  <c r="I32" i="2"/>
  <c r="P32" i="2" s="1"/>
  <c r="O32" i="2"/>
  <c r="G33" i="2"/>
  <c r="I33" i="2"/>
  <c r="O33" i="2"/>
  <c r="P33" i="2"/>
  <c r="Q33" i="2"/>
  <c r="G34" i="2"/>
  <c r="I34" i="2"/>
  <c r="O34" i="2"/>
  <c r="P34" i="2"/>
  <c r="Q34" i="2"/>
  <c r="D35" i="2"/>
  <c r="E35" i="2"/>
  <c r="F35" i="2"/>
  <c r="G36" i="2" s="1"/>
  <c r="H35" i="2"/>
  <c r="J35" i="2"/>
  <c r="K35" i="2"/>
  <c r="M35" i="2"/>
  <c r="N35" i="2"/>
  <c r="P31" i="2" l="1"/>
  <c r="Q26" i="2"/>
  <c r="P2" i="2"/>
  <c r="P26" i="2"/>
  <c r="Q21" i="2"/>
  <c r="Q6" i="2"/>
  <c r="I35" i="2"/>
  <c r="G37" i="2"/>
  <c r="Q32" i="2"/>
  <c r="Q28" i="2"/>
  <c r="Q24" i="2"/>
  <c r="Q7" i="2"/>
  <c r="Q3" i="2"/>
  <c r="P10" i="2"/>
  <c r="Q10" i="2"/>
  <c r="Q18" i="2"/>
  <c r="Q14" i="2"/>
  <c r="I37" i="2"/>
  <c r="O37" i="2"/>
  <c r="P21" i="2"/>
  <c r="P13" i="2"/>
</calcChain>
</file>

<file path=xl/sharedStrings.xml><?xml version="1.0" encoding="utf-8"?>
<sst xmlns="http://schemas.openxmlformats.org/spreadsheetml/2006/main" count="93" uniqueCount="88">
  <si>
    <t>Parcel Number</t>
  </si>
  <si>
    <t>Street Address</t>
  </si>
  <si>
    <t>Sale Date</t>
  </si>
  <si>
    <t>Sale Price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</si>
  <si>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</si>
  <si>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</si>
  <si>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</si>
  <si>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</si>
  <si>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</si>
  <si>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</si>
  <si>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</si>
  <si>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</si>
  <si>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</si>
  <si>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</si>
  <si>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</si>
  <si>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</si>
  <si>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</si>
  <si>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</si>
  <si>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41-11-08-151-014</t>
  </si>
  <si>
    <t>5609 DORADO CT NE</t>
  </si>
  <si>
    <t>41-11-08-156-006</t>
  </si>
  <si>
    <t>5763 ARROYO VISTA DR NE</t>
  </si>
  <si>
    <t>41-11-08-156-009</t>
  </si>
  <si>
    <t>5801 ARROYO VISTA DR NE</t>
  </si>
  <si>
    <t>41-11-08-176-013</t>
  </si>
  <si>
    <t>5925 ARROYO VISTA DR NE</t>
  </si>
  <si>
    <t>41-11-08-178-001</t>
  </si>
  <si>
    <t>7300 ARBOL DR NE</t>
  </si>
  <si>
    <t>41-11-08-178-007</t>
  </si>
  <si>
    <t>7297 LOMA LINDA DR NE</t>
  </si>
  <si>
    <t>41-11-08-210-008</t>
  </si>
  <si>
    <t>6165 ARROYO VISTA DR NE</t>
  </si>
  <si>
    <t>41-11-08-210-009</t>
  </si>
  <si>
    <t>6147 ARROYO VISTA DR NE</t>
  </si>
  <si>
    <t>41-11-08-210-018</t>
  </si>
  <si>
    <t>6025 ARROYO VISTA DR NE</t>
  </si>
  <si>
    <t>41-11-08-211-003</t>
  </si>
  <si>
    <t>6244 ARROYO VISTA DR NE</t>
  </si>
  <si>
    <t>41-11-08-228-007</t>
  </si>
  <si>
    <t>6274 MIRAMONTE DR NE</t>
  </si>
  <si>
    <t>41-11-08-228-015</t>
  </si>
  <si>
    <t>7389 LAS PALMAS DR NE</t>
  </si>
  <si>
    <t>41-11-08-252-036</t>
  </si>
  <si>
    <t>7233 LOMA LINDA CT NE</t>
  </si>
  <si>
    <t>41-11-08-276-005</t>
  </si>
  <si>
    <t>6389 LOS ALTOS DR NE</t>
  </si>
  <si>
    <t>41-11-08-276-019</t>
  </si>
  <si>
    <t>6448 GRAN VIA DR NE</t>
  </si>
  <si>
    <t>41-11-08-327-005</t>
  </si>
  <si>
    <t>7086 CRESCENDA DR NE</t>
  </si>
  <si>
    <t>41-11-08-329-017</t>
  </si>
  <si>
    <t>7020 CAMINO DEL REY DR NE</t>
  </si>
  <si>
    <t>41-11-08-374-017</t>
  </si>
  <si>
    <t>5643 VISTA DE ORO CT NE</t>
  </si>
  <si>
    <t>41-11-08-374-032</t>
  </si>
  <si>
    <t>6879 VISTA DE ORO DR NE</t>
  </si>
  <si>
    <t>41-11-08-390-010</t>
  </si>
  <si>
    <t>6900 VISTA GRANDE DR NE</t>
  </si>
  <si>
    <t>41-11-08-390-011</t>
  </si>
  <si>
    <t>6890 VISTA GRANDE DR NE</t>
  </si>
  <si>
    <t>41-11-08-401-006</t>
  </si>
  <si>
    <t>7229 CUESTA WAY NE</t>
  </si>
  <si>
    <t>41-11-08-401-007</t>
  </si>
  <si>
    <t>7135 LOMA LINDA DR NE</t>
  </si>
  <si>
    <t>41-11-08-401-008</t>
  </si>
  <si>
    <t>7147 LOMA LINDA DR NE</t>
  </si>
  <si>
    <t>41-11-08-451-002</t>
  </si>
  <si>
    <t>6850 BONITA VISTA CT NE</t>
  </si>
  <si>
    <t>41-11-08-451-003</t>
  </si>
  <si>
    <t>6842 BONITA VISTA CT NE</t>
  </si>
  <si>
    <t>41-11-08-480-028</t>
  </si>
  <si>
    <t>6340 W ENCANTADO CT NE</t>
  </si>
  <si>
    <t>41-11-09-102-011</t>
  </si>
  <si>
    <t>6484 LOS ALTOS DR NE</t>
  </si>
  <si>
    <t>41-11-09-151-003</t>
  </si>
  <si>
    <t>6525 GRAN VIA DR NE</t>
  </si>
  <si>
    <t>41-11-09-329-004</t>
  </si>
  <si>
    <t>6723 GRAN VIA DR NE</t>
  </si>
  <si>
    <t>41-11-09-329-005</t>
  </si>
  <si>
    <t>6737 GRAN VIA DR NE</t>
  </si>
  <si>
    <t>Totals:</t>
  </si>
  <si>
    <t>Sale. Ratio =&gt;</t>
  </si>
  <si>
    <t>Average</t>
  </si>
  <si>
    <t>Std. Dev. =&gt;</t>
  </si>
  <si>
    <t>per FF=&gt;</t>
  </si>
  <si>
    <t>per SqFt=&gt;</t>
  </si>
  <si>
    <t>2025 USED 1100</t>
  </si>
  <si>
    <t>2026 USE 1250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</si>
</sst>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40" fontId="2" fillId="0" borderId="0" xfId="0" applyNumberFormat="1" applyFont="1"/>
    <xf numFmtId="8" fontId="2" fillId="0" borderId="0" xfId="0" applyNumberFormat="1" applyFont="1"/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166" fontId="3" fillId="3" borderId="1" xfId="0" applyNumberFormat="1" applyFont="1" applyFill="1" applyBorder="1"/>
    <xf numFmtId="167" fontId="3" fillId="3" borderId="1" xfId="0" applyNumberFormat="1" applyFont="1" applyFill="1" applyBorder="1"/>
    <xf numFmtId="40" fontId="3" fillId="3" borderId="1" xfId="0" applyNumberFormat="1" applyFont="1" applyFill="1" applyBorder="1"/>
    <xf numFmtId="8" fontId="3" fillId="3" borderId="1" xfId="0" applyNumberFormat="1" applyFont="1" applyFill="1" applyBorder="1"/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166" fontId="3" fillId="3" borderId="0" xfId="0" applyNumberFormat="1" applyFont="1" applyFill="1" applyBorder="1"/>
    <xf numFmtId="167" fontId="3" fillId="3" borderId="0" xfId="0" applyNumberFormat="1" applyFont="1" applyFill="1" applyBorder="1"/>
    <xf numFmtId="40" fontId="3" fillId="3" borderId="0" xfId="0" applyNumberFormat="1" applyFont="1" applyFill="1" applyBorder="1"/>
    <xf numFmtId="8" fontId="3" fillId="3" borderId="0" xfId="0" applyNumberFormat="1" applyFont="1" applyFill="1" applyBorder="1"/>
    <xf numFmtId="0" fontId="3" fillId="3" borderId="0" xfId="0" applyFont="1" applyFill="1" applyBorder="1" applyAlignment="1">
      <alignment horizontal="right"/>
    </xf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168" fontId="3" fillId="3" borderId="2" xfId="0" applyNumberFormat="1" applyFont="1" applyFill="1" applyBorder="1"/>
    <xf numFmtId="167" fontId="3" fillId="3" borderId="2" xfId="0" applyNumberFormat="1" applyFont="1" applyFill="1" applyBorder="1"/>
    <xf numFmtId="40" fontId="3" fillId="3" borderId="2" xfId="0" applyNumberFormat="1" applyFont="1" applyFill="1" applyBorder="1"/>
    <xf numFmtId="8" fontId="3" fillId="3" borderId="2" xfId="0" applyNumberFormat="1" applyFont="1" applyFill="1" applyBorder="1"/>
    <xf numFmtId="0" fontId="3" fillId="3" borderId="2" xfId="0" applyFont="1" applyFill="1" applyBorder="1" applyAlignment="1">
      <alignment horizontal="right"/>
    </xf>
    <xf numFmtId="0" fontId="1" fillId="2" borderId="0" xfId="0" applyFont="1" applyFill="1" applyAlignment="1">
      <alignment horizontal="center" wrapText="1"/>
    </xf>
    <xf numFmtId="165" fontId="1" fillId="2" borderId="0" xfId="0" applyNumberFormat="1" applyFont="1" applyFill="1" applyAlignment="1">
      <alignment horizontal="center" wrapText="1"/>
    </xf>
    <xf numFmtId="6" fontId="1" fillId="2" borderId="0" xfId="0" applyNumberFormat="1" applyFont="1" applyFill="1" applyAlignment="1">
      <alignment horizontal="center" wrapText="1"/>
    </xf>
    <xf numFmtId="164" fontId="1" fillId="2" borderId="0" xfId="0" applyNumberFormat="1" applyFont="1" applyFill="1" applyAlignment="1">
      <alignment horizontal="center" wrapText="1"/>
    </xf>
    <xf numFmtId="166" fontId="1" fillId="2" borderId="0" xfId="0" applyNumberFormat="1" applyFont="1" applyFill="1" applyAlignment="1">
      <alignment horizontal="center" wrapText="1"/>
    </xf>
    <xf numFmtId="167" fontId="1" fillId="2" borderId="0" xfId="0" applyNumberFormat="1" applyFont="1" applyFill="1" applyAlignment="1">
      <alignment horizontal="center" wrapText="1"/>
    </xf>
    <xf numFmtId="40" fontId="1" fillId="2" borderId="0" xfId="0" applyNumberFormat="1" applyFont="1" applyFill="1" applyAlignment="1">
      <alignment horizontal="center" wrapText="1"/>
    </xf>
    <xf numFmtId="8" fontId="1" fillId="2" borderId="0" xfId="0" applyNumberFormat="1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A9BC3-F5D1-4DEC-A585-E172623AC9B5}">
  <dimension ref="A1:BJ40"/>
  <sheetViews>
    <sheetView tabSelected="1" topLeftCell="A14" workbookViewId="0">
      <selection activeCell="O15" sqref="O15"/>
    </sheetView>
  </sheetViews>
  <sheetFormatPr defaultRowHeight="15" x14ac:dyDescent="0.25"/>
  <cols>
    <col min="1" max="1" width="13.140625" style="2" bestFit="1" customWidth="1"/>
    <col min="2" max="2" width="20.28515625" style="2" bestFit="1" customWidth="1"/>
    <col min="3" max="3" width="7.28515625" style="3" bestFit="1" customWidth="1"/>
    <col min="4" max="5" width="10" style="4" bestFit="1" customWidth="1"/>
    <col min="6" max="6" width="11" style="4" bestFit="1" customWidth="1"/>
    <col min="7" max="7" width="8.28515625" style="5" customWidth="1"/>
    <col min="8" max="8" width="8.140625" style="4" customWidth="1"/>
    <col min="9" max="9" width="9.5703125" style="4" customWidth="1"/>
    <col min="10" max="10" width="9.28515625" style="4" customWidth="1"/>
    <col min="11" max="11" width="8.5703125" style="6" bestFit="1" customWidth="1"/>
    <col min="12" max="12" width="7.7109375" style="7" customWidth="1"/>
    <col min="13" max="13" width="6.7109375" style="8" customWidth="1"/>
    <col min="14" max="14" width="5.7109375" style="8" customWidth="1"/>
    <col min="15" max="15" width="7.7109375" style="4" bestFit="1" customWidth="1"/>
    <col min="16" max="16" width="9.28515625" style="4" bestFit="1" customWidth="1"/>
    <col min="17" max="17" width="9.28515625" style="9" bestFit="1" customWidth="1"/>
    <col min="18" max="18" width="9" style="8" bestFit="1" customWidth="1"/>
    <col min="19" max="19" width="6.85546875" bestFit="1" customWidth="1"/>
    <col min="20" max="20" width="14.42578125" bestFit="1" customWidth="1"/>
    <col min="21" max="21" width="14.85546875" bestFit="1" customWidth="1"/>
    <col min="22" max="22" width="8" bestFit="1" customWidth="1"/>
    <col min="23" max="23" width="5.28515625" bestFit="1" customWidth="1"/>
    <col min="24" max="24" width="5" bestFit="1" customWidth="1"/>
    <col min="25" max="25" width="11.5703125" bestFit="1" customWidth="1"/>
    <col min="26" max="26" width="7.42578125" bestFit="1" customWidth="1"/>
    <col min="27" max="27" width="4.5703125" bestFit="1" customWidth="1"/>
    <col min="28" max="30" width="9.5703125" bestFit="1" customWidth="1"/>
    <col min="31" max="31" width="14.28515625" bestFit="1" customWidth="1"/>
    <col min="32" max="32" width="5.5703125" bestFit="1" customWidth="1"/>
    <col min="33" max="33" width="9.85546875" bestFit="1" customWidth="1"/>
    <col min="34" max="34" width="5.140625" bestFit="1" customWidth="1"/>
    <col min="35" max="35" width="15.42578125" bestFit="1" customWidth="1"/>
    <col min="36" max="36" width="12.7109375" bestFit="1" customWidth="1"/>
    <col min="37" max="37" width="11.140625" bestFit="1" customWidth="1"/>
    <col min="38" max="38" width="8.28515625" bestFit="1" customWidth="1"/>
    <col min="39" max="39" width="12.42578125" bestFit="1" customWidth="1"/>
    <col min="40" max="40" width="15.85546875" bestFit="1" customWidth="1"/>
    <col min="41" max="41" width="15.7109375" bestFit="1" customWidth="1"/>
    <col min="42" max="42" width="12.85546875" bestFit="1" customWidth="1"/>
  </cols>
  <sheetData>
    <row r="1" spans="1:62" s="45" customFormat="1" ht="36.75" customHeight="1" x14ac:dyDescent="0.25">
      <c r="A1" s="36" t="s">
        <v>0</v>
      </c>
      <c r="B1" s="36" t="s">
        <v>1</v>
      </c>
      <c r="C1" s="37" t="s">
        <v>2</v>
      </c>
      <c r="D1" s="38" t="s">
        <v>3</v>
      </c>
      <c r="E1" s="38" t="s">
        <v>4</v>
      </c>
      <c r="F1" s="38" t="s">
        <v>5</v>
      </c>
      <c r="G1" s="39" t="s">
        <v>6</v>
      </c>
      <c r="H1" s="38" t="s">
        <v>7</v>
      </c>
      <c r="I1" s="38" t="s">
        <v>8</v>
      </c>
      <c r="J1" s="38" t="s">
        <v>9</v>
      </c>
      <c r="K1" s="40" t="s">
        <v>10</v>
      </c>
      <c r="L1" s="41" t="s">
        <v>11</v>
      </c>
      <c r="M1" s="42" t="s">
        <v>12</v>
      </c>
      <c r="N1" s="42" t="s">
        <v>13</v>
      </c>
      <c r="O1" s="38" t="s">
        <v>14</v>
      </c>
      <c r="P1" s="38" t="s">
        <v>15</v>
      </c>
      <c r="Q1" s="43" t="s">
        <v>16</v>
      </c>
      <c r="R1" s="42" t="s">
        <v>17</v>
      </c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</row>
    <row r="2" spans="1:62" x14ac:dyDescent="0.25">
      <c r="A2" s="2" t="s">
        <v>18</v>
      </c>
      <c r="B2" s="2" t="s">
        <v>19</v>
      </c>
      <c r="C2" s="3">
        <v>45709</v>
      </c>
      <c r="D2" s="4">
        <v>456000</v>
      </c>
      <c r="E2" s="4">
        <v>456000</v>
      </c>
      <c r="F2" s="4">
        <v>199800</v>
      </c>
      <c r="G2" s="5">
        <f>F2/E2*100</f>
        <v>43.815789473684205</v>
      </c>
      <c r="H2" s="4">
        <v>468543</v>
      </c>
      <c r="I2" s="4">
        <f>E2-351597</f>
        <v>104403</v>
      </c>
      <c r="J2" s="4">
        <v>116946</v>
      </c>
      <c r="K2" s="6">
        <v>106.314224</v>
      </c>
      <c r="L2" s="7">
        <v>149</v>
      </c>
      <c r="M2" s="8">
        <v>0.40400000000000003</v>
      </c>
      <c r="N2" s="8">
        <v>0.40400000000000003</v>
      </c>
      <c r="O2" s="4">
        <f>I2/K2</f>
        <v>982.0228758853566</v>
      </c>
      <c r="P2" s="4">
        <f>I2/M2</f>
        <v>258423.26732673266</v>
      </c>
      <c r="Q2" s="9">
        <f>I2/M2/43560</f>
        <v>5.932581894553091</v>
      </c>
      <c r="R2" s="8">
        <v>118</v>
      </c>
      <c r="BA2" s="1"/>
      <c r="BC2" s="1"/>
    </row>
    <row r="3" spans="1:62" x14ac:dyDescent="0.25">
      <c r="A3" s="2" t="s">
        <v>20</v>
      </c>
      <c r="B3" s="2" t="s">
        <v>21</v>
      </c>
      <c r="C3" s="3">
        <v>45268</v>
      </c>
      <c r="D3" s="4">
        <v>350000</v>
      </c>
      <c r="E3" s="4">
        <v>350000</v>
      </c>
      <c r="F3" s="4">
        <v>115600</v>
      </c>
      <c r="G3" s="5">
        <f>F3/E3*100</f>
        <v>33.028571428571432</v>
      </c>
      <c r="H3" s="4">
        <v>297094</v>
      </c>
      <c r="I3" s="4">
        <f>E3-197506</f>
        <v>152494</v>
      </c>
      <c r="J3" s="4">
        <v>99588</v>
      </c>
      <c r="K3" s="6">
        <v>90.534128999999993</v>
      </c>
      <c r="L3" s="7">
        <v>150</v>
      </c>
      <c r="M3" s="8">
        <v>0.29299999999999998</v>
      </c>
      <c r="N3" s="8">
        <v>0.29299999999999998</v>
      </c>
      <c r="O3" s="4">
        <f>I3/K3</f>
        <v>1684.3813673846689</v>
      </c>
      <c r="P3" s="4">
        <f>I3/M3</f>
        <v>520457.33788395906</v>
      </c>
      <c r="Q3" s="9">
        <f>I3/M3/43560</f>
        <v>11.948056425251586</v>
      </c>
      <c r="R3" s="8">
        <v>85</v>
      </c>
    </row>
    <row r="4" spans="1:62" x14ac:dyDescent="0.25">
      <c r="A4" s="2" t="s">
        <v>22</v>
      </c>
      <c r="B4" s="2" t="s">
        <v>23</v>
      </c>
      <c r="C4" s="3">
        <v>45153</v>
      </c>
      <c r="D4" s="4">
        <v>398500</v>
      </c>
      <c r="E4" s="4">
        <v>398500</v>
      </c>
      <c r="F4" s="4">
        <v>145300</v>
      </c>
      <c r="G4" s="5">
        <f>F4/E4*100</f>
        <v>36.461731493099123</v>
      </c>
      <c r="H4" s="4">
        <v>375330</v>
      </c>
      <c r="I4" s="4">
        <f>E4-272855</f>
        <v>125645</v>
      </c>
      <c r="J4" s="4">
        <v>102475</v>
      </c>
      <c r="K4" s="6">
        <v>93.158850999999999</v>
      </c>
      <c r="L4" s="7">
        <v>150</v>
      </c>
      <c r="M4" s="8">
        <v>0.31</v>
      </c>
      <c r="N4" s="8">
        <v>0.31</v>
      </c>
      <c r="O4" s="4">
        <f>I4/K4</f>
        <v>1348.7177938680245</v>
      </c>
      <c r="P4" s="4">
        <f>I4/M4</f>
        <v>405306.45161290321</v>
      </c>
      <c r="Q4" s="9">
        <f>I4/M4/43560</f>
        <v>9.30455582215113</v>
      </c>
      <c r="R4" s="8">
        <v>90</v>
      </c>
    </row>
    <row r="5" spans="1:62" x14ac:dyDescent="0.25">
      <c r="A5" s="2" t="s">
        <v>24</v>
      </c>
      <c r="B5" s="2" t="s">
        <v>25</v>
      </c>
      <c r="C5" s="3">
        <v>45065</v>
      </c>
      <c r="D5" s="4">
        <v>470000</v>
      </c>
      <c r="E5" s="4">
        <v>470000</v>
      </c>
      <c r="F5" s="4">
        <v>179900</v>
      </c>
      <c r="G5" s="5">
        <f>F5/E5*100</f>
        <v>38.276595744680854</v>
      </c>
      <c r="H5" s="4">
        <v>464232</v>
      </c>
      <c r="I5" s="4">
        <f>E5-361648</f>
        <v>108352</v>
      </c>
      <c r="J5" s="4">
        <v>102584</v>
      </c>
      <c r="K5" s="6">
        <v>93.258167</v>
      </c>
      <c r="L5" s="7">
        <v>150.320007</v>
      </c>
      <c r="M5" s="8">
        <v>0.311</v>
      </c>
      <c r="N5" s="8">
        <v>0.311</v>
      </c>
      <c r="O5" s="4">
        <f>I5/K5</f>
        <v>1161.8499857497736</v>
      </c>
      <c r="P5" s="4">
        <f>I5/M5</f>
        <v>348398.71382636658</v>
      </c>
      <c r="Q5" s="9">
        <f>I5/M5/43560</f>
        <v>7.9981339262251279</v>
      </c>
      <c r="R5" s="8">
        <v>90</v>
      </c>
    </row>
    <row r="6" spans="1:62" x14ac:dyDescent="0.25">
      <c r="A6" s="2" t="s">
        <v>26</v>
      </c>
      <c r="B6" s="2" t="s">
        <v>27</v>
      </c>
      <c r="C6" s="3">
        <v>45726</v>
      </c>
      <c r="D6" s="4">
        <v>430000</v>
      </c>
      <c r="E6" s="4">
        <v>430000</v>
      </c>
      <c r="F6" s="4">
        <v>165800</v>
      </c>
      <c r="G6" s="5">
        <f>F6/E6*100</f>
        <v>38.558139534883722</v>
      </c>
      <c r="H6" s="4">
        <v>390356</v>
      </c>
      <c r="I6" s="4">
        <f>E6-287925</f>
        <v>142075</v>
      </c>
      <c r="J6" s="4">
        <v>102431</v>
      </c>
      <c r="K6" s="6">
        <v>93.119422</v>
      </c>
      <c r="L6" s="7">
        <v>141.98500100000001</v>
      </c>
      <c r="M6" s="8">
        <v>0.31</v>
      </c>
      <c r="N6" s="8">
        <v>0.31</v>
      </c>
      <c r="O6" s="4">
        <f>I6/K6</f>
        <v>1525.7289719861019</v>
      </c>
      <c r="P6" s="4">
        <f>I6/M6</f>
        <v>458306.45161290321</v>
      </c>
      <c r="Q6" s="9">
        <f>I6/M6/43560</f>
        <v>10.521268402500073</v>
      </c>
      <c r="R6" s="8">
        <v>95</v>
      </c>
    </row>
    <row r="7" spans="1:62" x14ac:dyDescent="0.25">
      <c r="A7" s="2" t="s">
        <v>28</v>
      </c>
      <c r="B7" s="2" t="s">
        <v>29</v>
      </c>
      <c r="C7" s="3">
        <v>45282</v>
      </c>
      <c r="D7" s="4">
        <v>395000</v>
      </c>
      <c r="E7" s="4">
        <v>395000</v>
      </c>
      <c r="F7" s="4">
        <v>127600</v>
      </c>
      <c r="G7" s="5">
        <f>F7/E7*100</f>
        <v>32.303797468354425</v>
      </c>
      <c r="H7" s="4">
        <v>349942</v>
      </c>
      <c r="I7" s="4">
        <f>E7-248767</f>
        <v>146233</v>
      </c>
      <c r="J7" s="4">
        <v>101175</v>
      </c>
      <c r="K7" s="6">
        <v>91.977209999999999</v>
      </c>
      <c r="L7" s="7">
        <v>154.820007</v>
      </c>
      <c r="M7" s="8">
        <v>0.30199999999999999</v>
      </c>
      <c r="N7" s="8">
        <v>0.30199999999999999</v>
      </c>
      <c r="O7" s="4">
        <f>I7/K7</f>
        <v>1589.8829720971098</v>
      </c>
      <c r="P7" s="4">
        <f>I7/M7</f>
        <v>484215.23178807949</v>
      </c>
      <c r="Q7" s="9">
        <f>I7/M7/43560</f>
        <v>11.116052153078041</v>
      </c>
      <c r="R7" s="8">
        <v>85</v>
      </c>
    </row>
    <row r="8" spans="1:62" x14ac:dyDescent="0.25">
      <c r="A8" s="2" t="s">
        <v>30</v>
      </c>
      <c r="B8" s="2" t="s">
        <v>31</v>
      </c>
      <c r="C8" s="3">
        <v>45499</v>
      </c>
      <c r="D8" s="4">
        <v>380000</v>
      </c>
      <c r="E8" s="4">
        <v>380000</v>
      </c>
      <c r="F8" s="4">
        <v>130000</v>
      </c>
      <c r="G8" s="5">
        <f>F8/E8*100</f>
        <v>34.210526315789473</v>
      </c>
      <c r="H8" s="4">
        <v>319920</v>
      </c>
      <c r="I8" s="4">
        <f>E8-211902</f>
        <v>168098</v>
      </c>
      <c r="J8" s="4">
        <v>108018</v>
      </c>
      <c r="K8" s="6">
        <v>98.198051000000007</v>
      </c>
      <c r="L8" s="7">
        <v>150</v>
      </c>
      <c r="M8" s="8">
        <v>0.34399999999999997</v>
      </c>
      <c r="N8" s="8">
        <v>0.34399999999999997</v>
      </c>
      <c r="O8" s="4">
        <f>I8/K8</f>
        <v>1711.8262357365932</v>
      </c>
      <c r="P8" s="4">
        <f>I8/M8</f>
        <v>488656.97674418607</v>
      </c>
      <c r="Q8" s="9">
        <f>I8/M8/43560</f>
        <v>11.218020586413822</v>
      </c>
      <c r="R8" s="8">
        <v>100</v>
      </c>
    </row>
    <row r="9" spans="1:62" x14ac:dyDescent="0.25">
      <c r="A9" s="2" t="s">
        <v>32</v>
      </c>
      <c r="B9" s="2" t="s">
        <v>33</v>
      </c>
      <c r="C9" s="3">
        <v>45392</v>
      </c>
      <c r="D9" s="4">
        <v>374300</v>
      </c>
      <c r="E9" s="4">
        <v>374300</v>
      </c>
      <c r="F9" s="4">
        <v>143000</v>
      </c>
      <c r="G9" s="5">
        <f>F9/E9*100</f>
        <v>38.204648677531395</v>
      </c>
      <c r="H9" s="4">
        <v>337484</v>
      </c>
      <c r="I9" s="4">
        <f>E9-229466</f>
        <v>144834</v>
      </c>
      <c r="J9" s="4">
        <v>108018</v>
      </c>
      <c r="K9" s="6">
        <v>98.198051000000007</v>
      </c>
      <c r="L9" s="7">
        <v>150</v>
      </c>
      <c r="M9" s="8">
        <v>0.34399999999999997</v>
      </c>
      <c r="N9" s="8">
        <v>0.34399999999999997</v>
      </c>
      <c r="O9" s="4">
        <f>I9/K9</f>
        <v>1474.917256758996</v>
      </c>
      <c r="P9" s="4">
        <f>I9/M9</f>
        <v>421029.06976744189</v>
      </c>
      <c r="Q9" s="9">
        <f>I9/M9/43560</f>
        <v>9.6654974694086757</v>
      </c>
      <c r="R9" s="8">
        <v>100</v>
      </c>
    </row>
    <row r="10" spans="1:62" x14ac:dyDescent="0.25">
      <c r="A10" s="2" t="s">
        <v>34</v>
      </c>
      <c r="B10" s="2" t="s">
        <v>35</v>
      </c>
      <c r="C10" s="3">
        <v>45618</v>
      </c>
      <c r="D10" s="4">
        <v>485000</v>
      </c>
      <c r="E10" s="4">
        <v>485000</v>
      </c>
      <c r="F10" s="4">
        <v>183700</v>
      </c>
      <c r="G10" s="5">
        <f>F10/E10*100</f>
        <v>37.876288659793815</v>
      </c>
      <c r="H10" s="4">
        <v>431287</v>
      </c>
      <c r="I10" s="4">
        <f>E10-341107</f>
        <v>143893</v>
      </c>
      <c r="J10" s="4">
        <v>90180</v>
      </c>
      <c r="K10" s="6">
        <v>81.982140999999999</v>
      </c>
      <c r="L10" s="7">
        <v>123</v>
      </c>
      <c r="M10" s="8">
        <v>0.24</v>
      </c>
      <c r="N10" s="8">
        <v>0.24</v>
      </c>
      <c r="O10" s="4">
        <f>I10/K10</f>
        <v>1755.1749471875833</v>
      </c>
      <c r="P10" s="4">
        <f>I10/M10</f>
        <v>599554.16666666674</v>
      </c>
      <c r="Q10" s="9">
        <f>I10/M10/43560</f>
        <v>13.763869758187942</v>
      </c>
      <c r="R10" s="8">
        <v>85</v>
      </c>
    </row>
    <row r="11" spans="1:62" x14ac:dyDescent="0.25">
      <c r="A11" s="2" t="s">
        <v>36</v>
      </c>
      <c r="B11" s="2" t="s">
        <v>37</v>
      </c>
      <c r="C11" s="3">
        <v>45329</v>
      </c>
      <c r="D11" s="4">
        <v>455000</v>
      </c>
      <c r="E11" s="4">
        <v>455000</v>
      </c>
      <c r="F11" s="4">
        <v>140800</v>
      </c>
      <c r="G11" s="5">
        <f>F11/E11*100</f>
        <v>30.945054945054945</v>
      </c>
      <c r="H11" s="4">
        <v>365283</v>
      </c>
      <c r="I11" s="4">
        <f>E11-262429</f>
        <v>192571</v>
      </c>
      <c r="J11" s="4">
        <v>102854</v>
      </c>
      <c r="K11" s="6">
        <v>93.503247000000002</v>
      </c>
      <c r="L11" s="7">
        <v>160</v>
      </c>
      <c r="M11" s="8">
        <v>0.312</v>
      </c>
      <c r="N11" s="8">
        <v>0.312</v>
      </c>
      <c r="O11" s="4">
        <f>I11/K11</f>
        <v>2059.5113664876258</v>
      </c>
      <c r="P11" s="4">
        <f>I11/M11</f>
        <v>617214.74358974362</v>
      </c>
      <c r="Q11" s="9">
        <f>I11/M11/43560</f>
        <v>14.169300817028091</v>
      </c>
      <c r="R11" s="8">
        <v>85</v>
      </c>
    </row>
    <row r="12" spans="1:62" x14ac:dyDescent="0.25">
      <c r="A12" s="2" t="s">
        <v>38</v>
      </c>
      <c r="B12" s="2" t="s">
        <v>39</v>
      </c>
      <c r="C12" s="3">
        <v>45037</v>
      </c>
      <c r="D12" s="4">
        <v>500000</v>
      </c>
      <c r="E12" s="4">
        <v>500000</v>
      </c>
      <c r="F12" s="4">
        <v>202000</v>
      </c>
      <c r="G12" s="5">
        <f>F12/E12*100</f>
        <v>40.400000000000006</v>
      </c>
      <c r="H12" s="4">
        <v>523449</v>
      </c>
      <c r="I12" s="4">
        <f>E12-418555</f>
        <v>81445</v>
      </c>
      <c r="J12" s="4">
        <v>104894</v>
      </c>
      <c r="K12" s="6">
        <v>95.357851999999994</v>
      </c>
      <c r="L12" s="7">
        <v>148</v>
      </c>
      <c r="M12" s="8">
        <v>0.309</v>
      </c>
      <c r="N12" s="8">
        <v>0.309</v>
      </c>
      <c r="O12" s="4">
        <f>I12/K12</f>
        <v>854.09851723589588</v>
      </c>
      <c r="P12" s="4">
        <f>I12/M12</f>
        <v>263576.05177993525</v>
      </c>
      <c r="Q12" s="9">
        <f>I12/M12/43560</f>
        <v>6.0508735486670169</v>
      </c>
      <c r="R12" s="8">
        <v>104.86</v>
      </c>
    </row>
    <row r="13" spans="1:62" x14ac:dyDescent="0.25">
      <c r="A13" s="2" t="s">
        <v>40</v>
      </c>
      <c r="B13" s="2" t="s">
        <v>41</v>
      </c>
      <c r="C13" s="3">
        <v>45518</v>
      </c>
      <c r="D13" s="4">
        <v>511500</v>
      </c>
      <c r="E13" s="4">
        <v>511500</v>
      </c>
      <c r="F13" s="4">
        <v>230500</v>
      </c>
      <c r="G13" s="5">
        <f>F13/E13*100</f>
        <v>45.063538611925708</v>
      </c>
      <c r="H13" s="4">
        <v>554982</v>
      </c>
      <c r="I13" s="4">
        <f>E13-445733</f>
        <v>65767</v>
      </c>
      <c r="J13" s="4">
        <v>109249</v>
      </c>
      <c r="K13" s="6">
        <v>99.317672000000002</v>
      </c>
      <c r="L13" s="7">
        <v>168</v>
      </c>
      <c r="M13" s="8">
        <v>0.36099999999999999</v>
      </c>
      <c r="N13" s="8">
        <v>0.36099999999999999</v>
      </c>
      <c r="O13" s="4">
        <f>I13/K13</f>
        <v>662.18829615740492</v>
      </c>
      <c r="P13" s="4">
        <f>I13/M13</f>
        <v>182180.05540166204</v>
      </c>
      <c r="Q13" s="9">
        <f>I13/M13/43560</f>
        <v>4.1822785904881092</v>
      </c>
      <c r="R13" s="8">
        <v>87</v>
      </c>
    </row>
    <row r="14" spans="1:62" x14ac:dyDescent="0.25">
      <c r="A14" s="2" t="s">
        <v>42</v>
      </c>
      <c r="B14" s="2" t="s">
        <v>43</v>
      </c>
      <c r="C14" s="3">
        <v>45330</v>
      </c>
      <c r="D14" s="4">
        <v>455000</v>
      </c>
      <c r="E14" s="4">
        <v>455000</v>
      </c>
      <c r="F14" s="4">
        <v>169400</v>
      </c>
      <c r="G14" s="5">
        <f>F14/E14*100</f>
        <v>37.230769230769226</v>
      </c>
      <c r="H14" s="4">
        <v>437709</v>
      </c>
      <c r="I14" s="4">
        <f>E14-336957</f>
        <v>118043</v>
      </c>
      <c r="J14" s="4">
        <v>100752</v>
      </c>
      <c r="K14" s="6">
        <v>91.593044000000006</v>
      </c>
      <c r="L14" s="7">
        <v>145</v>
      </c>
      <c r="M14" s="8">
        <v>0.3</v>
      </c>
      <c r="N14" s="8">
        <v>0.3</v>
      </c>
      <c r="O14" s="4">
        <f>I14/K14</f>
        <v>1288.7769075564297</v>
      </c>
      <c r="P14" s="4">
        <f>I14/M14</f>
        <v>393476.66666666669</v>
      </c>
      <c r="Q14" s="9">
        <f>I14/M14/43560</f>
        <v>9.0329813284358735</v>
      </c>
      <c r="R14" s="8">
        <v>90</v>
      </c>
    </row>
    <row r="15" spans="1:62" x14ac:dyDescent="0.25">
      <c r="A15" s="2" t="s">
        <v>44</v>
      </c>
      <c r="B15" s="2" t="s">
        <v>45</v>
      </c>
      <c r="C15" s="3">
        <v>45126</v>
      </c>
      <c r="D15" s="4">
        <v>435000</v>
      </c>
      <c r="E15" s="4">
        <v>435000</v>
      </c>
      <c r="F15" s="4">
        <v>206000</v>
      </c>
      <c r="G15" s="5">
        <f>F15/E15*100</f>
        <v>47.356321839080465</v>
      </c>
      <c r="H15" s="4">
        <v>536205</v>
      </c>
      <c r="I15" s="4">
        <f>E15-426198</f>
        <v>8802</v>
      </c>
      <c r="J15" s="4">
        <v>110007</v>
      </c>
      <c r="K15" s="6">
        <v>100.00624999999999</v>
      </c>
      <c r="L15" s="7">
        <v>155.574997</v>
      </c>
      <c r="M15" s="8">
        <v>0.35699999999999998</v>
      </c>
      <c r="N15" s="8">
        <v>0.35699999999999998</v>
      </c>
      <c r="O15" s="4">
        <f>I15/K15</f>
        <v>88.014499093806648</v>
      </c>
      <c r="P15" s="4">
        <f>I15/M15</f>
        <v>24655.462184873952</v>
      </c>
      <c r="Q15" s="9">
        <f>I15/M15/43560</f>
        <v>0.56601152857837356</v>
      </c>
      <c r="R15" s="8">
        <v>100</v>
      </c>
    </row>
    <row r="16" spans="1:62" x14ac:dyDescent="0.25">
      <c r="A16" s="2" t="s">
        <v>46</v>
      </c>
      <c r="B16" s="2" t="s">
        <v>47</v>
      </c>
      <c r="C16" s="3">
        <v>45153</v>
      </c>
      <c r="D16" s="4">
        <v>425000</v>
      </c>
      <c r="E16" s="4">
        <v>425000</v>
      </c>
      <c r="F16" s="4">
        <v>200100</v>
      </c>
      <c r="G16" s="5">
        <f>F16/E16*100</f>
        <v>47.082352941176467</v>
      </c>
      <c r="H16" s="4">
        <v>517638</v>
      </c>
      <c r="I16" s="4">
        <f>E16-393159</f>
        <v>31841</v>
      </c>
      <c r="J16" s="4">
        <v>124479</v>
      </c>
      <c r="K16" s="6">
        <v>113.162336</v>
      </c>
      <c r="L16" s="7">
        <v>166</v>
      </c>
      <c r="M16" s="8">
        <v>0.45700000000000002</v>
      </c>
      <c r="N16" s="8">
        <v>0.45700000000000002</v>
      </c>
      <c r="O16" s="4">
        <f>I16/K16</f>
        <v>281.37453790278772</v>
      </c>
      <c r="P16" s="4">
        <f>I16/M16</f>
        <v>69673.960612691459</v>
      </c>
      <c r="Q16" s="9">
        <f>I16/M16/43560</f>
        <v>1.5994940452867645</v>
      </c>
      <c r="R16" s="8">
        <v>120</v>
      </c>
    </row>
    <row r="17" spans="1:18" x14ac:dyDescent="0.25">
      <c r="A17" s="2" t="s">
        <v>48</v>
      </c>
      <c r="B17" s="2" t="s">
        <v>49</v>
      </c>
      <c r="C17" s="3">
        <v>45268</v>
      </c>
      <c r="D17" s="4">
        <v>430900</v>
      </c>
      <c r="E17" s="4">
        <v>430900</v>
      </c>
      <c r="F17" s="4">
        <v>173900</v>
      </c>
      <c r="G17" s="5">
        <f>F17/E17*100</f>
        <v>40.357391506149924</v>
      </c>
      <c r="H17" s="4">
        <v>448803</v>
      </c>
      <c r="I17" s="4">
        <f>E17-349515</f>
        <v>81385</v>
      </c>
      <c r="J17" s="4">
        <v>99288</v>
      </c>
      <c r="K17" s="6">
        <v>90.262118000000001</v>
      </c>
      <c r="L17" s="7">
        <v>168.979996</v>
      </c>
      <c r="M17" s="8">
        <v>0.29099999999999998</v>
      </c>
      <c r="N17" s="8">
        <v>0.29099999999999998</v>
      </c>
      <c r="O17" s="4">
        <f>I17/K17</f>
        <v>901.65178707639006</v>
      </c>
      <c r="P17" s="4">
        <f>I17/M17</f>
        <v>279673.53951890039</v>
      </c>
      <c r="Q17" s="9">
        <f>I17/M17/43560</f>
        <v>6.4204210174219556</v>
      </c>
      <c r="R17" s="8">
        <v>75</v>
      </c>
    </row>
    <row r="18" spans="1:18" x14ac:dyDescent="0.25">
      <c r="A18" s="2" t="s">
        <v>50</v>
      </c>
      <c r="B18" s="2" t="s">
        <v>51</v>
      </c>
      <c r="C18" s="3">
        <v>45247</v>
      </c>
      <c r="D18" s="4">
        <v>375000</v>
      </c>
      <c r="E18" s="4">
        <v>375000</v>
      </c>
      <c r="F18" s="4">
        <v>117300</v>
      </c>
      <c r="G18" s="5">
        <f>F18/E18*100</f>
        <v>31.28</v>
      </c>
      <c r="H18" s="4">
        <v>300860</v>
      </c>
      <c r="I18" s="4">
        <f>E18-192177</f>
        <v>182823</v>
      </c>
      <c r="J18" s="4">
        <v>108683</v>
      </c>
      <c r="K18" s="6">
        <v>98.803017999999994</v>
      </c>
      <c r="L18" s="7">
        <v>119.57</v>
      </c>
      <c r="M18" s="8">
        <v>0.34899999999999998</v>
      </c>
      <c r="N18" s="8">
        <v>0.34899999999999998</v>
      </c>
      <c r="O18" s="4">
        <f>I18/K18</f>
        <v>1850.3786999704807</v>
      </c>
      <c r="P18" s="4">
        <f>I18/M18</f>
        <v>523848.13753581664</v>
      </c>
      <c r="Q18" s="9">
        <f>I18/M18/43560</f>
        <v>12.025898474192301</v>
      </c>
      <c r="R18" s="8">
        <v>127</v>
      </c>
    </row>
    <row r="19" spans="1:18" x14ac:dyDescent="0.25">
      <c r="A19" s="2" t="s">
        <v>52</v>
      </c>
      <c r="B19" s="2" t="s">
        <v>53</v>
      </c>
      <c r="C19" s="3">
        <v>45119</v>
      </c>
      <c r="D19" s="4">
        <v>365000</v>
      </c>
      <c r="E19" s="4">
        <v>365000</v>
      </c>
      <c r="F19" s="4">
        <v>132800</v>
      </c>
      <c r="G19" s="5">
        <f>F19/E19*100</f>
        <v>36.383561643835613</v>
      </c>
      <c r="H19" s="4">
        <v>341750</v>
      </c>
      <c r="I19" s="4">
        <f>E19-231193</f>
        <v>133807</v>
      </c>
      <c r="J19" s="4">
        <v>110557</v>
      </c>
      <c r="K19" s="6">
        <v>100.50616599999999</v>
      </c>
      <c r="L19" s="7">
        <v>152.78500399999999</v>
      </c>
      <c r="M19" s="8">
        <v>0.44600000000000001</v>
      </c>
      <c r="N19" s="8">
        <v>0.44600000000000001</v>
      </c>
      <c r="O19" s="4">
        <f>I19/K19</f>
        <v>1331.3312538456596</v>
      </c>
      <c r="P19" s="4">
        <f>I19/M19</f>
        <v>300015.69506726455</v>
      </c>
      <c r="Q19" s="9">
        <f>I19/M19/43560</f>
        <v>6.8874126507636486</v>
      </c>
      <c r="R19" s="8">
        <v>54.27</v>
      </c>
    </row>
    <row r="20" spans="1:18" x14ac:dyDescent="0.25">
      <c r="A20" s="2" t="s">
        <v>54</v>
      </c>
      <c r="B20" s="2" t="s">
        <v>55</v>
      </c>
      <c r="C20" s="3">
        <v>45107</v>
      </c>
      <c r="D20" s="4">
        <v>75000</v>
      </c>
      <c r="E20" s="4">
        <v>75000</v>
      </c>
      <c r="F20" s="4">
        <v>40800</v>
      </c>
      <c r="G20" s="5">
        <f>F20/E20*100</f>
        <v>54.400000000000006</v>
      </c>
      <c r="H20" s="4">
        <v>99701</v>
      </c>
      <c r="I20" s="4">
        <f>E20-0</f>
        <v>75000</v>
      </c>
      <c r="J20" s="4">
        <v>99701</v>
      </c>
      <c r="K20" s="6">
        <v>90.637030999999993</v>
      </c>
      <c r="L20" s="7">
        <v>127.790001</v>
      </c>
      <c r="M20" s="8">
        <v>0.29299999999999998</v>
      </c>
      <c r="N20" s="8">
        <v>0.29299999999999998</v>
      </c>
      <c r="O20" s="4">
        <f>I20/K20</f>
        <v>827.47635455976047</v>
      </c>
      <c r="P20" s="4">
        <f>I20/M20</f>
        <v>255972.69624573379</v>
      </c>
      <c r="Q20" s="9">
        <f>I20/M20/43560</f>
        <v>5.8763245235476074</v>
      </c>
      <c r="R20" s="8">
        <v>100</v>
      </c>
    </row>
    <row r="21" spans="1:18" x14ac:dyDescent="0.25">
      <c r="A21" s="2" t="s">
        <v>54</v>
      </c>
      <c r="B21" s="2" t="s">
        <v>55</v>
      </c>
      <c r="C21" s="3">
        <v>45469</v>
      </c>
      <c r="D21" s="4">
        <v>95000</v>
      </c>
      <c r="E21" s="4">
        <v>95000</v>
      </c>
      <c r="F21" s="4">
        <v>40800</v>
      </c>
      <c r="G21" s="5">
        <f>F21/E21*100</f>
        <v>42.947368421052637</v>
      </c>
      <c r="H21" s="4">
        <v>99701</v>
      </c>
      <c r="I21" s="4">
        <f>E21-0</f>
        <v>95000</v>
      </c>
      <c r="J21" s="4">
        <v>99701</v>
      </c>
      <c r="K21" s="6">
        <v>90.637030999999993</v>
      </c>
      <c r="L21" s="7">
        <v>127.790001</v>
      </c>
      <c r="M21" s="8">
        <v>0.29299999999999998</v>
      </c>
      <c r="N21" s="8">
        <v>0.29299999999999998</v>
      </c>
      <c r="O21" s="4">
        <f>I21/K21</f>
        <v>1048.1367157756968</v>
      </c>
      <c r="P21" s="4">
        <f>I21/M21</f>
        <v>324232.08191126282</v>
      </c>
      <c r="Q21" s="9">
        <f>I21/M21/43560</f>
        <v>7.4433443964936368</v>
      </c>
      <c r="R21" s="8">
        <v>100</v>
      </c>
    </row>
    <row r="22" spans="1:18" x14ac:dyDescent="0.25">
      <c r="A22" s="2" t="s">
        <v>56</v>
      </c>
      <c r="B22" s="2" t="s">
        <v>57</v>
      </c>
      <c r="C22" s="3">
        <v>45401</v>
      </c>
      <c r="D22" s="4">
        <v>375000</v>
      </c>
      <c r="E22" s="4">
        <v>375000</v>
      </c>
      <c r="F22" s="4">
        <v>142400</v>
      </c>
      <c r="G22" s="5">
        <f>F22/E22*100</f>
        <v>37.973333333333329</v>
      </c>
      <c r="H22" s="4">
        <v>335622</v>
      </c>
      <c r="I22" s="4">
        <f>E22-247061</f>
        <v>127939</v>
      </c>
      <c r="J22" s="4">
        <v>88561</v>
      </c>
      <c r="K22" s="6">
        <v>73.190843999999998</v>
      </c>
      <c r="L22" s="7">
        <v>114.699997</v>
      </c>
      <c r="M22" s="8">
        <v>0.191</v>
      </c>
      <c r="N22" s="8">
        <v>0.191</v>
      </c>
      <c r="O22" s="4">
        <f>I22/K22</f>
        <v>1748.0191921273649</v>
      </c>
      <c r="P22" s="4">
        <f>I22/M22</f>
        <v>669837.69633507857</v>
      </c>
      <c r="Q22" s="9">
        <f>I22/M22/43560</f>
        <v>15.377357583449921</v>
      </c>
      <c r="R22" s="8">
        <v>72.650000000000006</v>
      </c>
    </row>
    <row r="23" spans="1:18" x14ac:dyDescent="0.25">
      <c r="A23" s="2" t="s">
        <v>58</v>
      </c>
      <c r="B23" s="2" t="s">
        <v>59</v>
      </c>
      <c r="C23" s="3">
        <v>45408</v>
      </c>
      <c r="D23" s="4">
        <v>520000</v>
      </c>
      <c r="E23" s="4">
        <v>520000</v>
      </c>
      <c r="F23" s="4">
        <v>180100</v>
      </c>
      <c r="G23" s="5">
        <f>F23/E23*100</f>
        <v>34.634615384615387</v>
      </c>
      <c r="H23" s="4">
        <v>421589</v>
      </c>
      <c r="I23" s="4">
        <f>E23-333599</f>
        <v>186401</v>
      </c>
      <c r="J23" s="4">
        <v>87990</v>
      </c>
      <c r="K23" s="6">
        <v>71.420812999999995</v>
      </c>
      <c r="L23" s="7">
        <v>119.68</v>
      </c>
      <c r="M23" s="8">
        <v>0.182</v>
      </c>
      <c r="N23" s="8">
        <v>0.182</v>
      </c>
      <c r="O23" s="4">
        <f>I23/K23</f>
        <v>2609.8974818446832</v>
      </c>
      <c r="P23" s="4">
        <f>I23/M23</f>
        <v>1024181.3186813187</v>
      </c>
      <c r="Q23" s="9">
        <f>I23/M23/43560</f>
        <v>23.511967830149647</v>
      </c>
      <c r="R23" s="8">
        <v>66.3</v>
      </c>
    </row>
    <row r="24" spans="1:18" x14ac:dyDescent="0.25">
      <c r="A24" s="2" t="s">
        <v>60</v>
      </c>
      <c r="B24" s="2" t="s">
        <v>61</v>
      </c>
      <c r="C24" s="3">
        <v>45660</v>
      </c>
      <c r="D24" s="4">
        <v>478000</v>
      </c>
      <c r="E24" s="4">
        <v>478000</v>
      </c>
      <c r="F24" s="4">
        <v>207300</v>
      </c>
      <c r="G24" s="5">
        <f>F24/E24*100</f>
        <v>43.36820083682008</v>
      </c>
      <c r="H24" s="4">
        <v>485581</v>
      </c>
      <c r="I24" s="4">
        <f>E24-384888</f>
        <v>93112</v>
      </c>
      <c r="J24" s="4">
        <v>100693</v>
      </c>
      <c r="K24" s="6">
        <v>91.538734000000005</v>
      </c>
      <c r="L24" s="7">
        <v>129.554993</v>
      </c>
      <c r="M24" s="8">
        <v>0.29899999999999999</v>
      </c>
      <c r="N24" s="8">
        <v>0.29899999999999999</v>
      </c>
      <c r="O24" s="4">
        <f>I24/K24</f>
        <v>1017.1868883395306</v>
      </c>
      <c r="P24" s="4">
        <f>I24/M24</f>
        <v>311411.3712374582</v>
      </c>
      <c r="Q24" s="9">
        <f>I24/M24/43560</f>
        <v>7.1490213782703904</v>
      </c>
      <c r="R24" s="8">
        <v>100.61</v>
      </c>
    </row>
    <row r="25" spans="1:18" x14ac:dyDescent="0.25">
      <c r="A25" s="2" t="s">
        <v>62</v>
      </c>
      <c r="B25" s="2" t="s">
        <v>63</v>
      </c>
      <c r="C25" s="3">
        <v>45504</v>
      </c>
      <c r="D25" s="4">
        <v>510000</v>
      </c>
      <c r="E25" s="4">
        <v>510000</v>
      </c>
      <c r="F25" s="4">
        <v>185800</v>
      </c>
      <c r="G25" s="5">
        <f>F25/E25*100</f>
        <v>36.431372549019606</v>
      </c>
      <c r="H25" s="4">
        <v>531141</v>
      </c>
      <c r="I25" s="4">
        <f>E25-427534</f>
        <v>82466</v>
      </c>
      <c r="J25" s="4">
        <v>103607</v>
      </c>
      <c r="K25" s="6">
        <v>94.188260999999997</v>
      </c>
      <c r="L25" s="7">
        <v>100</v>
      </c>
      <c r="M25" s="8">
        <v>0.317</v>
      </c>
      <c r="N25" s="8">
        <v>0.317</v>
      </c>
      <c r="O25" s="4">
        <f>I25/K25</f>
        <v>875.54435260249682</v>
      </c>
      <c r="P25" s="4">
        <f>I25/M25</f>
        <v>260145.11041009464</v>
      </c>
      <c r="Q25" s="9">
        <f>I25/M25/43560</f>
        <v>5.9721099726835316</v>
      </c>
      <c r="R25" s="8">
        <v>138</v>
      </c>
    </row>
    <row r="26" spans="1:18" x14ac:dyDescent="0.25">
      <c r="A26" s="2" t="s">
        <v>64</v>
      </c>
      <c r="B26" s="2" t="s">
        <v>65</v>
      </c>
      <c r="C26" s="3">
        <v>45078</v>
      </c>
      <c r="D26" s="4">
        <v>453100</v>
      </c>
      <c r="E26" s="4">
        <v>453100</v>
      </c>
      <c r="F26" s="4">
        <v>175000</v>
      </c>
      <c r="G26" s="5">
        <f>F26/E26*100</f>
        <v>38.622820569410727</v>
      </c>
      <c r="H26" s="4">
        <v>462947</v>
      </c>
      <c r="I26" s="4">
        <f>E26-370446</f>
        <v>82654</v>
      </c>
      <c r="J26" s="4">
        <v>92501</v>
      </c>
      <c r="K26" s="6">
        <v>84.091786999999997</v>
      </c>
      <c r="L26" s="7">
        <v>110</v>
      </c>
      <c r="M26" s="8">
        <v>0.253</v>
      </c>
      <c r="N26" s="8">
        <v>0.253</v>
      </c>
      <c r="O26" s="4">
        <f>I26/K26</f>
        <v>982.90217093376793</v>
      </c>
      <c r="P26" s="4">
        <f>I26/M26</f>
        <v>326695.65217391303</v>
      </c>
      <c r="Q26" s="9">
        <f>I26/M26/43560</f>
        <v>7.4999001876472224</v>
      </c>
      <c r="R26" s="8">
        <v>100</v>
      </c>
    </row>
    <row r="27" spans="1:18" x14ac:dyDescent="0.25">
      <c r="A27" s="2" t="s">
        <v>66</v>
      </c>
      <c r="B27" s="2" t="s">
        <v>67</v>
      </c>
      <c r="C27" s="3">
        <v>45282</v>
      </c>
      <c r="D27" s="4">
        <v>367500</v>
      </c>
      <c r="E27" s="4">
        <v>367500</v>
      </c>
      <c r="F27" s="4">
        <v>146000</v>
      </c>
      <c r="G27" s="5">
        <f>F27/E27*100</f>
        <v>39.727891156462583</v>
      </c>
      <c r="H27" s="4">
        <v>377112</v>
      </c>
      <c r="I27" s="4">
        <f>E27-288937</f>
        <v>78563</v>
      </c>
      <c r="J27" s="4">
        <v>88175</v>
      </c>
      <c r="K27" s="6">
        <v>61.660994000000002</v>
      </c>
      <c r="L27" s="7">
        <v>135.18499800000001</v>
      </c>
      <c r="M27" s="8">
        <v>0.13600000000000001</v>
      </c>
      <c r="N27" s="8">
        <v>0.13600000000000001</v>
      </c>
      <c r="O27" s="4">
        <f>I27/K27</f>
        <v>1274.1117991059307</v>
      </c>
      <c r="P27" s="4">
        <f>I27/M27</f>
        <v>577669.1176470588</v>
      </c>
      <c r="Q27" s="9">
        <f>I27/M27/43560</f>
        <v>13.26145816453303</v>
      </c>
      <c r="R27" s="8">
        <v>43.75</v>
      </c>
    </row>
    <row r="28" spans="1:18" x14ac:dyDescent="0.25">
      <c r="A28" s="2" t="s">
        <v>68</v>
      </c>
      <c r="B28" s="2" t="s">
        <v>69</v>
      </c>
      <c r="C28" s="3">
        <v>45471</v>
      </c>
      <c r="D28" s="4">
        <v>670000</v>
      </c>
      <c r="E28" s="4">
        <v>670000</v>
      </c>
      <c r="F28" s="4">
        <v>206200</v>
      </c>
      <c r="G28" s="5">
        <f>F28/E28*100</f>
        <v>30.776119402985074</v>
      </c>
      <c r="H28" s="4">
        <v>487275</v>
      </c>
      <c r="I28" s="4">
        <f>E28-394133</f>
        <v>275867</v>
      </c>
      <c r="J28" s="4">
        <v>93142</v>
      </c>
      <c r="K28" s="6">
        <v>84.674719999999994</v>
      </c>
      <c r="L28" s="7">
        <v>157.08500699999999</v>
      </c>
      <c r="M28" s="8">
        <v>0.25600000000000001</v>
      </c>
      <c r="N28" s="8">
        <v>0.25600000000000001</v>
      </c>
      <c r="O28" s="4">
        <f>I28/K28</f>
        <v>3257.9617623772483</v>
      </c>
      <c r="P28" s="4">
        <f>I28/M28</f>
        <v>1077605.46875</v>
      </c>
      <c r="Q28" s="9">
        <f>I28/M28/43560</f>
        <v>24.738417556244261</v>
      </c>
      <c r="R28" s="8">
        <v>71</v>
      </c>
    </row>
    <row r="29" spans="1:18" x14ac:dyDescent="0.25">
      <c r="A29" s="2" t="s">
        <v>70</v>
      </c>
      <c r="B29" s="2" t="s">
        <v>71</v>
      </c>
      <c r="C29" s="3">
        <v>45086</v>
      </c>
      <c r="D29" s="4">
        <v>446000</v>
      </c>
      <c r="E29" s="4">
        <v>446000</v>
      </c>
      <c r="F29" s="4">
        <v>139200</v>
      </c>
      <c r="G29" s="5">
        <f>F29/E29*100</f>
        <v>31.210762331838566</v>
      </c>
      <c r="H29" s="4">
        <v>388721</v>
      </c>
      <c r="I29" s="4">
        <f>E29-293984</f>
        <v>152016</v>
      </c>
      <c r="J29" s="4">
        <v>94737</v>
      </c>
      <c r="K29" s="6">
        <v>86.124459000000002</v>
      </c>
      <c r="L29" s="7">
        <v>147.26499899999999</v>
      </c>
      <c r="M29" s="8">
        <v>0.26500000000000001</v>
      </c>
      <c r="N29" s="8">
        <v>0.26500000000000001</v>
      </c>
      <c r="O29" s="4">
        <f>I29/K29</f>
        <v>1765.0734967171172</v>
      </c>
      <c r="P29" s="4">
        <f>I29/M29</f>
        <v>573645.28301886795</v>
      </c>
      <c r="Q29" s="9">
        <f>I29/M29/43560</f>
        <v>13.169083632205417</v>
      </c>
      <c r="R29" s="8">
        <v>78.349999999999994</v>
      </c>
    </row>
    <row r="30" spans="1:18" x14ac:dyDescent="0.25">
      <c r="A30" s="2" t="s">
        <v>72</v>
      </c>
      <c r="B30" s="2" t="s">
        <v>73</v>
      </c>
      <c r="C30" s="3">
        <v>45534</v>
      </c>
      <c r="D30" s="4">
        <v>500000</v>
      </c>
      <c r="E30" s="4">
        <v>500000</v>
      </c>
      <c r="F30" s="4">
        <v>252900</v>
      </c>
      <c r="G30" s="5">
        <f>F30/E30*100</f>
        <v>50.580000000000005</v>
      </c>
      <c r="H30" s="4">
        <v>593088</v>
      </c>
      <c r="I30" s="4">
        <f>E30-440328</f>
        <v>59672</v>
      </c>
      <c r="J30" s="4">
        <v>152760</v>
      </c>
      <c r="K30" s="6">
        <v>138.87301500000001</v>
      </c>
      <c r="L30" s="7">
        <v>300</v>
      </c>
      <c r="M30" s="8">
        <v>0.68899999999999995</v>
      </c>
      <c r="N30" s="8">
        <v>0.68899999999999995</v>
      </c>
      <c r="O30" s="4">
        <f>I30/K30</f>
        <v>429.68750984487514</v>
      </c>
      <c r="P30" s="4">
        <f>I30/M30</f>
        <v>86606.676342525403</v>
      </c>
      <c r="Q30" s="9">
        <f>I30/M30/43560</f>
        <v>1.9882157103426401</v>
      </c>
      <c r="R30" s="8">
        <v>100</v>
      </c>
    </row>
    <row r="31" spans="1:18" x14ac:dyDescent="0.25">
      <c r="A31" s="2" t="s">
        <v>74</v>
      </c>
      <c r="B31" s="2" t="s">
        <v>75</v>
      </c>
      <c r="C31" s="3">
        <v>45471</v>
      </c>
      <c r="D31" s="4">
        <v>298500</v>
      </c>
      <c r="E31" s="4">
        <v>298500</v>
      </c>
      <c r="F31" s="4">
        <v>149300</v>
      </c>
      <c r="G31" s="5">
        <f>F31/E31*100</f>
        <v>50.016750418760466</v>
      </c>
      <c r="H31" s="4">
        <v>367587</v>
      </c>
      <c r="I31" s="4">
        <f>E31-264896</f>
        <v>33604</v>
      </c>
      <c r="J31" s="4">
        <v>102691</v>
      </c>
      <c r="K31" s="6">
        <v>93.355311999999998</v>
      </c>
      <c r="L31" s="7">
        <v>112.974998</v>
      </c>
      <c r="M31" s="8">
        <v>0.311</v>
      </c>
      <c r="N31" s="8">
        <v>0.311</v>
      </c>
      <c r="O31" s="4">
        <f>I31/K31</f>
        <v>359.95809215441324</v>
      </c>
      <c r="P31" s="4">
        <f>I31/M31</f>
        <v>108051.44694533762</v>
      </c>
      <c r="Q31" s="9">
        <f>I31/M31/43560</f>
        <v>2.4805199023263915</v>
      </c>
      <c r="R31" s="8">
        <v>120</v>
      </c>
    </row>
    <row r="32" spans="1:18" x14ac:dyDescent="0.25">
      <c r="A32" s="2" t="s">
        <v>74</v>
      </c>
      <c r="B32" s="2" t="s">
        <v>75</v>
      </c>
      <c r="C32" s="3">
        <v>45645</v>
      </c>
      <c r="D32" s="4">
        <v>430000</v>
      </c>
      <c r="E32" s="4">
        <v>430000</v>
      </c>
      <c r="F32" s="4">
        <v>149300</v>
      </c>
      <c r="G32" s="5">
        <f>F32/E32*100</f>
        <v>34.720930232558139</v>
      </c>
      <c r="H32" s="4">
        <v>367587</v>
      </c>
      <c r="I32" s="4">
        <f>E32-264896</f>
        <v>165104</v>
      </c>
      <c r="J32" s="4">
        <v>102691</v>
      </c>
      <c r="K32" s="6">
        <v>93.355311999999998</v>
      </c>
      <c r="L32" s="7">
        <v>112.974998</v>
      </c>
      <c r="M32" s="8">
        <v>0.311</v>
      </c>
      <c r="N32" s="8">
        <v>0.311</v>
      </c>
      <c r="O32" s="4">
        <f>I32/K32</f>
        <v>1768.5549591436211</v>
      </c>
      <c r="P32" s="4">
        <f>I32/M32</f>
        <v>530881.02893890673</v>
      </c>
      <c r="Q32" s="9">
        <f>I32/M32/43560</f>
        <v>12.187351444878484</v>
      </c>
      <c r="R32" s="8">
        <v>120</v>
      </c>
    </row>
    <row r="33" spans="1:18" x14ac:dyDescent="0.25">
      <c r="A33" s="2" t="s">
        <v>76</v>
      </c>
      <c r="B33" s="2" t="s">
        <v>77</v>
      </c>
      <c r="C33" s="3">
        <v>45442</v>
      </c>
      <c r="D33" s="4">
        <v>420000</v>
      </c>
      <c r="E33" s="4">
        <v>420000</v>
      </c>
      <c r="F33" s="4">
        <v>150000</v>
      </c>
      <c r="G33" s="5">
        <f>F33/E33*100</f>
        <v>35.714285714285715</v>
      </c>
      <c r="H33" s="4">
        <v>352440</v>
      </c>
      <c r="I33" s="4">
        <f>E33-244422</f>
        <v>175578</v>
      </c>
      <c r="J33" s="4">
        <v>108018</v>
      </c>
      <c r="K33" s="6">
        <v>98.198051000000007</v>
      </c>
      <c r="L33" s="7">
        <v>150</v>
      </c>
      <c r="M33" s="8">
        <v>0.34399999999999997</v>
      </c>
      <c r="N33" s="8">
        <v>0.34399999999999997</v>
      </c>
      <c r="O33" s="4">
        <f>I33/K33</f>
        <v>1787.9988269828286</v>
      </c>
      <c r="P33" s="4">
        <f>I33/M33</f>
        <v>510401.16279069771</v>
      </c>
      <c r="Q33" s="9">
        <f>I33/M33/43560</f>
        <v>11.717198411173042</v>
      </c>
      <c r="R33" s="8">
        <v>100</v>
      </c>
    </row>
    <row r="34" spans="1:18" ht="15.75" thickBot="1" x14ac:dyDescent="0.3">
      <c r="A34" s="2" t="s">
        <v>78</v>
      </c>
      <c r="B34" s="2" t="s">
        <v>79</v>
      </c>
      <c r="C34" s="3">
        <v>45399</v>
      </c>
      <c r="D34" s="4">
        <v>409900</v>
      </c>
      <c r="E34" s="4">
        <v>409900</v>
      </c>
      <c r="F34" s="4">
        <v>145400</v>
      </c>
      <c r="G34" s="5">
        <f>F34/E34*100</f>
        <v>35.47206635764821</v>
      </c>
      <c r="H34" s="4">
        <v>342418</v>
      </c>
      <c r="I34" s="4">
        <f>E34-234400</f>
        <v>175500</v>
      </c>
      <c r="J34" s="4">
        <v>108018</v>
      </c>
      <c r="K34" s="6">
        <v>98.198051000000007</v>
      </c>
      <c r="L34" s="7">
        <v>150</v>
      </c>
      <c r="M34" s="8">
        <v>0.34399999999999997</v>
      </c>
      <c r="N34" s="8">
        <v>0.34399999999999997</v>
      </c>
      <c r="O34" s="4">
        <f>I34/K34</f>
        <v>1787.2045138655551</v>
      </c>
      <c r="P34" s="4">
        <f>I34/M34</f>
        <v>510174.41860465117</v>
      </c>
      <c r="Q34" s="9">
        <f>I34/M34/43560</f>
        <v>11.711993080914857</v>
      </c>
      <c r="R34" s="8">
        <v>100</v>
      </c>
    </row>
    <row r="35" spans="1:18" ht="15.75" thickTop="1" x14ac:dyDescent="0.25">
      <c r="A35" s="10"/>
      <c r="B35" s="10"/>
      <c r="C35" s="11" t="s">
        <v>80</v>
      </c>
      <c r="D35" s="12">
        <f>+SUM(D2:D34)</f>
        <v>13739200</v>
      </c>
      <c r="E35" s="12">
        <f>+SUM(E2:E34)</f>
        <v>13739200</v>
      </c>
      <c r="F35" s="12">
        <f>+SUM(F2:F34)</f>
        <v>5274000</v>
      </c>
      <c r="G35" s="13"/>
      <c r="H35" s="12">
        <f>+SUM(H2:H34)</f>
        <v>13173377</v>
      </c>
      <c r="I35" s="12">
        <f>+SUM(I2:I34)</f>
        <v>3990987</v>
      </c>
      <c r="J35" s="12">
        <f>+SUM(J2:J34)</f>
        <v>3425164</v>
      </c>
      <c r="K35" s="14">
        <f>+SUM(K2:K34)</f>
        <v>3079.3963639999997</v>
      </c>
      <c r="L35" s="15"/>
      <c r="M35" s="16">
        <f>+SUM(M2:M34)</f>
        <v>10.524000000000001</v>
      </c>
      <c r="N35" s="16">
        <f>+SUM(N2:N34)</f>
        <v>10.524000000000001</v>
      </c>
      <c r="O35" s="12"/>
      <c r="P35" s="12"/>
      <c r="Q35" s="17"/>
      <c r="R35" s="16"/>
    </row>
    <row r="36" spans="1:18" x14ac:dyDescent="0.25">
      <c r="A36" s="18"/>
      <c r="B36" s="18"/>
      <c r="C36" s="19"/>
      <c r="D36" s="20"/>
      <c r="E36" s="20"/>
      <c r="F36" s="20" t="s">
        <v>81</v>
      </c>
      <c r="G36" s="21">
        <f>F35/E35*100</f>
        <v>38.386514498660766</v>
      </c>
      <c r="H36" s="20" t="s">
        <v>82</v>
      </c>
      <c r="I36" s="22"/>
      <c r="J36" s="23"/>
      <c r="K36" s="24"/>
      <c r="L36" s="24"/>
      <c r="M36" s="20"/>
      <c r="N36" s="20" t="s">
        <v>82</v>
      </c>
      <c r="O36" s="25"/>
      <c r="P36" s="24"/>
      <c r="Q36" s="26"/>
      <c r="R36" s="18"/>
    </row>
    <row r="37" spans="1:18" x14ac:dyDescent="0.25">
      <c r="A37" s="27"/>
      <c r="B37" s="27"/>
      <c r="C37" s="28"/>
      <c r="D37" s="29"/>
      <c r="E37" s="29"/>
      <c r="F37" s="29" t="s">
        <v>83</v>
      </c>
      <c r="G37" s="30">
        <f>STDEV(G2:G34)</f>
        <v>6.0475043529352748</v>
      </c>
      <c r="H37" s="29" t="s">
        <v>84</v>
      </c>
      <c r="I37" s="31">
        <f>I35/K35</f>
        <v>1296.0290031699215</v>
      </c>
      <c r="J37" s="32"/>
      <c r="K37" s="33"/>
      <c r="L37" s="33"/>
      <c r="M37" s="29"/>
      <c r="N37" s="29" t="s">
        <v>85</v>
      </c>
      <c r="O37" s="34">
        <f>I35/M35/43560</f>
        <v>8.705858470681731</v>
      </c>
      <c r="P37" s="33"/>
      <c r="Q37" s="35"/>
      <c r="R37" s="27"/>
    </row>
    <row r="39" spans="1:18" x14ac:dyDescent="0.25">
      <c r="H39" s="4" t="s">
        <v>86</v>
      </c>
    </row>
    <row r="40" spans="1:18" x14ac:dyDescent="0.25">
      <c r="H40" s="4" t="s">
        <v>87</v>
      </c>
    </row>
  </sheetData>
  <conditionalFormatting sqref="A2:R34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 xml:space="preserve">&amp;C2026 BV LA LAND STUDY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590F7-CF38-4DFE-BE78-13657249356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2025-12-08T20:20:16Z</dcterms:created>
  <dcterms:modified xsi:type="dcterms:W3CDTF">2025-12-08T20:23:51Z</dcterms:modified>
</cp:coreProperties>
</file>