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14_{5F1B51A8-3BEB-4697-B8BE-596CC9101108}" xr6:coauthVersionLast="47" xr6:coauthVersionMax="47" xr10:uidLastSave="{00000000-0000-0000-0000-000000000000}"/>
  <bookViews>
    <workbookView xWindow="-120" yWindow="-120" windowWidth="25440" windowHeight="15270" xr2:uid="{AB0E389C-2CA0-4A7D-9FAD-678012A8F668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7" i="2" l="1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M179" i="2"/>
  <c r="L178" i="2"/>
  <c r="O178" i="2"/>
  <c r="O162" i="2"/>
  <c r="O150" i="2"/>
  <c r="O169" i="2"/>
  <c r="O145" i="2"/>
  <c r="O130" i="2"/>
  <c r="O115" i="2"/>
  <c r="O90" i="2"/>
  <c r="O58" i="2"/>
  <c r="O41" i="2"/>
  <c r="O33" i="2"/>
  <c r="O15" i="2"/>
  <c r="I135" i="2"/>
  <c r="K135" i="2"/>
  <c r="Q135" i="2" s="1"/>
  <c r="I40" i="2"/>
  <c r="K40" i="2"/>
  <c r="Q40" i="2" s="1"/>
  <c r="I27" i="2"/>
  <c r="K27" i="2"/>
  <c r="R27" i="2" s="1"/>
  <c r="I28" i="2"/>
  <c r="K28" i="2"/>
  <c r="S28" i="2" s="1"/>
  <c r="I20" i="2"/>
  <c r="K20" i="2"/>
  <c r="Q20" i="2" s="1"/>
  <c r="I172" i="2"/>
  <c r="K172" i="2"/>
  <c r="R172" i="2" s="1"/>
  <c r="I56" i="2"/>
  <c r="K56" i="2"/>
  <c r="Q56" i="2" s="1"/>
  <c r="I80" i="2"/>
  <c r="K80" i="2"/>
  <c r="Q80" i="2" s="1"/>
  <c r="I155" i="2"/>
  <c r="K155" i="2"/>
  <c r="Q155" i="2" s="1"/>
  <c r="I111" i="2"/>
  <c r="K111" i="2"/>
  <c r="R111" i="2" s="1"/>
  <c r="I161" i="2"/>
  <c r="K161" i="2"/>
  <c r="Q161" i="2" s="1"/>
  <c r="I173" i="2"/>
  <c r="K173" i="2"/>
  <c r="R173" i="2" s="1"/>
  <c r="I13" i="2"/>
  <c r="K13" i="2"/>
  <c r="Q13" i="2" s="1"/>
  <c r="I14" i="2"/>
  <c r="K14" i="2"/>
  <c r="Q14" i="2" s="1"/>
  <c r="I44" i="2"/>
  <c r="K44" i="2"/>
  <c r="Q44" i="2" s="1"/>
  <c r="I57" i="2"/>
  <c r="K57" i="2"/>
  <c r="R57" i="2" s="1"/>
  <c r="I52" i="2"/>
  <c r="K52" i="2"/>
  <c r="Q52" i="2" s="1"/>
  <c r="I122" i="2"/>
  <c r="K122" i="2"/>
  <c r="Q122" i="2" s="1"/>
  <c r="I31" i="2"/>
  <c r="K31" i="2"/>
  <c r="R31" i="2" s="1"/>
  <c r="I18" i="2"/>
  <c r="K18" i="2"/>
  <c r="S18" i="2" s="1"/>
  <c r="I4" i="2"/>
  <c r="K4" i="2"/>
  <c r="Q4" i="2" s="1"/>
  <c r="I133" i="2"/>
  <c r="K133" i="2"/>
  <c r="S133" i="2" s="1"/>
  <c r="I87" i="2"/>
  <c r="K87" i="2"/>
  <c r="Q87" i="2" s="1"/>
  <c r="I119" i="2"/>
  <c r="K119" i="2"/>
  <c r="Q119" i="2" s="1"/>
  <c r="I82" i="2"/>
  <c r="K82" i="2"/>
  <c r="Q82" i="2" s="1"/>
  <c r="I124" i="2"/>
  <c r="K124" i="2"/>
  <c r="Q124" i="2" s="1"/>
  <c r="I26" i="2"/>
  <c r="K26" i="2"/>
  <c r="R26" i="2" s="1"/>
  <c r="I149" i="2"/>
  <c r="K149" i="2"/>
  <c r="S149" i="2" s="1"/>
  <c r="I128" i="2"/>
  <c r="K128" i="2"/>
  <c r="Q128" i="2" s="1"/>
  <c r="I39" i="2"/>
  <c r="K39" i="2"/>
  <c r="S39" i="2" s="1"/>
  <c r="I12" i="2"/>
  <c r="K12" i="2"/>
  <c r="R12" i="2" s="1"/>
  <c r="I32" i="2"/>
  <c r="K32" i="2"/>
  <c r="Q32" i="2" s="1"/>
  <c r="I36" i="2"/>
  <c r="K36" i="2"/>
  <c r="Q36" i="2" s="1"/>
  <c r="I61" i="2"/>
  <c r="K61" i="2"/>
  <c r="Q61" i="2" s="1"/>
  <c r="I53" i="2"/>
  <c r="K53" i="2"/>
  <c r="Q53" i="2" s="1"/>
  <c r="I8" i="2"/>
  <c r="K8" i="2"/>
  <c r="S8" i="2" s="1"/>
  <c r="I45" i="2"/>
  <c r="K45" i="2"/>
  <c r="Q45" i="2" s="1"/>
  <c r="I118" i="2"/>
  <c r="K118" i="2"/>
  <c r="Q118" i="2" s="1"/>
  <c r="I21" i="2"/>
  <c r="K21" i="2"/>
  <c r="R21" i="2" s="1"/>
  <c r="I19" i="2"/>
  <c r="K19" i="2"/>
  <c r="Q19" i="2" s="1"/>
  <c r="I5" i="2"/>
  <c r="K5" i="2"/>
  <c r="Q5" i="2" s="1"/>
  <c r="I95" i="2"/>
  <c r="K95" i="2"/>
  <c r="S95" i="2" s="1"/>
  <c r="Q95" i="2"/>
  <c r="I46" i="2"/>
  <c r="K46" i="2"/>
  <c r="Q46" i="2" s="1"/>
  <c r="I127" i="2"/>
  <c r="K127" i="2"/>
  <c r="S127" i="2" s="1"/>
  <c r="I37" i="2"/>
  <c r="K37" i="2"/>
  <c r="Q37" i="2" s="1"/>
  <c r="I129" i="2"/>
  <c r="K129" i="2"/>
  <c r="Q129" i="2" s="1"/>
  <c r="I159" i="2"/>
  <c r="K159" i="2"/>
  <c r="Q159" i="2" s="1"/>
  <c r="I38" i="2"/>
  <c r="K38" i="2"/>
  <c r="Q38" i="2" s="1"/>
  <c r="I69" i="2"/>
  <c r="K69" i="2"/>
  <c r="Q69" i="2" s="1"/>
  <c r="I65" i="2"/>
  <c r="K65" i="2"/>
  <c r="S65" i="2" s="1"/>
  <c r="I66" i="2"/>
  <c r="K66" i="2"/>
  <c r="Q66" i="2" s="1"/>
  <c r="I6" i="2"/>
  <c r="K6" i="2"/>
  <c r="Q6" i="2" s="1"/>
  <c r="I73" i="2"/>
  <c r="K73" i="2"/>
  <c r="Q73" i="2" s="1"/>
  <c r="I96" i="2"/>
  <c r="K96" i="2"/>
  <c r="R96" i="2" s="1"/>
  <c r="I9" i="2"/>
  <c r="K9" i="2"/>
  <c r="Q9" i="2" s="1"/>
  <c r="I86" i="2"/>
  <c r="K86" i="2"/>
  <c r="S86" i="2" s="1"/>
  <c r="I29" i="2"/>
  <c r="K29" i="2"/>
  <c r="Q29" i="2" s="1"/>
  <c r="I126" i="2"/>
  <c r="K126" i="2"/>
  <c r="S126" i="2" s="1"/>
  <c r="I3" i="2"/>
  <c r="K3" i="2"/>
  <c r="R3" i="2" s="1"/>
  <c r="I83" i="2"/>
  <c r="K83" i="2"/>
  <c r="Q83" i="2" s="1"/>
  <c r="I81" i="2"/>
  <c r="K81" i="2"/>
  <c r="S81" i="2" s="1"/>
  <c r="I143" i="2"/>
  <c r="K143" i="2"/>
  <c r="S143" i="2" s="1"/>
  <c r="I101" i="2"/>
  <c r="K101" i="2"/>
  <c r="Q101" i="2" s="1"/>
  <c r="I102" i="2"/>
  <c r="K102" i="2"/>
  <c r="Q102" i="2" s="1"/>
  <c r="I113" i="2"/>
  <c r="K113" i="2"/>
  <c r="Q113" i="2" s="1"/>
  <c r="I2" i="2"/>
  <c r="K2" i="2"/>
  <c r="Q2" i="2" s="1"/>
  <c r="I144" i="2"/>
  <c r="K144" i="2"/>
  <c r="Q144" i="2" s="1"/>
  <c r="I63" i="2"/>
  <c r="K63" i="2"/>
  <c r="Q63" i="2" s="1"/>
  <c r="I142" i="2"/>
  <c r="K142" i="2"/>
  <c r="S142" i="2" s="1"/>
  <c r="I98" i="2"/>
  <c r="K98" i="2"/>
  <c r="Q98" i="2" s="1"/>
  <c r="I112" i="2"/>
  <c r="K112" i="2"/>
  <c r="S112" i="2" s="1"/>
  <c r="I123" i="2"/>
  <c r="K123" i="2"/>
  <c r="Q123" i="2" s="1"/>
  <c r="I140" i="2"/>
  <c r="K140" i="2"/>
  <c r="R140" i="2" s="1"/>
  <c r="I141" i="2"/>
  <c r="K141" i="2"/>
  <c r="R141" i="2" s="1"/>
  <c r="I104" i="2"/>
  <c r="K104" i="2"/>
  <c r="Q104" i="2" s="1"/>
  <c r="I54" i="2"/>
  <c r="K54" i="2"/>
  <c r="Q54" i="2" s="1"/>
  <c r="I99" i="2"/>
  <c r="K99" i="2"/>
  <c r="Q99" i="2" s="1"/>
  <c r="I153" i="2"/>
  <c r="K153" i="2"/>
  <c r="Q153" i="2" s="1"/>
  <c r="I177" i="2"/>
  <c r="K177" i="2"/>
  <c r="R177" i="2" s="1"/>
  <c r="I148" i="2"/>
  <c r="K148" i="2"/>
  <c r="Q148" i="2" s="1"/>
  <c r="I10" i="2"/>
  <c r="K10" i="2"/>
  <c r="R10" i="2" s="1"/>
  <c r="I109" i="2"/>
  <c r="K109" i="2"/>
  <c r="Q109" i="2" s="1"/>
  <c r="I107" i="2"/>
  <c r="K107" i="2"/>
  <c r="Q107" i="2" s="1"/>
  <c r="I70" i="2"/>
  <c r="K70" i="2"/>
  <c r="Q70" i="2" s="1"/>
  <c r="I137" i="2"/>
  <c r="K137" i="2"/>
  <c r="Q137" i="2" s="1"/>
  <c r="I160" i="2"/>
  <c r="K160" i="2"/>
  <c r="Q160" i="2" s="1"/>
  <c r="I165" i="2"/>
  <c r="K165" i="2"/>
  <c r="S165" i="2" s="1"/>
  <c r="I110" i="2"/>
  <c r="K110" i="2"/>
  <c r="Q110" i="2" s="1"/>
  <c r="I94" i="2"/>
  <c r="K94" i="2"/>
  <c r="Q94" i="2" s="1"/>
  <c r="I7" i="2"/>
  <c r="K7" i="2"/>
  <c r="Q7" i="2" s="1"/>
  <c r="I125" i="2"/>
  <c r="K125" i="2"/>
  <c r="R125" i="2" s="1"/>
  <c r="I55" i="2"/>
  <c r="K55" i="2"/>
  <c r="Q55" i="2" s="1"/>
  <c r="I88" i="2"/>
  <c r="K88" i="2"/>
  <c r="S88" i="2" s="1"/>
  <c r="I71" i="2"/>
  <c r="K71" i="2"/>
  <c r="R71" i="2" s="1"/>
  <c r="I121" i="2"/>
  <c r="K121" i="2"/>
  <c r="S121" i="2" s="1"/>
  <c r="I139" i="2"/>
  <c r="K139" i="2"/>
  <c r="Q139" i="2" s="1"/>
  <c r="I156" i="2"/>
  <c r="K156" i="2"/>
  <c r="S156" i="2" s="1"/>
  <c r="I157" i="2"/>
  <c r="K157" i="2"/>
  <c r="S157" i="2" s="1"/>
  <c r="I108" i="2"/>
  <c r="K108" i="2"/>
  <c r="Q108" i="2" s="1"/>
  <c r="I67" i="2"/>
  <c r="K67" i="2"/>
  <c r="Q67" i="2" s="1"/>
  <c r="I84" i="2"/>
  <c r="K84" i="2"/>
  <c r="R84" i="2" s="1"/>
  <c r="I25" i="2"/>
  <c r="K25" i="2"/>
  <c r="Q25" i="2" s="1"/>
  <c r="I89" i="2"/>
  <c r="K89" i="2"/>
  <c r="Q89" i="2" s="1"/>
  <c r="I120" i="2"/>
  <c r="K120" i="2"/>
  <c r="R120" i="2" s="1"/>
  <c r="I105" i="2"/>
  <c r="K105" i="2"/>
  <c r="Q105" i="2" s="1"/>
  <c r="I30" i="2"/>
  <c r="K30" i="2"/>
  <c r="S30" i="2" s="1"/>
  <c r="I76" i="2"/>
  <c r="K76" i="2"/>
  <c r="Q76" i="2" s="1"/>
  <c r="I136" i="2"/>
  <c r="K136" i="2"/>
  <c r="R136" i="2" s="1"/>
  <c r="I134" i="2"/>
  <c r="K134" i="2"/>
  <c r="Q134" i="2" s="1"/>
  <c r="I114" i="2"/>
  <c r="K114" i="2"/>
  <c r="R114" i="2" s="1"/>
  <c r="I47" i="2"/>
  <c r="K47" i="2"/>
  <c r="Q47" i="2" s="1"/>
  <c r="I48" i="2"/>
  <c r="K48" i="2"/>
  <c r="R48" i="2" s="1"/>
  <c r="I85" i="2"/>
  <c r="K85" i="2"/>
  <c r="R85" i="2" s="1"/>
  <c r="I138" i="2"/>
  <c r="K138" i="2"/>
  <c r="S138" i="2" s="1"/>
  <c r="I100" i="2"/>
  <c r="K100" i="2"/>
  <c r="Q100" i="2" s="1"/>
  <c r="I168" i="2"/>
  <c r="K168" i="2"/>
  <c r="Q168" i="2" s="1"/>
  <c r="I77" i="2"/>
  <c r="K77" i="2"/>
  <c r="Q77" i="2" s="1"/>
  <c r="I176" i="2"/>
  <c r="K176" i="2"/>
  <c r="S176" i="2" s="1"/>
  <c r="I68" i="2"/>
  <c r="K68" i="2"/>
  <c r="Q68" i="2" s="1"/>
  <c r="I158" i="2"/>
  <c r="K158" i="2"/>
  <c r="S158" i="2" s="1"/>
  <c r="I49" i="2"/>
  <c r="K49" i="2"/>
  <c r="Q49" i="2" s="1"/>
  <c r="I22" i="2"/>
  <c r="K22" i="2"/>
  <c r="Q22" i="2" s="1"/>
  <c r="I23" i="2"/>
  <c r="K23" i="2"/>
  <c r="S23" i="2" s="1"/>
  <c r="I24" i="2"/>
  <c r="K24" i="2"/>
  <c r="Q24" i="2" s="1"/>
  <c r="I72" i="2"/>
  <c r="K72" i="2"/>
  <c r="R72" i="2" s="1"/>
  <c r="I50" i="2"/>
  <c r="K50" i="2"/>
  <c r="Q50" i="2" s="1"/>
  <c r="I78" i="2"/>
  <c r="K78" i="2"/>
  <c r="S78" i="2" s="1"/>
  <c r="I79" i="2"/>
  <c r="K79" i="2"/>
  <c r="R79" i="2" s="1"/>
  <c r="I64" i="2"/>
  <c r="K64" i="2"/>
  <c r="R64" i="2" s="1"/>
  <c r="I11" i="2"/>
  <c r="K11" i="2"/>
  <c r="R11" i="2" s="1"/>
  <c r="I106" i="2"/>
  <c r="K106" i="2"/>
  <c r="S106" i="2" s="1"/>
  <c r="I62" i="2"/>
  <c r="K62" i="2"/>
  <c r="S62" i="2" s="1"/>
  <c r="I51" i="2"/>
  <c r="K51" i="2"/>
  <c r="Q51" i="2" s="1"/>
  <c r="I97" i="2"/>
  <c r="K97" i="2"/>
  <c r="Q97" i="2" s="1"/>
  <c r="I74" i="2"/>
  <c r="K74" i="2"/>
  <c r="Q74" i="2" s="1"/>
  <c r="I103" i="2"/>
  <c r="K103" i="2"/>
  <c r="Q103" i="2" s="1"/>
  <c r="I75" i="2"/>
  <c r="K75" i="2"/>
  <c r="Q75" i="2" s="1"/>
  <c r="I93" i="2"/>
  <c r="K93" i="2"/>
  <c r="Q93" i="2" s="1"/>
  <c r="I154" i="2"/>
  <c r="K154" i="2"/>
  <c r="R154" i="2" s="1"/>
  <c r="I167" i="2"/>
  <c r="K167" i="2"/>
  <c r="S167" i="2" s="1"/>
  <c r="K162" i="2" l="1"/>
  <c r="K150" i="2"/>
  <c r="L151" i="2" s="1"/>
  <c r="Q172" i="2"/>
  <c r="S44" i="2"/>
  <c r="Q142" i="2"/>
  <c r="K169" i="2"/>
  <c r="L170" i="2" s="1"/>
  <c r="K115" i="2"/>
  <c r="L116" i="2" s="1"/>
  <c r="K130" i="2"/>
  <c r="L131" i="2" s="1"/>
  <c r="K15" i="2"/>
  <c r="L16" i="2" s="1"/>
  <c r="K33" i="2"/>
  <c r="L34" i="2" s="1"/>
  <c r="K145" i="2"/>
  <c r="L146" i="2" s="1"/>
  <c r="L163" i="2"/>
  <c r="K41" i="2"/>
  <c r="L42" i="2" s="1"/>
  <c r="K58" i="2"/>
  <c r="L59" i="2" s="1"/>
  <c r="K90" i="2"/>
  <c r="L91" i="2" s="1"/>
  <c r="R66" i="2"/>
  <c r="Q176" i="2"/>
  <c r="S52" i="2"/>
  <c r="S160" i="2"/>
  <c r="Q136" i="2"/>
  <c r="Q96" i="2"/>
  <c r="R135" i="2"/>
  <c r="Q79" i="2"/>
  <c r="R95" i="2"/>
  <c r="R156" i="2"/>
  <c r="Q72" i="2"/>
  <c r="Q21" i="2"/>
  <c r="R127" i="2"/>
  <c r="Q106" i="2"/>
  <c r="Q157" i="2"/>
  <c r="S110" i="2"/>
  <c r="R158" i="2"/>
  <c r="R121" i="2"/>
  <c r="Q121" i="2"/>
  <c r="S96" i="2"/>
  <c r="R28" i="2"/>
  <c r="Q28" i="2"/>
  <c r="S137" i="2"/>
  <c r="S153" i="2"/>
  <c r="S74" i="2"/>
  <c r="R30" i="2"/>
  <c r="R137" i="2"/>
  <c r="R153" i="2"/>
  <c r="R74" i="2"/>
  <c r="Q138" i="2"/>
  <c r="Q30" i="2"/>
  <c r="Q111" i="2"/>
  <c r="Q158" i="2"/>
  <c r="Q85" i="2"/>
  <c r="Q156" i="2"/>
  <c r="S155" i="2"/>
  <c r="R167" i="2"/>
  <c r="S2" i="2"/>
  <c r="Q126" i="2"/>
  <c r="Q127" i="2"/>
  <c r="R107" i="2"/>
  <c r="R2" i="2"/>
  <c r="Q140" i="2"/>
  <c r="S72" i="2"/>
  <c r="Q141" i="2"/>
  <c r="R106" i="2"/>
  <c r="Q71" i="2"/>
  <c r="S29" i="2"/>
  <c r="S50" i="2"/>
  <c r="Q18" i="2"/>
  <c r="Q177" i="2"/>
  <c r="R86" i="2"/>
  <c r="S36" i="2"/>
  <c r="R39" i="2"/>
  <c r="S93" i="2"/>
  <c r="S108" i="2"/>
  <c r="Q10" i="2"/>
  <c r="R126" i="2"/>
  <c r="Q39" i="2"/>
  <c r="Q26" i="2"/>
  <c r="Q86" i="2"/>
  <c r="S51" i="2"/>
  <c r="S134" i="2"/>
  <c r="S56" i="2"/>
  <c r="R51" i="2"/>
  <c r="R134" i="2"/>
  <c r="R56" i="2"/>
  <c r="R23" i="2"/>
  <c r="R87" i="2"/>
  <c r="Q23" i="2"/>
  <c r="Q3" i="2"/>
  <c r="S67" i="2"/>
  <c r="R78" i="2"/>
  <c r="R67" i="2"/>
  <c r="Q78" i="2"/>
  <c r="R138" i="2"/>
  <c r="S107" i="2"/>
  <c r="Q81" i="2"/>
  <c r="R18" i="2"/>
  <c r="Q173" i="2"/>
  <c r="Q167" i="2"/>
  <c r="Q64" i="2"/>
  <c r="Q48" i="2"/>
  <c r="S38" i="2"/>
  <c r="S82" i="2"/>
  <c r="Q27" i="2"/>
  <c r="R143" i="2"/>
  <c r="S22" i="2"/>
  <c r="R142" i="2"/>
  <c r="Q143" i="2"/>
  <c r="S45" i="2"/>
  <c r="S128" i="2"/>
  <c r="S4" i="2"/>
  <c r="Q154" i="2"/>
  <c r="R176" i="2"/>
  <c r="Q120" i="2"/>
  <c r="R157" i="2"/>
  <c r="S55" i="2"/>
  <c r="S83" i="2"/>
  <c r="S9" i="2"/>
  <c r="S87" i="2"/>
  <c r="Q57" i="2"/>
  <c r="S7" i="2"/>
  <c r="R7" i="2"/>
  <c r="Q84" i="2"/>
  <c r="Q8" i="2"/>
  <c r="S103" i="2"/>
  <c r="S79" i="2"/>
  <c r="S120" i="2"/>
  <c r="R88" i="2"/>
  <c r="R103" i="2"/>
  <c r="Q114" i="2"/>
  <c r="Q88" i="2"/>
  <c r="S66" i="2"/>
  <c r="R8" i="2"/>
  <c r="R44" i="2"/>
  <c r="R159" i="2"/>
  <c r="S61" i="2"/>
  <c r="S26" i="2"/>
  <c r="S159" i="2"/>
  <c r="Q11" i="2"/>
  <c r="R61" i="2"/>
  <c r="R62" i="2"/>
  <c r="S48" i="2"/>
  <c r="S84" i="2"/>
  <c r="Q125" i="2"/>
  <c r="R99" i="2"/>
  <c r="R129" i="2"/>
  <c r="S5" i="2"/>
  <c r="S99" i="2"/>
  <c r="S129" i="2"/>
  <c r="Q62" i="2"/>
  <c r="S73" i="2"/>
  <c r="S105" i="2"/>
  <c r="S104" i="2"/>
  <c r="S32" i="2"/>
  <c r="S114" i="2"/>
  <c r="R105" i="2"/>
  <c r="R104" i="2"/>
  <c r="R32" i="2"/>
  <c r="S173" i="2"/>
  <c r="S172" i="2"/>
  <c r="S97" i="2"/>
  <c r="S148" i="2"/>
  <c r="R81" i="2"/>
  <c r="Q31" i="2"/>
  <c r="S168" i="2"/>
  <c r="S80" i="2"/>
  <c r="R168" i="2"/>
  <c r="S125" i="2"/>
  <c r="S141" i="2"/>
  <c r="R80" i="2"/>
  <c r="S27" i="2"/>
  <c r="S64" i="2"/>
  <c r="S47" i="2"/>
  <c r="S139" i="2"/>
  <c r="S70" i="2"/>
  <c r="Q12" i="2"/>
  <c r="S94" i="2"/>
  <c r="R112" i="2"/>
  <c r="R9" i="2"/>
  <c r="S69" i="2"/>
  <c r="S85" i="2"/>
  <c r="R94" i="2"/>
  <c r="S10" i="2"/>
  <c r="Q112" i="2"/>
  <c r="S21" i="2"/>
  <c r="R149" i="2"/>
  <c r="R133" i="2"/>
  <c r="S57" i="2"/>
  <c r="S111" i="2"/>
  <c r="S54" i="2"/>
  <c r="Q149" i="2"/>
  <c r="Q133" i="2"/>
  <c r="S13" i="2"/>
  <c r="S49" i="2"/>
  <c r="S77" i="2"/>
  <c r="S98" i="2"/>
  <c r="S113" i="2"/>
  <c r="S6" i="2"/>
  <c r="S124" i="2"/>
  <c r="S40" i="2"/>
  <c r="R49" i="2"/>
  <c r="R77" i="2"/>
  <c r="S136" i="2"/>
  <c r="R165" i="2"/>
  <c r="S177" i="2"/>
  <c r="R98" i="2"/>
  <c r="R113" i="2"/>
  <c r="R6" i="2"/>
  <c r="S53" i="2"/>
  <c r="R124" i="2"/>
  <c r="S161" i="2"/>
  <c r="R40" i="2"/>
  <c r="S89" i="2"/>
  <c r="Q165" i="2"/>
  <c r="R53" i="2"/>
  <c r="R161" i="2"/>
  <c r="S102" i="2"/>
  <c r="S46" i="2"/>
  <c r="S140" i="2"/>
  <c r="S109" i="2"/>
  <c r="S101" i="2"/>
  <c r="S118" i="2"/>
  <c r="S119" i="2"/>
  <c r="S14" i="2"/>
  <c r="S154" i="2"/>
  <c r="S24" i="2"/>
  <c r="R109" i="2"/>
  <c r="R101" i="2"/>
  <c r="R65" i="2"/>
  <c r="R46" i="2"/>
  <c r="R118" i="2"/>
  <c r="R119" i="2"/>
  <c r="S31" i="2"/>
  <c r="R14" i="2"/>
  <c r="R24" i="2"/>
  <c r="S100" i="2"/>
  <c r="S63" i="2"/>
  <c r="Q65" i="2"/>
  <c r="S76" i="2"/>
  <c r="S123" i="2"/>
  <c r="S37" i="2"/>
  <c r="S20" i="2"/>
  <c r="S75" i="2"/>
  <c r="S68" i="2"/>
  <c r="S25" i="2"/>
  <c r="S144" i="2"/>
  <c r="S19" i="2"/>
  <c r="S122" i="2"/>
  <c r="R75" i="2"/>
  <c r="S11" i="2"/>
  <c r="R68" i="2"/>
  <c r="R25" i="2"/>
  <c r="S71" i="2"/>
  <c r="R144" i="2"/>
  <c r="S3" i="2"/>
  <c r="R19" i="2"/>
  <c r="S12" i="2"/>
  <c r="R122" i="2"/>
  <c r="R93" i="2"/>
  <c r="R97" i="2"/>
  <c r="R50" i="2"/>
  <c r="R22" i="2"/>
  <c r="R100" i="2"/>
  <c r="R47" i="2"/>
  <c r="R76" i="2"/>
  <c r="R89" i="2"/>
  <c r="R108" i="2"/>
  <c r="R139" i="2"/>
  <c r="R55" i="2"/>
  <c r="R110" i="2"/>
  <c r="R160" i="2"/>
  <c r="R70" i="2"/>
  <c r="R148" i="2"/>
  <c r="R54" i="2"/>
  <c r="R123" i="2"/>
  <c r="R63" i="2"/>
  <c r="R102" i="2"/>
  <c r="R83" i="2"/>
  <c r="R29" i="2"/>
  <c r="R73" i="2"/>
  <c r="R69" i="2"/>
  <c r="R38" i="2"/>
  <c r="R37" i="2"/>
  <c r="R5" i="2"/>
  <c r="R45" i="2"/>
  <c r="R36" i="2"/>
  <c r="R128" i="2"/>
  <c r="R82" i="2"/>
  <c r="R4" i="2"/>
  <c r="R52" i="2"/>
  <c r="R13" i="2"/>
  <c r="R155" i="2"/>
  <c r="R20" i="2"/>
  <c r="S135" i="2"/>
</calcChain>
</file>

<file path=xl/sharedStrings.xml><?xml version="1.0" encoding="utf-8"?>
<sst xmlns="http://schemas.openxmlformats.org/spreadsheetml/2006/main" count="1169" uniqueCount="449">
  <si>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</si>
  <si>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</si>
  <si>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</si>
  <si>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</si>
  <si>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</si>
  <si>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</si>
  <si>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</si>
  <si>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</si>
  <si>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</si>
  <si>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</si>
  <si>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</si>
  <si>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</si>
  <si>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</si>
  <si>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</si>
  <si>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</si>
  <si>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</si>
  <si>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</si>
  <si>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</si>
  <si>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</si>
  <si>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</si>
  <si>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</si>
  <si>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</si>
  <si>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</si>
  <si>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</si>
  <si>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</si>
  <si>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</si>
  <si>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</si>
  <si>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</si>
  <si>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</si>
  <si>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41-11-01-101-018</t>
  </si>
  <si>
    <t>8055 RAMSDELL DR NE</t>
  </si>
  <si>
    <t>WD</t>
  </si>
  <si>
    <t>03-ARM'S LENGTH</t>
  </si>
  <si>
    <t>00001</t>
  </si>
  <si>
    <t>20240509-0024441</t>
  </si>
  <si>
    <t>RURAL RESIDENTIAL</t>
  </si>
  <si>
    <t>401</t>
  </si>
  <si>
    <t>41-11-01-126-010</t>
  </si>
  <si>
    <t>9120 10 MILE RD NE</t>
  </si>
  <si>
    <t>20240219-0008300</t>
  </si>
  <si>
    <t>41-11-01-176-034</t>
  </si>
  <si>
    <t>8328 RAMSDELL DR NE</t>
  </si>
  <si>
    <t>20240425-0021890</t>
  </si>
  <si>
    <t>20240919-0052147</t>
  </si>
  <si>
    <t>41-11-01-176-035</t>
  </si>
  <si>
    <t>8332 RAMSDELL DR NE</t>
  </si>
  <si>
    <t>20230816-0046283</t>
  </si>
  <si>
    <t>41-11-01-200-057</t>
  </si>
  <si>
    <t>8349 TIFFANY AVE NE</t>
  </si>
  <si>
    <t>20250409-0023003</t>
  </si>
  <si>
    <t>41-11-02-100-032</t>
  </si>
  <si>
    <t>8064 WHISPERING HILLS DR NE</t>
  </si>
  <si>
    <t>20230822-0047375</t>
  </si>
  <si>
    <t>41-11-02-201-004</t>
  </si>
  <si>
    <t>8520 10 MILE RD NE</t>
  </si>
  <si>
    <t>20230717-0039826</t>
  </si>
  <si>
    <t>41-11-02-203-001</t>
  </si>
  <si>
    <t>8375 WINTER FOREST DR NE</t>
  </si>
  <si>
    <t>AFF</t>
  </si>
  <si>
    <t>20240423-0021612</t>
  </si>
  <si>
    <t>41-11-02-203-007</t>
  </si>
  <si>
    <t>8485 WINTER FOREST DR NE</t>
  </si>
  <si>
    <t>20241113-0064261</t>
  </si>
  <si>
    <t>41-11-02-276-002</t>
  </si>
  <si>
    <t>8566 WINTER FOREST DR NE</t>
  </si>
  <si>
    <t>20241114-0064538</t>
  </si>
  <si>
    <t>41-11-03-100-024</t>
  </si>
  <si>
    <t>8100 BUSH DR NE</t>
  </si>
  <si>
    <t>41-11-03-100-029</t>
  </si>
  <si>
    <t>8390 BUSH DR NE</t>
  </si>
  <si>
    <t>20240328-0015430</t>
  </si>
  <si>
    <t>402</t>
  </si>
  <si>
    <t>20230614-0032965</t>
  </si>
  <si>
    <t>41-11-03-100-068</t>
  </si>
  <si>
    <t>8300 BUSH DR NE</t>
  </si>
  <si>
    <t>20241104-0062249</t>
  </si>
  <si>
    <t>41-11-03-200-038</t>
  </si>
  <si>
    <t>7920 10 MILE RD NE</t>
  </si>
  <si>
    <t>20240731-0041503</t>
  </si>
  <si>
    <t>41-11-03-200-047</t>
  </si>
  <si>
    <t>8110 FIELD FLOWER LN NE</t>
  </si>
  <si>
    <t>20241023-0059649</t>
  </si>
  <si>
    <t>41-11-03-200-072</t>
  </si>
  <si>
    <t>7857 BUSH DR NE</t>
  </si>
  <si>
    <t>20241002-0054919</t>
  </si>
  <si>
    <t>41-11-03-400-033</t>
  </si>
  <si>
    <t>7911 9 MILE RD NE</t>
  </si>
  <si>
    <t>20240925-0053354</t>
  </si>
  <si>
    <t>41-11-04-127-002</t>
  </si>
  <si>
    <t>6671 KIES ST NE</t>
  </si>
  <si>
    <t>20250121-0003419</t>
  </si>
  <si>
    <t>41-11-04-130-008</t>
  </si>
  <si>
    <t>6748 KNOLLCREST ST NE</t>
  </si>
  <si>
    <t>20230622-0034847</t>
  </si>
  <si>
    <t>41-11-04-200-069</t>
  </si>
  <si>
    <t>7020 10 MILE RD NE</t>
  </si>
  <si>
    <t>20230626-0035449</t>
  </si>
  <si>
    <t>41-11-04-400-041</t>
  </si>
  <si>
    <t>7840 MYERS LAKE AVE NE</t>
  </si>
  <si>
    <t>20240913-0050752</t>
  </si>
  <si>
    <t>41-11-04-400-059</t>
  </si>
  <si>
    <t>7858 MYERS LAKE AVE NE</t>
  </si>
  <si>
    <t>20231207-0069350</t>
  </si>
  <si>
    <t>41-11-04-400-087</t>
  </si>
  <si>
    <t>6945 9 MILE RD NE</t>
  </si>
  <si>
    <t>20240530-0028635</t>
  </si>
  <si>
    <t>NOT INSPECTED</t>
  </si>
  <si>
    <t>41-11-05-100-020</t>
  </si>
  <si>
    <t>8250 RUM CREEK TRL NE</t>
  </si>
  <si>
    <t>20230629-0036538</t>
  </si>
  <si>
    <t>41-11-05-100-034</t>
  </si>
  <si>
    <t>8073 RUM CREEK TRL NE</t>
  </si>
  <si>
    <t>41-11-05-100-037</t>
  </si>
  <si>
    <t>8175 RUM CREEK TRL NE</t>
  </si>
  <si>
    <t>20230607-0031691</t>
  </si>
  <si>
    <t>001</t>
  </si>
  <si>
    <t>41-11-05-200-003</t>
  </si>
  <si>
    <t>6388 10 MILE RD NE</t>
  </si>
  <si>
    <t>20230919-0053447</t>
  </si>
  <si>
    <t>41-11-05-301-006</t>
  </si>
  <si>
    <t>5700 KIES ST NE</t>
  </si>
  <si>
    <t>19-MULTI PARCEL ARM'S LENGTH</t>
  </si>
  <si>
    <t>20241011-0057213</t>
  </si>
  <si>
    <t>41-11-05-301-005, 41-11-05-301-007</t>
  </si>
  <si>
    <t>41-11-05-326-004</t>
  </si>
  <si>
    <t>5820 FIELDSTONE RIDGE DR NE</t>
  </si>
  <si>
    <t>2025032-00014723</t>
  </si>
  <si>
    <t>41-11-05-326-007</t>
  </si>
  <si>
    <t>5856 FIELDSTONE RIDGE DR NE</t>
  </si>
  <si>
    <t>20250131-0005596</t>
  </si>
  <si>
    <t>41-11-05-326-017</t>
  </si>
  <si>
    <t>7800 ROBERTSONS RUN DR NE</t>
  </si>
  <si>
    <t>20250228-0010862</t>
  </si>
  <si>
    <t>41-11-05-452-004</t>
  </si>
  <si>
    <t>7733 N ARROYO VISTA DR NE</t>
  </si>
  <si>
    <t>20230821-0047062</t>
  </si>
  <si>
    <t>41-11-05-452-007</t>
  </si>
  <si>
    <t>7770 N ARROYO VISTA DR NE</t>
  </si>
  <si>
    <t>20240520-0026552</t>
  </si>
  <si>
    <t>41-11-06-176-014</t>
  </si>
  <si>
    <t>8125 COURTLAND DR NE</t>
  </si>
  <si>
    <t>20241029-0060994</t>
  </si>
  <si>
    <t>ROCKFORD BLDRS</t>
  </si>
  <si>
    <t>41-11-06-176-033</t>
  </si>
  <si>
    <t>8075 COURTLAND DR NE</t>
  </si>
  <si>
    <t>20240820-0045818</t>
  </si>
  <si>
    <t>41-11-06-176-035</t>
  </si>
  <si>
    <t>8015 COURTLAND DR NE</t>
  </si>
  <si>
    <t>20250103-0000352</t>
  </si>
  <si>
    <t>41-11-06-201-009</t>
  </si>
  <si>
    <t>5244 10 MILE RD NE</t>
  </si>
  <si>
    <t>20241105-0062675</t>
  </si>
  <si>
    <t>41-11-06-226-005</t>
  </si>
  <si>
    <t>5492 10 MILE RD NE</t>
  </si>
  <si>
    <t>20230914-0052596</t>
  </si>
  <si>
    <t>41-11-06-226-009</t>
  </si>
  <si>
    <t>8390 ROSE RIDGE DR NE</t>
  </si>
  <si>
    <t>20240515-0025716</t>
  </si>
  <si>
    <t>41-11-06-276-007</t>
  </si>
  <si>
    <t>8100 OAKVIEW RIDGE DR NE</t>
  </si>
  <si>
    <t>20241211-0070233</t>
  </si>
  <si>
    <t>41-11-06-400-006</t>
  </si>
  <si>
    <t>7630 COURTLAND DR NE</t>
  </si>
  <si>
    <t>20240109-0001517</t>
  </si>
  <si>
    <t>41-11-06-400-084</t>
  </si>
  <si>
    <t>7690 COURTLAND DR NE</t>
  </si>
  <si>
    <t>20240610-0030535</t>
  </si>
  <si>
    <t>41-11-07-100-040</t>
  </si>
  <si>
    <t>7549 COURTLAND DR NE</t>
  </si>
  <si>
    <t>20230818-0046863</t>
  </si>
  <si>
    <t>41-11-07-300-065</t>
  </si>
  <si>
    <t>7290 FOX MEADOW DR NE</t>
  </si>
  <si>
    <t>20250331-0018268</t>
  </si>
  <si>
    <t>41-11-07-400-055</t>
  </si>
  <si>
    <t>7025 BARKLEY CREEK DR NE</t>
  </si>
  <si>
    <t>20241015-0057816</t>
  </si>
  <si>
    <t>41-11-09-101-029</t>
  </si>
  <si>
    <t>6478 9 MILE RD NE</t>
  </si>
  <si>
    <t>20240513-0025100</t>
  </si>
  <si>
    <t>41-11-10-126-007</t>
  </si>
  <si>
    <t>7549 SILVER RIDGE DR NE</t>
  </si>
  <si>
    <t>20230719-0040414</t>
  </si>
  <si>
    <t>SILVER\LI</t>
  </si>
  <si>
    <t>41-11-10-126-021</t>
  </si>
  <si>
    <t>7543 SILVER RIDGE DR NE</t>
  </si>
  <si>
    <t>20230621-0034226</t>
  </si>
  <si>
    <t>20230607-0031542</t>
  </si>
  <si>
    <t>41-11-10-200-010</t>
  </si>
  <si>
    <t>7790 9 MILE RD NE</t>
  </si>
  <si>
    <t>20230607-0031708</t>
  </si>
  <si>
    <t>41-11-10-201-010</t>
  </si>
  <si>
    <t>7500 TWO LAKES DR</t>
  </si>
  <si>
    <t>20250307-0012077</t>
  </si>
  <si>
    <t>41-11-11-201-026</t>
  </si>
  <si>
    <t>7580 NORTHPORT DR NE</t>
  </si>
  <si>
    <t>20250129-0005023</t>
  </si>
  <si>
    <t>41-11-11-301-008</t>
  </si>
  <si>
    <t>8016 SILVERWICK CT NE</t>
  </si>
  <si>
    <t>20230524-0028830</t>
  </si>
  <si>
    <t>41-11-11-480-010</t>
  </si>
  <si>
    <t>6951 RAMSDELL DR NE</t>
  </si>
  <si>
    <t>20240812-0043920</t>
  </si>
  <si>
    <t>41-11-12-300-014</t>
  </si>
  <si>
    <t>9001 BELDING RD NE</t>
  </si>
  <si>
    <t>20230724-0041305</t>
  </si>
  <si>
    <t>41-11-12-400-035</t>
  </si>
  <si>
    <t>9469 BELDING RD</t>
  </si>
  <si>
    <t>20241001-0054793</t>
  </si>
  <si>
    <t>41-11-13-152-011</t>
  </si>
  <si>
    <t>6500 RAMSDELL DR NE</t>
  </si>
  <si>
    <t>20240529-0028291</t>
  </si>
  <si>
    <t>41-11-13-176-012</t>
  </si>
  <si>
    <t>6485 OAK HILL TRL NE</t>
  </si>
  <si>
    <t>20240709-0036234</t>
  </si>
  <si>
    <t>41-11-13-176-016</t>
  </si>
  <si>
    <t>6515 OAK HILL TRL NE</t>
  </si>
  <si>
    <t>20230906-0050593</t>
  </si>
  <si>
    <t>41-11-13-300-028</t>
  </si>
  <si>
    <t>6100 GREELEY AVE NE</t>
  </si>
  <si>
    <t>20240612-0031099</t>
  </si>
  <si>
    <t>41-11-13-300-046</t>
  </si>
  <si>
    <t>9000 BUCK RUN TRL NE</t>
  </si>
  <si>
    <t>20240719-0038837</t>
  </si>
  <si>
    <t>20230731-0042661</t>
  </si>
  <si>
    <t>41-11-14-176-012</t>
  </si>
  <si>
    <t>8318 BELDING RD NE</t>
  </si>
  <si>
    <t>20241122-0066561</t>
  </si>
  <si>
    <t>41-11-14-226-010</t>
  </si>
  <si>
    <t>8755 BELDING RD NE</t>
  </si>
  <si>
    <t>LC</t>
  </si>
  <si>
    <t>29-SELLERS INTEREST IN A LC</t>
  </si>
  <si>
    <t>20230815-0045718</t>
  </si>
  <si>
    <t>41-11-14-400-036</t>
  </si>
  <si>
    <t>6102 PICKEREL DR NE</t>
  </si>
  <si>
    <t>20240925-0053438</t>
  </si>
  <si>
    <t>41-11-14-400-042</t>
  </si>
  <si>
    <t>6180 RAMSDELL DR NE</t>
  </si>
  <si>
    <t>20231218-0071291</t>
  </si>
  <si>
    <t>41-11-14-400-045</t>
  </si>
  <si>
    <t>6176 RAMSDELL DR NE</t>
  </si>
  <si>
    <t>20240806-0042717</t>
  </si>
  <si>
    <t>41-11-14-400-058</t>
  </si>
  <si>
    <t>6122 RAMSDELL DR NE</t>
  </si>
  <si>
    <t>20240816-0045005</t>
  </si>
  <si>
    <t>41-11-15-101-017</t>
  </si>
  <si>
    <t>7210 BELDING RD NE</t>
  </si>
  <si>
    <t>41-11-15-101-013</t>
  </si>
  <si>
    <t>41-11-15-201-002</t>
  </si>
  <si>
    <t>7630 BELDING RD NE</t>
  </si>
  <si>
    <t>20230727+0042156</t>
  </si>
  <si>
    <t>41-11-15-251-007</t>
  </si>
  <si>
    <t>6424 SUNFISH LAKE AVE NE</t>
  </si>
  <si>
    <t>20231027-0062077</t>
  </si>
  <si>
    <t>2025011-00001712</t>
  </si>
  <si>
    <t>41-11-15-251-010</t>
  </si>
  <si>
    <t>6464 SUNFISH LAKE AVE NE</t>
  </si>
  <si>
    <t>20240125-0004112</t>
  </si>
  <si>
    <t>41-11-15-300-024</t>
  </si>
  <si>
    <t>7555 SUNFISH RIDGE DR NE</t>
  </si>
  <si>
    <t>20230719-0040429</t>
  </si>
  <si>
    <t>41-11-16-101-046</t>
  </si>
  <si>
    <t>6650 EGYPT VALLEY AVE NE</t>
  </si>
  <si>
    <t>20240111-0002041</t>
  </si>
  <si>
    <t>41-11-16-400-004</t>
  </si>
  <si>
    <t>6226 MYERS LAKE AVE NE</t>
  </si>
  <si>
    <t>20231116-0065798</t>
  </si>
  <si>
    <t>41-11-16-400-013</t>
  </si>
  <si>
    <t>7150 BELDING RD NE</t>
  </si>
  <si>
    <t>20241218-0071595</t>
  </si>
  <si>
    <t>41-11-16-400-029</t>
  </si>
  <si>
    <t>6160 MYERS LAKE AVE NE</t>
  </si>
  <si>
    <t>20230711-0038337</t>
  </si>
  <si>
    <t>41-11-17-100-001</t>
  </si>
  <si>
    <t>5612 BELDING RD NE</t>
  </si>
  <si>
    <t>20240628-0034516</t>
  </si>
  <si>
    <t>41-11-17-100-037</t>
  </si>
  <si>
    <t>6702 MAJESTIC WAY NE</t>
  </si>
  <si>
    <t>2023051-00025907</t>
  </si>
  <si>
    <t>41-11-17-226-010</t>
  </si>
  <si>
    <t>6675 EGYPT VALLEY AVE NE</t>
  </si>
  <si>
    <t>20241028-0060759</t>
  </si>
  <si>
    <t>41-11-17-276-007</t>
  </si>
  <si>
    <t>6349 PYRAMID LN NE</t>
  </si>
  <si>
    <t>20240610-0030547</t>
  </si>
  <si>
    <t>41-11-18-300-028</t>
  </si>
  <si>
    <t>6207 OAK VALLEY DR NE</t>
  </si>
  <si>
    <t>20230628-0035964</t>
  </si>
  <si>
    <t>41-11-19-100-025</t>
  </si>
  <si>
    <t>5000 7 MILE RD NE</t>
  </si>
  <si>
    <t>20240626-0034076</t>
  </si>
  <si>
    <t>41-11-19-200-048</t>
  </si>
  <si>
    <t>5560 7 MILE RD NE</t>
  </si>
  <si>
    <t>20240730-0041068</t>
  </si>
  <si>
    <t>41-11-19-200-041, 41-11-19-200-065</t>
  </si>
  <si>
    <t>41-11-20-300-019</t>
  </si>
  <si>
    <t>5460 SHAWKOTO TRL NE</t>
  </si>
  <si>
    <t>20241202-0067977</t>
  </si>
  <si>
    <t>41-11-20-401-022</t>
  </si>
  <si>
    <t>6127 CANNONSBURG RD NE</t>
  </si>
  <si>
    <t>20250311-0012546</t>
  </si>
  <si>
    <t>41-11-20-426-014</t>
  </si>
  <si>
    <t>6225 CANNONSBURG RD NE</t>
  </si>
  <si>
    <t>20240116-0002393</t>
  </si>
  <si>
    <t>41-11-20-426-047</t>
  </si>
  <si>
    <t>5535 EGYPT VALLEY AVE NE</t>
  </si>
  <si>
    <t>20240906-0049188</t>
  </si>
  <si>
    <t>41-11-20-426-051</t>
  </si>
  <si>
    <t>6233 CANNONSBURG RD NE</t>
  </si>
  <si>
    <t>20240509-0024494</t>
  </si>
  <si>
    <t>41-11-20-451-030</t>
  </si>
  <si>
    <t>6160 CANNONSBURG RD NE</t>
  </si>
  <si>
    <t>20240723-0039582</t>
  </si>
  <si>
    <t>41-11-21-100-043</t>
  </si>
  <si>
    <t>5650 EGYPT VALLEY AVE NE</t>
  </si>
  <si>
    <t>20230714-0039374 2ND</t>
  </si>
  <si>
    <t>41-11-21-100-057</t>
  </si>
  <si>
    <t>5672 EGYPT VALLEY AVE NE</t>
  </si>
  <si>
    <t>20240529-0028104</t>
  </si>
  <si>
    <t>41-11-21-200-026</t>
  </si>
  <si>
    <t>5671 CHANTERELLE DR NE</t>
  </si>
  <si>
    <t>20240531-0028999</t>
  </si>
  <si>
    <t>41-11-21-200-037</t>
  </si>
  <si>
    <t>6985 CHANTERELLE CT NE</t>
  </si>
  <si>
    <t>20240515-0025614</t>
  </si>
  <si>
    <t>20230825-0048473</t>
  </si>
  <si>
    <t>41-11-21-400-064</t>
  </si>
  <si>
    <t>5500 MYERS LAKE AVE NE</t>
  </si>
  <si>
    <t>20240617-0032252</t>
  </si>
  <si>
    <t>41-11-21-400-066</t>
  </si>
  <si>
    <t>7045 CANNONSBURG RD NE</t>
  </si>
  <si>
    <t>20240906-0049030</t>
  </si>
  <si>
    <t>41-11-22-126-012</t>
  </si>
  <si>
    <t>5953 SUNFISH LAKE AVE NE</t>
  </si>
  <si>
    <t>20230823-0048059</t>
  </si>
  <si>
    <t>41-11-22-326-008</t>
  </si>
  <si>
    <t>5561 SUNFISH LAKE AVE NE</t>
  </si>
  <si>
    <t>20230705-0037190</t>
  </si>
  <si>
    <t>41-11-22-376-012</t>
  </si>
  <si>
    <t>7570 SUNFISH WOODS CT</t>
  </si>
  <si>
    <t>20241108-0063491</t>
  </si>
  <si>
    <t>41-11-22-376-013</t>
  </si>
  <si>
    <t>7440 SUNFISH WOODS CT</t>
  </si>
  <si>
    <t>20240904-0048618</t>
  </si>
  <si>
    <t>41-11-22-376-015</t>
  </si>
  <si>
    <t>5323 SUNFISH LAKE AVE NE</t>
  </si>
  <si>
    <t>20240408-0017076</t>
  </si>
  <si>
    <t>41-11-22-400-031</t>
  </si>
  <si>
    <t>5320 SUNFISH LAKE AVE NE</t>
  </si>
  <si>
    <t>20231115-0065595</t>
  </si>
  <si>
    <t>41-11-23-100-067</t>
  </si>
  <si>
    <t>8299 KREUTER RD NE</t>
  </si>
  <si>
    <t>MLC</t>
  </si>
  <si>
    <t>20240930-00054314</t>
  </si>
  <si>
    <t>41-11-23-200-022</t>
  </si>
  <si>
    <t>6055 PICKEREL DR NE</t>
  </si>
  <si>
    <t>20241104-0062294</t>
  </si>
  <si>
    <t>41-11-23-300-002</t>
  </si>
  <si>
    <t>5581 RAMSDELL DR NE</t>
  </si>
  <si>
    <t>41-11-23-400-048</t>
  </si>
  <si>
    <t>8687 6 MILE RD NE</t>
  </si>
  <si>
    <t>20241122-0066702</t>
  </si>
  <si>
    <t>41-11-23-400-051</t>
  </si>
  <si>
    <t>5501 GILES AVE</t>
  </si>
  <si>
    <t>20230525-0029090</t>
  </si>
  <si>
    <t>20231003-0056948</t>
  </si>
  <si>
    <t>41-11-24-100-040</t>
  </si>
  <si>
    <t>5969 GREELEY AVE NE</t>
  </si>
  <si>
    <t>41-11-24-401-004</t>
  </si>
  <si>
    <t>9324 KREUTER RD NE</t>
  </si>
  <si>
    <t>20230525-0029125</t>
  </si>
  <si>
    <t>41-11-24-426-004</t>
  </si>
  <si>
    <t>5430 POLAR BEAR CT NE</t>
  </si>
  <si>
    <t>20240501-0022810</t>
  </si>
  <si>
    <t>41-11-25-300-032</t>
  </si>
  <si>
    <t>4760 GILES AVE NE</t>
  </si>
  <si>
    <t>20240909-0049687</t>
  </si>
  <si>
    <t>41-11-25-400-003</t>
  </si>
  <si>
    <t>4567 TIFFANY AVE NE</t>
  </si>
  <si>
    <t>20231017-0059753</t>
  </si>
  <si>
    <t>41-11-26-200-007</t>
  </si>
  <si>
    <t>8425 B J ST NE</t>
  </si>
  <si>
    <t>20230918-0053318</t>
  </si>
  <si>
    <t>41-11-26-300-040</t>
  </si>
  <si>
    <t>8395 5 MILE RD NE</t>
  </si>
  <si>
    <t>20240816-0045075</t>
  </si>
  <si>
    <t>41-11-27-251-009</t>
  </si>
  <si>
    <t>7700 CARY ST NE</t>
  </si>
  <si>
    <t>20241022-0059292</t>
  </si>
  <si>
    <t>41-11-28-300-001</t>
  </si>
  <si>
    <t>4790 EGYPT VALLEY AVE NE</t>
  </si>
  <si>
    <t>20230908-0051554</t>
  </si>
  <si>
    <t>41-11-29-101-003</t>
  </si>
  <si>
    <t>5680 CANNONSBURG RD NE</t>
  </si>
  <si>
    <t>20240625-0033651</t>
  </si>
  <si>
    <t>41-11-29-101-004</t>
  </si>
  <si>
    <t>5700 CANNONSBURG RD NE</t>
  </si>
  <si>
    <t>2023064-0033087</t>
  </si>
  <si>
    <t>41-11-29-101-005</t>
  </si>
  <si>
    <t>5720 CANNONSBURG RD NE</t>
  </si>
  <si>
    <t>20230614-0033109</t>
  </si>
  <si>
    <t>41-11-29-252-003</t>
  </si>
  <si>
    <t>6293 CANNON HIGHLANDS DR NE</t>
  </si>
  <si>
    <t>20241112-0063883</t>
  </si>
  <si>
    <t>41-11-29-252-011</t>
  </si>
  <si>
    <t>6059 CANNON HIGHLANDS DR NE</t>
  </si>
  <si>
    <t>202404025-0022146</t>
  </si>
  <si>
    <t>41-11-29-252-017</t>
  </si>
  <si>
    <t>4830 PINEMONT CT NE</t>
  </si>
  <si>
    <t>20240105-0001028</t>
  </si>
  <si>
    <t>20250203-0005861</t>
  </si>
  <si>
    <t>41-11-30-100-052</t>
  </si>
  <si>
    <t>4934 CANNONSBURG RD NE</t>
  </si>
  <si>
    <t>20240423-0021538</t>
  </si>
  <si>
    <t>OLD SUBS &amp; CONDOS</t>
  </si>
  <si>
    <t>41-11-30-100-082</t>
  </si>
  <si>
    <t>4850 CHAUNCEY DR NE</t>
  </si>
  <si>
    <t>20241226-0073028</t>
  </si>
  <si>
    <t>41-11-30-100-094</t>
  </si>
  <si>
    <t>5088 CHAUNCEY DR NE</t>
  </si>
  <si>
    <t>20231019-0060355</t>
  </si>
  <si>
    <t>41-11-32-151-003</t>
  </si>
  <si>
    <t>4120 PETTIS AVE NE</t>
  </si>
  <si>
    <t>20241231-0073623</t>
  </si>
  <si>
    <t>41-11-32-253-010</t>
  </si>
  <si>
    <t>6110 EGYPT VALLEY CT NE</t>
  </si>
  <si>
    <t>2024013-00004778</t>
  </si>
  <si>
    <t>41-11-32-300-032</t>
  </si>
  <si>
    <t>5621 4 MILE RD NE</t>
  </si>
  <si>
    <t>20240703-0035473</t>
  </si>
  <si>
    <t>41-11-33-100-026</t>
  </si>
  <si>
    <t>6450 5 MILE RD NE</t>
  </si>
  <si>
    <t>20241206-0069176</t>
  </si>
  <si>
    <t>41-11-33-100-039</t>
  </si>
  <si>
    <t>4030 EGYPT VALLEY AVE NE</t>
  </si>
  <si>
    <t>20240628-0034747</t>
  </si>
  <si>
    <t>41-11-33-300-028</t>
  </si>
  <si>
    <t>3940 EGYPT VALLEY AVE NE</t>
  </si>
  <si>
    <t>20230803-0043735</t>
  </si>
  <si>
    <t>41-11-33-300-030</t>
  </si>
  <si>
    <t>3900 EGYPT VALLEY AVE NE</t>
  </si>
  <si>
    <t>20241001-0054658</t>
  </si>
  <si>
    <t>41-11-34-200-017</t>
  </si>
  <si>
    <t>7801 HAWKVIEW CT NE</t>
  </si>
  <si>
    <t>20230630-0036937</t>
  </si>
  <si>
    <t>41-11-36-100-028</t>
  </si>
  <si>
    <t>4131 MCCABE AVE NE</t>
  </si>
  <si>
    <t>20231009-0058073</t>
  </si>
  <si>
    <t>ACRES</t>
  </si>
  <si>
    <t>$ Per Acre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</si>
</sst>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</numFmts>
  <fonts count="3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6" fontId="0" fillId="0" borderId="0" xfId="0" applyNumberFormat="1"/>
    <xf numFmtId="40" fontId="0" fillId="0" borderId="0" xfId="0" applyNumberFormat="1"/>
    <xf numFmtId="8" fontId="0" fillId="0" borderId="0" xfId="0" applyNumberFormat="1"/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167" fontId="1" fillId="2" borderId="0" xfId="0" applyNumberFormat="1" applyFont="1" applyFill="1" applyAlignment="1">
      <alignment horizontal="center"/>
    </xf>
    <xf numFmtId="40" fontId="1" fillId="2" borderId="0" xfId="0" applyNumberFormat="1" applyFont="1" applyFill="1" applyAlignment="1">
      <alignment horizontal="center"/>
    </xf>
    <xf numFmtId="8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40" fontId="2" fillId="0" borderId="0" xfId="0" applyNumberFormat="1" applyFont="1"/>
    <xf numFmtId="8" fontId="2" fillId="0" borderId="0" xfId="0" applyNumberFormat="1" applyFont="1"/>
    <xf numFmtId="0" fontId="2" fillId="0" borderId="0" xfId="0" quotePrefix="1" applyFont="1" applyAlignment="1">
      <alignment horizontal="right"/>
    </xf>
    <xf numFmtId="14" fontId="2" fillId="0" borderId="0" xfId="0" applyNumberFormat="1" applyFont="1"/>
    <xf numFmtId="0" fontId="2" fillId="0" borderId="0" xfId="0" quotePrefix="1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'Land Analysis'!$H$181:$H$197</c:f>
              <c:numCache>
                <c:formatCode>General</c:formatCode>
                <c:ptCount val="17"/>
                <c:pt idx="0">
                  <c:v>2025</c:v>
                </c:pt>
                <c:pt idx="1">
                  <c:v>68125</c:v>
                </c:pt>
                <c:pt idx="2">
                  <c:v>73700</c:v>
                </c:pt>
                <c:pt idx="3">
                  <c:v>79000</c:v>
                </c:pt>
                <c:pt idx="4">
                  <c:v>85000</c:v>
                </c:pt>
                <c:pt idx="5">
                  <c:v>90700</c:v>
                </c:pt>
                <c:pt idx="6">
                  <c:v>107700</c:v>
                </c:pt>
                <c:pt idx="7">
                  <c:v>124700</c:v>
                </c:pt>
                <c:pt idx="8">
                  <c:v>147300</c:v>
                </c:pt>
                <c:pt idx="9">
                  <c:v>181400</c:v>
                </c:pt>
                <c:pt idx="10">
                  <c:v>221000</c:v>
                </c:pt>
                <c:pt idx="11">
                  <c:v>225000</c:v>
                </c:pt>
                <c:pt idx="12">
                  <c:v>294700</c:v>
                </c:pt>
                <c:pt idx="13">
                  <c:v>351400</c:v>
                </c:pt>
                <c:pt idx="14">
                  <c:v>453400</c:v>
                </c:pt>
                <c:pt idx="15">
                  <c:v>566800</c:v>
                </c:pt>
                <c:pt idx="16">
                  <c:v>1133600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43-48A9-95AB-2D2E31E3A188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'Land Analysis'!$I$181:$I$197</c:f>
              <c:numCache>
                <c:formatCode>General</c:formatCode>
                <c:ptCount val="17"/>
                <c:pt idx="0">
                  <c:v>0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7</c:v>
                </c:pt>
                <c:pt idx="9">
                  <c:v>10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43-48A9-95AB-2D2E31E3A188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'Land Analysis'!$J$181:$J$197</c:f>
              <c:numCache>
                <c:formatCode>General</c:formatCode>
                <c:ptCount val="17"/>
                <c:pt idx="0">
                  <c:v>2026</c:v>
                </c:pt>
                <c:pt idx="1">
                  <c:v>76600</c:v>
                </c:pt>
                <c:pt idx="2">
                  <c:v>86600</c:v>
                </c:pt>
                <c:pt idx="3">
                  <c:v>94600</c:v>
                </c:pt>
                <c:pt idx="4">
                  <c:v>92200</c:v>
                </c:pt>
                <c:pt idx="5">
                  <c:v>84600</c:v>
                </c:pt>
                <c:pt idx="6">
                  <c:v>104800</c:v>
                </c:pt>
                <c:pt idx="7">
                  <c:v>132100</c:v>
                </c:pt>
                <c:pt idx="8">
                  <c:v>150000</c:v>
                </c:pt>
                <c:pt idx="9">
                  <c:v>210000</c:v>
                </c:pt>
                <c:pt idx="10">
                  <c:v>250000</c:v>
                </c:pt>
                <c:pt idx="11">
                  <c:v>290000</c:v>
                </c:pt>
                <c:pt idx="12">
                  <c:v>340000</c:v>
                </c:pt>
                <c:pt idx="13">
                  <c:v>425000</c:v>
                </c:pt>
                <c:pt idx="14">
                  <c:v>575000</c:v>
                </c:pt>
                <c:pt idx="15">
                  <c:v>700000</c:v>
                </c:pt>
                <c:pt idx="16">
                  <c:v>1133600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43-48A9-95AB-2D2E31E3A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1332111"/>
        <c:axId val="1411348911"/>
      </c:lineChart>
      <c:catAx>
        <c:axId val="141133211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1348911"/>
        <c:crosses val="autoZero"/>
        <c:auto val="1"/>
        <c:lblAlgn val="ctr"/>
        <c:lblOffset val="100"/>
        <c:noMultiLvlLbl val="0"/>
      </c:catAx>
      <c:valAx>
        <c:axId val="1411348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13321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219075</xdr:colOff>
      <xdr:row>179</xdr:row>
      <xdr:rowOff>138111</xdr:rowOff>
    </xdr:from>
    <xdr:to>
      <xdr:col>21</xdr:col>
      <xdr:colOff>247650</xdr:colOff>
      <xdr:row>200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CE4B031-9EF0-3D5F-9B71-683E8B07CB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25EC3-9037-42DE-9008-AF2F598B7AD8}">
  <dimension ref="A1:BL206"/>
  <sheetViews>
    <sheetView tabSelected="1" topLeftCell="A167" workbookViewId="0">
      <selection activeCell="J191" sqref="J191"/>
    </sheetView>
  </sheetViews>
  <sheetFormatPr defaultRowHeight="15" x14ac:dyDescent="0.25"/>
  <cols>
    <col min="1" max="1" width="13.140625" style="14" bestFit="1" customWidth="1"/>
    <col min="2" max="2" width="23.42578125" style="14" bestFit="1" customWidth="1"/>
    <col min="3" max="3" width="7.28515625" style="15" bestFit="1" customWidth="1"/>
    <col min="4" max="4" width="10" style="16" bestFit="1" customWidth="1"/>
    <col min="5" max="5" width="4.5703125" style="14" bestFit="1" customWidth="1"/>
    <col min="6" max="6" width="22.85546875" style="14" bestFit="1" customWidth="1"/>
    <col min="7" max="7" width="10" style="16" bestFit="1" customWidth="1"/>
    <col min="8" max="8" width="11" style="16" bestFit="1" customWidth="1"/>
    <col min="9" max="9" width="9.7109375" style="17" bestFit="1" customWidth="1"/>
    <col min="10" max="10" width="10.28515625" style="16" bestFit="1" customWidth="1"/>
    <col min="11" max="11" width="10.140625" style="16" bestFit="1" customWidth="1"/>
    <col min="12" max="12" width="11" style="16" bestFit="1" customWidth="1"/>
    <col min="13" max="13" width="13.5703125" style="18" bestFit="1" customWidth="1"/>
    <col min="14" max="14" width="5.28515625" style="19" bestFit="1" customWidth="1"/>
    <col min="15" max="15" width="11" style="20" bestFit="1" customWidth="1"/>
    <col min="16" max="16" width="8.28515625" style="20" bestFit="1" customWidth="1"/>
    <col min="17" max="17" width="7.7109375" style="16" bestFit="1" customWidth="1"/>
    <col min="18" max="18" width="9.28515625" style="16" bestFit="1" customWidth="1"/>
    <col min="19" max="19" width="9.28515625" style="21" bestFit="1" customWidth="1"/>
    <col min="20" max="20" width="9" style="20" bestFit="1" customWidth="1"/>
    <col min="21" max="21" width="6.85546875" style="25" bestFit="1" customWidth="1"/>
    <col min="22" max="22" width="17.7109375" style="14" bestFit="1" customWidth="1"/>
    <col min="23" max="23" width="26.28515625" style="14" bestFit="1" customWidth="1"/>
    <col min="24" max="24" width="20.28515625" style="14" bestFit="1" customWidth="1"/>
    <col min="25" max="25" width="5.28515625" style="14" bestFit="1" customWidth="1"/>
    <col min="26" max="26" width="5" style="14" bestFit="1" customWidth="1"/>
    <col min="27" max="27" width="11.5703125" style="14" bestFit="1" customWidth="1"/>
    <col min="28" max="28" width="7.42578125" style="14" bestFit="1" customWidth="1"/>
    <col min="29" max="29" width="4.5703125" style="14" bestFit="1" customWidth="1"/>
    <col min="30" max="32" width="9.5703125" bestFit="1" customWidth="1"/>
    <col min="33" max="33" width="14.28515625" bestFit="1" customWidth="1"/>
    <col min="34" max="34" width="5.5703125" bestFit="1" customWidth="1"/>
    <col min="35" max="35" width="9.85546875" bestFit="1" customWidth="1"/>
    <col min="36" max="36" width="5.140625" bestFit="1" customWidth="1"/>
    <col min="37" max="37" width="15.42578125" bestFit="1" customWidth="1"/>
    <col min="38" max="38" width="12.7109375" bestFit="1" customWidth="1"/>
    <col min="39" max="39" width="11.140625" bestFit="1" customWidth="1"/>
    <col min="40" max="40" width="8.28515625" bestFit="1" customWidth="1"/>
    <col min="41" max="41" width="12.42578125" bestFit="1" customWidth="1"/>
    <col min="42" max="42" width="15.85546875" bestFit="1" customWidth="1"/>
    <col min="43" max="43" width="15.7109375" bestFit="1" customWidth="1"/>
    <col min="44" max="44" width="12.85546875" bestFit="1" customWidth="1"/>
  </cols>
  <sheetData>
    <row r="1" spans="1:64" x14ac:dyDescent="0.25">
      <c r="A1" s="5" t="s">
        <v>0</v>
      </c>
      <c r="B1" s="5" t="s">
        <v>1</v>
      </c>
      <c r="C1" s="6" t="s">
        <v>2</v>
      </c>
      <c r="D1" s="7" t="s">
        <v>3</v>
      </c>
      <c r="E1" s="5" t="s">
        <v>4</v>
      </c>
      <c r="F1" s="5" t="s">
        <v>5</v>
      </c>
      <c r="G1" s="7" t="s">
        <v>6</v>
      </c>
      <c r="H1" s="7" t="s">
        <v>7</v>
      </c>
      <c r="I1" s="8" t="s">
        <v>8</v>
      </c>
      <c r="J1" s="7" t="s">
        <v>9</v>
      </c>
      <c r="K1" s="7" t="s">
        <v>10</v>
      </c>
      <c r="L1" s="7" t="s">
        <v>11</v>
      </c>
      <c r="M1" s="9" t="s">
        <v>12</v>
      </c>
      <c r="N1" s="10" t="s">
        <v>13</v>
      </c>
      <c r="O1" s="11" t="s">
        <v>14</v>
      </c>
      <c r="P1" s="11" t="s">
        <v>15</v>
      </c>
      <c r="Q1" s="7" t="s">
        <v>16</v>
      </c>
      <c r="R1" s="7" t="s">
        <v>17</v>
      </c>
      <c r="S1" s="12" t="s">
        <v>18</v>
      </c>
      <c r="T1" s="11" t="s">
        <v>19</v>
      </c>
      <c r="U1" s="13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x14ac:dyDescent="0.25">
      <c r="A2" s="14" t="s">
        <v>227</v>
      </c>
      <c r="B2" s="14" t="s">
        <v>228</v>
      </c>
      <c r="C2" s="15">
        <v>45149</v>
      </c>
      <c r="D2" s="16">
        <v>266000</v>
      </c>
      <c r="E2" s="14" t="s">
        <v>229</v>
      </c>
      <c r="F2" s="14" t="s">
        <v>230</v>
      </c>
      <c r="G2" s="16">
        <v>266000</v>
      </c>
      <c r="H2" s="16">
        <v>104600</v>
      </c>
      <c r="I2" s="17">
        <f>H2/G2*100</f>
        <v>39.323308270676691</v>
      </c>
      <c r="J2" s="16">
        <v>274709</v>
      </c>
      <c r="K2" s="16">
        <f>G2-257678</f>
        <v>8322</v>
      </c>
      <c r="L2" s="16">
        <v>17031</v>
      </c>
      <c r="M2" s="18">
        <v>0</v>
      </c>
      <c r="N2" s="19">
        <v>0</v>
      </c>
      <c r="O2" s="20">
        <v>0.25</v>
      </c>
      <c r="P2" s="20">
        <v>0.25</v>
      </c>
      <c r="Q2" s="16" t="e">
        <f>K2/M2</f>
        <v>#DIV/0!</v>
      </c>
      <c r="R2" s="16">
        <f>K2/O2</f>
        <v>33288</v>
      </c>
      <c r="S2" s="21">
        <f>K2/O2/43560</f>
        <v>0.76418732782369148</v>
      </c>
      <c r="T2" s="20">
        <v>0</v>
      </c>
      <c r="U2" s="22" t="s">
        <v>33</v>
      </c>
      <c r="V2" s="14" t="s">
        <v>231</v>
      </c>
      <c r="X2" s="14" t="s">
        <v>35</v>
      </c>
      <c r="Y2" s="14">
        <v>0</v>
      </c>
      <c r="Z2" s="14">
        <v>0</v>
      </c>
      <c r="AA2" s="23">
        <v>42240</v>
      </c>
      <c r="AC2" s="24" t="s">
        <v>36</v>
      </c>
      <c r="BC2" s="1"/>
      <c r="BE2" s="1"/>
    </row>
    <row r="3" spans="1:64" x14ac:dyDescent="0.25">
      <c r="A3" s="14" t="s">
        <v>208</v>
      </c>
      <c r="B3" s="14" t="s">
        <v>209</v>
      </c>
      <c r="C3" s="15">
        <v>45429</v>
      </c>
      <c r="D3" s="16">
        <v>357300</v>
      </c>
      <c r="E3" s="14" t="s">
        <v>31</v>
      </c>
      <c r="F3" s="14" t="s">
        <v>32</v>
      </c>
      <c r="G3" s="16">
        <v>357300</v>
      </c>
      <c r="H3" s="16">
        <v>136400</v>
      </c>
      <c r="I3" s="17">
        <f>H3/G3*100</f>
        <v>38.175202910719285</v>
      </c>
      <c r="J3" s="16">
        <v>298251</v>
      </c>
      <c r="K3" s="16">
        <f>G3-272911</f>
        <v>84389</v>
      </c>
      <c r="L3" s="16">
        <v>25340</v>
      </c>
      <c r="M3" s="18">
        <v>0</v>
      </c>
      <c r="N3" s="19">
        <v>0</v>
      </c>
      <c r="O3" s="20">
        <v>0.36199999999999999</v>
      </c>
      <c r="P3" s="20">
        <v>0.36199999999999999</v>
      </c>
      <c r="Q3" s="16" t="e">
        <f>K3/M3</f>
        <v>#DIV/0!</v>
      </c>
      <c r="R3" s="16">
        <f>K3/O3</f>
        <v>233118.78453038674</v>
      </c>
      <c r="S3" s="21">
        <f>K3/O3/43560</f>
        <v>5.3516709029014402</v>
      </c>
      <c r="T3" s="20">
        <v>0</v>
      </c>
      <c r="U3" s="22" t="s">
        <v>33</v>
      </c>
      <c r="V3" s="14" t="s">
        <v>210</v>
      </c>
      <c r="X3" s="14" t="s">
        <v>35</v>
      </c>
      <c r="Y3" s="14">
        <v>0</v>
      </c>
      <c r="Z3" s="14">
        <v>0</v>
      </c>
      <c r="AA3" s="23">
        <v>41082</v>
      </c>
      <c r="AC3" s="24" t="s">
        <v>36</v>
      </c>
    </row>
    <row r="4" spans="1:64" x14ac:dyDescent="0.25">
      <c r="A4" s="14" t="s">
        <v>91</v>
      </c>
      <c r="B4" s="14" t="s">
        <v>92</v>
      </c>
      <c r="C4" s="15">
        <v>45097</v>
      </c>
      <c r="D4" s="16">
        <v>288000</v>
      </c>
      <c r="E4" s="14" t="s">
        <v>31</v>
      </c>
      <c r="F4" s="14" t="s">
        <v>32</v>
      </c>
      <c r="G4" s="16">
        <v>288000</v>
      </c>
      <c r="H4" s="16">
        <v>84000</v>
      </c>
      <c r="I4" s="17">
        <f>H4/G4*100</f>
        <v>29.166666666666668</v>
      </c>
      <c r="J4" s="16">
        <v>226963</v>
      </c>
      <c r="K4" s="16">
        <f>G4-197703</f>
        <v>90297</v>
      </c>
      <c r="L4" s="16">
        <v>29260</v>
      </c>
      <c r="M4" s="18">
        <v>0</v>
      </c>
      <c r="N4" s="19">
        <v>0</v>
      </c>
      <c r="O4" s="20">
        <v>0.41799999999999998</v>
      </c>
      <c r="P4" s="20">
        <v>0.41799999999999998</v>
      </c>
      <c r="Q4" s="16" t="e">
        <f>K4/M4</f>
        <v>#DIV/0!</v>
      </c>
      <c r="R4" s="16">
        <f>K4/O4</f>
        <v>216021.53110047849</v>
      </c>
      <c r="S4" s="21">
        <f>K4/O4/43560</f>
        <v>4.959171972003638</v>
      </c>
      <c r="T4" s="20">
        <v>0</v>
      </c>
      <c r="U4" s="22" t="s">
        <v>33</v>
      </c>
      <c r="V4" s="14" t="s">
        <v>93</v>
      </c>
      <c r="X4" s="14" t="s">
        <v>35</v>
      </c>
      <c r="Y4" s="14">
        <v>0</v>
      </c>
      <c r="Z4" s="14">
        <v>0</v>
      </c>
      <c r="AA4" s="23">
        <v>45469</v>
      </c>
      <c r="AC4" s="24" t="s">
        <v>36</v>
      </c>
    </row>
    <row r="5" spans="1:64" x14ac:dyDescent="0.25">
      <c r="A5" s="14" t="s">
        <v>155</v>
      </c>
      <c r="B5" s="14" t="s">
        <v>156</v>
      </c>
      <c r="C5" s="15">
        <v>45422</v>
      </c>
      <c r="D5" s="16">
        <v>445000</v>
      </c>
      <c r="E5" s="14" t="s">
        <v>31</v>
      </c>
      <c r="F5" s="14" t="s">
        <v>32</v>
      </c>
      <c r="G5" s="16">
        <v>445000</v>
      </c>
      <c r="H5" s="16">
        <v>166400</v>
      </c>
      <c r="I5" s="17">
        <f>H5/G5*100</f>
        <v>37.393258426966291</v>
      </c>
      <c r="J5" s="16">
        <v>366428</v>
      </c>
      <c r="K5" s="16">
        <f>G5-332365</f>
        <v>112635</v>
      </c>
      <c r="L5" s="16">
        <v>34063</v>
      </c>
      <c r="M5" s="18">
        <v>0</v>
      </c>
      <c r="N5" s="19">
        <v>0</v>
      </c>
      <c r="O5" s="20">
        <v>0.5</v>
      </c>
      <c r="P5" s="20">
        <v>0.5</v>
      </c>
      <c r="Q5" s="16" t="e">
        <f>K5/M5</f>
        <v>#DIV/0!</v>
      </c>
      <c r="R5" s="16">
        <f>K5/O5</f>
        <v>225270</v>
      </c>
      <c r="S5" s="21">
        <f>K5/O5/43560</f>
        <v>5.1714876033057848</v>
      </c>
      <c r="T5" s="20">
        <v>0</v>
      </c>
      <c r="U5" s="22" t="s">
        <v>33</v>
      </c>
      <c r="V5" s="14" t="s">
        <v>157</v>
      </c>
      <c r="X5" s="14" t="s">
        <v>35</v>
      </c>
      <c r="Y5" s="14">
        <v>0</v>
      </c>
      <c r="Z5" s="14">
        <v>1</v>
      </c>
      <c r="AA5" s="23">
        <v>45447</v>
      </c>
      <c r="AC5" s="24" t="s">
        <v>36</v>
      </c>
    </row>
    <row r="6" spans="1:64" x14ac:dyDescent="0.25">
      <c r="A6" s="14" t="s">
        <v>187</v>
      </c>
      <c r="B6" s="14" t="s">
        <v>188</v>
      </c>
      <c r="C6" s="15">
        <v>45068</v>
      </c>
      <c r="D6" s="16">
        <v>298000</v>
      </c>
      <c r="E6" s="14" t="s">
        <v>31</v>
      </c>
      <c r="F6" s="14" t="s">
        <v>32</v>
      </c>
      <c r="G6" s="16">
        <v>298000</v>
      </c>
      <c r="H6" s="16">
        <v>90200</v>
      </c>
      <c r="I6" s="17">
        <f>H6/G6*100</f>
        <v>30.268456375838927</v>
      </c>
      <c r="J6" s="16">
        <v>234765</v>
      </c>
      <c r="K6" s="16">
        <f>G6-200702</f>
        <v>97298</v>
      </c>
      <c r="L6" s="16">
        <v>34063</v>
      </c>
      <c r="M6" s="18">
        <v>0</v>
      </c>
      <c r="N6" s="19">
        <v>0</v>
      </c>
      <c r="O6" s="20">
        <v>0.5</v>
      </c>
      <c r="P6" s="20">
        <v>0.5</v>
      </c>
      <c r="Q6" s="16" t="e">
        <f>K6/M6</f>
        <v>#DIV/0!</v>
      </c>
      <c r="R6" s="16">
        <f>K6/O6</f>
        <v>194596</v>
      </c>
      <c r="S6" s="21">
        <f>K6/O6/43560</f>
        <v>4.4673094582185495</v>
      </c>
      <c r="T6" s="20">
        <v>0</v>
      </c>
      <c r="U6" s="22" t="s">
        <v>33</v>
      </c>
      <c r="V6" s="14" t="s">
        <v>189</v>
      </c>
      <c r="X6" s="14" t="s">
        <v>35</v>
      </c>
      <c r="Y6" s="14">
        <v>0</v>
      </c>
      <c r="Z6" s="14">
        <v>0</v>
      </c>
      <c r="AA6" s="23">
        <v>41831</v>
      </c>
      <c r="AC6" s="24" t="s">
        <v>36</v>
      </c>
    </row>
    <row r="7" spans="1:64" x14ac:dyDescent="0.25">
      <c r="A7" s="14" t="s">
        <v>300</v>
      </c>
      <c r="B7" s="14" t="s">
        <v>301</v>
      </c>
      <c r="C7" s="15">
        <v>45301</v>
      </c>
      <c r="D7" s="16">
        <v>260000</v>
      </c>
      <c r="E7" s="14" t="s">
        <v>31</v>
      </c>
      <c r="F7" s="14" t="s">
        <v>32</v>
      </c>
      <c r="G7" s="16">
        <v>260000</v>
      </c>
      <c r="H7" s="16">
        <v>86300</v>
      </c>
      <c r="I7" s="17">
        <f>H7/G7*100</f>
        <v>33.192307692307693</v>
      </c>
      <c r="J7" s="16">
        <v>222114</v>
      </c>
      <c r="K7" s="16">
        <f>G7-186689</f>
        <v>73311</v>
      </c>
      <c r="L7" s="16">
        <v>35425</v>
      </c>
      <c r="M7" s="18">
        <v>0</v>
      </c>
      <c r="N7" s="19">
        <v>0</v>
      </c>
      <c r="O7" s="20">
        <v>0.52</v>
      </c>
      <c r="P7" s="20">
        <v>0.52</v>
      </c>
      <c r="Q7" s="16" t="e">
        <f>K7/M7</f>
        <v>#DIV/0!</v>
      </c>
      <c r="R7" s="16">
        <f>K7/O7</f>
        <v>140982.69230769231</v>
      </c>
      <c r="S7" s="21">
        <f>K7/O7/43560</f>
        <v>3.23651727060818</v>
      </c>
      <c r="T7" s="20">
        <v>0</v>
      </c>
      <c r="U7" s="22" t="s">
        <v>33</v>
      </c>
      <c r="V7" s="14" t="s">
        <v>302</v>
      </c>
      <c r="X7" s="14" t="s">
        <v>35</v>
      </c>
      <c r="Y7" s="14">
        <v>0</v>
      </c>
      <c r="Z7" s="14">
        <v>0</v>
      </c>
      <c r="AA7" s="23">
        <v>42472</v>
      </c>
      <c r="AC7" s="24" t="s">
        <v>36</v>
      </c>
    </row>
    <row r="8" spans="1:64" x14ac:dyDescent="0.25">
      <c r="A8" s="14" t="s">
        <v>139</v>
      </c>
      <c r="B8" s="14" t="s">
        <v>140</v>
      </c>
      <c r="C8" s="15">
        <v>45401</v>
      </c>
      <c r="D8" s="16">
        <v>270000</v>
      </c>
      <c r="E8" s="14" t="s">
        <v>31</v>
      </c>
      <c r="F8" s="14" t="s">
        <v>32</v>
      </c>
      <c r="G8" s="16">
        <v>270000</v>
      </c>
      <c r="H8" s="16">
        <v>143500</v>
      </c>
      <c r="I8" s="17">
        <f>H8/G8*100</f>
        <v>53.148148148148145</v>
      </c>
      <c r="J8" s="16">
        <v>309069</v>
      </c>
      <c r="K8" s="16">
        <f>G8-209069</f>
        <v>60931</v>
      </c>
      <c r="L8" s="16">
        <v>100000</v>
      </c>
      <c r="M8" s="18">
        <v>107.83765200000001</v>
      </c>
      <c r="N8" s="19">
        <v>231.33000200000001</v>
      </c>
      <c r="O8" s="20">
        <v>0.53400000000000003</v>
      </c>
      <c r="P8" s="20">
        <v>0.53400000000000003</v>
      </c>
      <c r="Q8" s="16">
        <f>K8/M8</f>
        <v>565.02528448968826</v>
      </c>
      <c r="R8" s="16">
        <f>K8/O8</f>
        <v>114102.99625468164</v>
      </c>
      <c r="S8" s="21">
        <f>K8/O8/43560</f>
        <v>2.6194443584637659</v>
      </c>
      <c r="T8" s="20">
        <v>100.54</v>
      </c>
      <c r="U8" s="22" t="s">
        <v>33</v>
      </c>
      <c r="V8" s="14" t="s">
        <v>141</v>
      </c>
      <c r="X8" s="14" t="s">
        <v>142</v>
      </c>
      <c r="Y8" s="14">
        <v>0</v>
      </c>
      <c r="Z8" s="14">
        <v>1</v>
      </c>
      <c r="AA8" s="23">
        <v>40799</v>
      </c>
      <c r="AC8" s="24" t="s">
        <v>36</v>
      </c>
    </row>
    <row r="9" spans="1:64" x14ac:dyDescent="0.25">
      <c r="A9" s="14" t="s">
        <v>196</v>
      </c>
      <c r="B9" s="14" t="s">
        <v>197</v>
      </c>
      <c r="C9" s="15">
        <v>45065</v>
      </c>
      <c r="D9" s="16">
        <v>340000</v>
      </c>
      <c r="E9" s="14" t="s">
        <v>31</v>
      </c>
      <c r="F9" s="14" t="s">
        <v>32</v>
      </c>
      <c r="G9" s="16">
        <v>340000</v>
      </c>
      <c r="H9" s="16">
        <v>117400</v>
      </c>
      <c r="I9" s="17">
        <f>H9/G9*100</f>
        <v>34.529411764705884</v>
      </c>
      <c r="J9" s="16">
        <v>301113</v>
      </c>
      <c r="K9" s="16">
        <f>G9-262543</f>
        <v>77457</v>
      </c>
      <c r="L9" s="16">
        <v>38570</v>
      </c>
      <c r="M9" s="18">
        <v>0</v>
      </c>
      <c r="N9" s="19">
        <v>0</v>
      </c>
      <c r="O9" s="20">
        <v>0.55100000000000005</v>
      </c>
      <c r="P9" s="20">
        <v>0.55100000000000005</v>
      </c>
      <c r="Q9" s="16" t="e">
        <f>K9/M9</f>
        <v>#DIV/0!</v>
      </c>
      <c r="R9" s="16">
        <f>K9/O9</f>
        <v>140575.31760435572</v>
      </c>
      <c r="S9" s="21">
        <f>K9/O9/43560</f>
        <v>3.2271652342597732</v>
      </c>
      <c r="T9" s="20">
        <v>0</v>
      </c>
      <c r="U9" s="22" t="s">
        <v>33</v>
      </c>
      <c r="V9" s="14" t="s">
        <v>198</v>
      </c>
      <c r="X9" s="14" t="s">
        <v>35</v>
      </c>
      <c r="Y9" s="14">
        <v>0</v>
      </c>
      <c r="Z9" s="14">
        <v>0</v>
      </c>
      <c r="AA9" s="23">
        <v>45516</v>
      </c>
      <c r="AC9" s="24" t="s">
        <v>36</v>
      </c>
    </row>
    <row r="10" spans="1:64" x14ac:dyDescent="0.25">
      <c r="A10" s="14" t="s">
        <v>272</v>
      </c>
      <c r="B10" s="14" t="s">
        <v>273</v>
      </c>
      <c r="C10" s="15">
        <v>45463</v>
      </c>
      <c r="D10" s="16">
        <v>280000</v>
      </c>
      <c r="E10" s="14" t="s">
        <v>31</v>
      </c>
      <c r="F10" s="14" t="s">
        <v>32</v>
      </c>
      <c r="G10" s="16">
        <v>280000</v>
      </c>
      <c r="H10" s="16">
        <v>109900</v>
      </c>
      <c r="I10" s="17">
        <f>H10/G10*100</f>
        <v>39.25</v>
      </c>
      <c r="J10" s="16">
        <v>238546</v>
      </c>
      <c r="K10" s="16">
        <f>G10-196546</f>
        <v>83454</v>
      </c>
      <c r="L10" s="16">
        <v>42000</v>
      </c>
      <c r="M10" s="18">
        <v>0</v>
      </c>
      <c r="N10" s="19">
        <v>0</v>
      </c>
      <c r="O10" s="20">
        <v>0.6</v>
      </c>
      <c r="P10" s="20">
        <v>0.6</v>
      </c>
      <c r="Q10" s="16" t="e">
        <f>K10/M10</f>
        <v>#DIV/0!</v>
      </c>
      <c r="R10" s="16">
        <f>K10/O10</f>
        <v>139090</v>
      </c>
      <c r="S10" s="21">
        <f>K10/O10/43560</f>
        <v>3.1930670339761247</v>
      </c>
      <c r="T10" s="20">
        <v>0</v>
      </c>
      <c r="U10" s="22" t="s">
        <v>33</v>
      </c>
      <c r="V10" s="14" t="s">
        <v>274</v>
      </c>
      <c r="X10" s="14" t="s">
        <v>35</v>
      </c>
      <c r="Y10" s="14">
        <v>0</v>
      </c>
      <c r="Z10" s="14">
        <v>0</v>
      </c>
      <c r="AA10" s="23">
        <v>44487</v>
      </c>
      <c r="AC10" s="24" t="s">
        <v>36</v>
      </c>
    </row>
    <row r="11" spans="1:64" x14ac:dyDescent="0.25">
      <c r="A11" s="14" t="s">
        <v>414</v>
      </c>
      <c r="B11" s="14" t="s">
        <v>415</v>
      </c>
      <c r="C11" s="15">
        <v>45638</v>
      </c>
      <c r="D11" s="16">
        <v>422000</v>
      </c>
      <c r="E11" s="14" t="s">
        <v>31</v>
      </c>
      <c r="F11" s="14" t="s">
        <v>32</v>
      </c>
      <c r="G11" s="16">
        <v>422000</v>
      </c>
      <c r="H11" s="16">
        <v>160900</v>
      </c>
      <c r="I11" s="17">
        <f>H11/G11*100</f>
        <v>38.127962085308056</v>
      </c>
      <c r="J11" s="16">
        <v>359027</v>
      </c>
      <c r="K11" s="16">
        <f>G11-318152</f>
        <v>103848</v>
      </c>
      <c r="L11" s="16">
        <v>40875</v>
      </c>
      <c r="M11" s="18">
        <v>0</v>
      </c>
      <c r="N11" s="19">
        <v>0</v>
      </c>
      <c r="O11" s="20">
        <v>0.6</v>
      </c>
      <c r="P11" s="20">
        <v>0.6</v>
      </c>
      <c r="Q11" s="16" t="e">
        <f>K11/M11</f>
        <v>#DIV/0!</v>
      </c>
      <c r="R11" s="16">
        <f>K11/O11</f>
        <v>173080</v>
      </c>
      <c r="S11" s="21">
        <f>K11/O11/43560</f>
        <v>3.9733700642791554</v>
      </c>
      <c r="T11" s="20">
        <v>0</v>
      </c>
      <c r="U11" s="22" t="s">
        <v>33</v>
      </c>
      <c r="V11" s="14" t="s">
        <v>416</v>
      </c>
      <c r="X11" s="14" t="s">
        <v>35</v>
      </c>
      <c r="Y11" s="14">
        <v>0</v>
      </c>
      <c r="Z11" s="14">
        <v>0</v>
      </c>
      <c r="AA11" s="23">
        <v>42584</v>
      </c>
      <c r="AC11" s="24" t="s">
        <v>36</v>
      </c>
    </row>
    <row r="12" spans="1:64" x14ac:dyDescent="0.25">
      <c r="A12" s="14" t="s">
        <v>124</v>
      </c>
      <c r="B12" s="14" t="s">
        <v>125</v>
      </c>
      <c r="C12" s="15">
        <v>45733</v>
      </c>
      <c r="D12" s="16">
        <v>585000</v>
      </c>
      <c r="E12" s="14" t="s">
        <v>31</v>
      </c>
      <c r="F12" s="14" t="s">
        <v>32</v>
      </c>
      <c r="G12" s="16">
        <v>585000</v>
      </c>
      <c r="H12" s="16">
        <v>226700</v>
      </c>
      <c r="I12" s="17">
        <f>H12/G12*100</f>
        <v>38.752136752136749</v>
      </c>
      <c r="J12" s="16">
        <v>498782</v>
      </c>
      <c r="K12" s="16">
        <f>G12-453212</f>
        <v>131788</v>
      </c>
      <c r="L12" s="16">
        <v>45570</v>
      </c>
      <c r="M12" s="18">
        <v>0</v>
      </c>
      <c r="N12" s="19">
        <v>0</v>
      </c>
      <c r="O12" s="20">
        <v>0.65100000000000002</v>
      </c>
      <c r="P12" s="20">
        <v>0.65100000000000002</v>
      </c>
      <c r="Q12" s="16" t="e">
        <f>K12/M12</f>
        <v>#DIV/0!</v>
      </c>
      <c r="R12" s="16">
        <f>K12/O12</f>
        <v>202439.32411674346</v>
      </c>
      <c r="S12" s="21">
        <f>K12/O12/43560</f>
        <v>4.6473674039656441</v>
      </c>
      <c r="T12" s="20">
        <v>0</v>
      </c>
      <c r="U12" s="22" t="s">
        <v>33</v>
      </c>
      <c r="V12" s="14" t="s">
        <v>126</v>
      </c>
      <c r="X12" s="14" t="s">
        <v>35</v>
      </c>
      <c r="Y12" s="14">
        <v>0</v>
      </c>
      <c r="Z12" s="14">
        <v>0</v>
      </c>
      <c r="AA12" s="23">
        <v>45471</v>
      </c>
      <c r="AC12" s="24" t="s">
        <v>36</v>
      </c>
    </row>
    <row r="13" spans="1:64" x14ac:dyDescent="0.25">
      <c r="A13" s="14" t="s">
        <v>68</v>
      </c>
      <c r="B13" s="14" t="s">
        <v>69</v>
      </c>
      <c r="C13" s="15">
        <v>45378</v>
      </c>
      <c r="D13" s="16">
        <v>39000</v>
      </c>
      <c r="E13" s="14" t="s">
        <v>31</v>
      </c>
      <c r="F13" s="14" t="s">
        <v>32</v>
      </c>
      <c r="G13" s="16">
        <v>39000</v>
      </c>
      <c r="H13" s="16">
        <v>13500</v>
      </c>
      <c r="I13" s="17">
        <f>H13/G13*100</f>
        <v>34.615384615384613</v>
      </c>
      <c r="J13" s="16">
        <v>26950</v>
      </c>
      <c r="K13" s="16">
        <f>G13-0</f>
        <v>39000</v>
      </c>
      <c r="L13" s="16">
        <v>26950</v>
      </c>
      <c r="M13" s="18">
        <v>0</v>
      </c>
      <c r="N13" s="19">
        <v>0</v>
      </c>
      <c r="O13" s="20">
        <v>0.77</v>
      </c>
      <c r="P13" s="20">
        <v>0.77</v>
      </c>
      <c r="Q13" s="16" t="e">
        <f>K13/M13</f>
        <v>#DIV/0!</v>
      </c>
      <c r="R13" s="16">
        <f>K13/O13</f>
        <v>50649.35064935065</v>
      </c>
      <c r="S13" s="21">
        <f>K13/O13/43560</f>
        <v>1.1627490966333942</v>
      </c>
      <c r="T13" s="20">
        <v>0</v>
      </c>
      <c r="U13" s="22" t="s">
        <v>33</v>
      </c>
      <c r="V13" s="14" t="s">
        <v>70</v>
      </c>
      <c r="X13" s="14" t="s">
        <v>35</v>
      </c>
      <c r="Y13" s="14">
        <v>0</v>
      </c>
      <c r="Z13" s="14">
        <v>0</v>
      </c>
      <c r="AA13" s="23">
        <v>41418</v>
      </c>
      <c r="AC13" s="24" t="s">
        <v>71</v>
      </c>
    </row>
    <row r="14" spans="1:64" x14ac:dyDescent="0.25">
      <c r="A14" s="14" t="s">
        <v>68</v>
      </c>
      <c r="B14" s="14" t="s">
        <v>69</v>
      </c>
      <c r="C14" s="15">
        <v>45047</v>
      </c>
      <c r="D14" s="16">
        <v>31000</v>
      </c>
      <c r="E14" s="14" t="s">
        <v>31</v>
      </c>
      <c r="F14" s="14" t="s">
        <v>32</v>
      </c>
      <c r="G14" s="16">
        <v>31000</v>
      </c>
      <c r="H14" s="16">
        <v>13500</v>
      </c>
      <c r="I14" s="17">
        <f>H14/G14*100</f>
        <v>43.548387096774192</v>
      </c>
      <c r="J14" s="16">
        <v>26950</v>
      </c>
      <c r="K14" s="16">
        <f>G14-0</f>
        <v>31000</v>
      </c>
      <c r="L14" s="16">
        <v>26950</v>
      </c>
      <c r="M14" s="18">
        <v>0</v>
      </c>
      <c r="N14" s="19">
        <v>0</v>
      </c>
      <c r="O14" s="20">
        <v>0.77</v>
      </c>
      <c r="P14" s="20">
        <v>0.77</v>
      </c>
      <c r="Q14" s="16" t="e">
        <f>K14/M14</f>
        <v>#DIV/0!</v>
      </c>
      <c r="R14" s="16">
        <f>K14/O14</f>
        <v>40259.740259740262</v>
      </c>
      <c r="S14" s="21">
        <f>K14/O14/43560</f>
        <v>0.92423646142654414</v>
      </c>
      <c r="T14" s="20">
        <v>0</v>
      </c>
      <c r="U14" s="22" t="s">
        <v>33</v>
      </c>
      <c r="V14" s="14" t="s">
        <v>72</v>
      </c>
      <c r="X14" s="14" t="s">
        <v>35</v>
      </c>
      <c r="Y14" s="14">
        <v>0</v>
      </c>
      <c r="Z14" s="14">
        <v>0</v>
      </c>
      <c r="AA14" s="23">
        <v>41418</v>
      </c>
      <c r="AC14" s="24" t="s">
        <v>71</v>
      </c>
    </row>
    <row r="15" spans="1:64" x14ac:dyDescent="0.25">
      <c r="K15" s="16">
        <f>SUM(K2:K14)</f>
        <v>993730</v>
      </c>
      <c r="O15" s="20">
        <f>SUM(O2:O14)</f>
        <v>7.0259999999999998</v>
      </c>
      <c r="U15" s="22"/>
      <c r="AA15" s="23"/>
      <c r="AC15" s="24"/>
    </row>
    <row r="16" spans="1:64" x14ac:dyDescent="0.25">
      <c r="L16" s="16">
        <f>SUM(K15/O15)*0.5</f>
        <v>70718.047253060067</v>
      </c>
      <c r="U16" s="22"/>
      <c r="AA16" s="23"/>
      <c r="AC16" s="24"/>
    </row>
    <row r="17" spans="1:29" x14ac:dyDescent="0.25">
      <c r="U17" s="22"/>
      <c r="AA17" s="23"/>
      <c r="AC17" s="24"/>
    </row>
    <row r="18" spans="1:29" x14ac:dyDescent="0.25">
      <c r="A18" s="14" t="s">
        <v>88</v>
      </c>
      <c r="B18" s="14" t="s">
        <v>89</v>
      </c>
      <c r="C18" s="15">
        <v>45667</v>
      </c>
      <c r="D18" s="16">
        <v>355000</v>
      </c>
      <c r="E18" s="14" t="s">
        <v>31</v>
      </c>
      <c r="F18" s="14" t="s">
        <v>32</v>
      </c>
      <c r="G18" s="16">
        <v>355000</v>
      </c>
      <c r="H18" s="16">
        <v>152300</v>
      </c>
      <c r="I18" s="17">
        <f>H18/G18*100</f>
        <v>42.901408450704224</v>
      </c>
      <c r="J18" s="16">
        <v>331723</v>
      </c>
      <c r="K18" s="16">
        <f>G18-275233</f>
        <v>79767</v>
      </c>
      <c r="L18" s="16">
        <v>56490</v>
      </c>
      <c r="M18" s="18">
        <v>0</v>
      </c>
      <c r="N18" s="19">
        <v>0</v>
      </c>
      <c r="O18" s="20">
        <v>0.80700000000000005</v>
      </c>
      <c r="P18" s="20">
        <v>0.80700000000000005</v>
      </c>
      <c r="Q18" s="16" t="e">
        <f>K18/M18</f>
        <v>#DIV/0!</v>
      </c>
      <c r="R18" s="16">
        <f>K18/O18</f>
        <v>98843.866171003712</v>
      </c>
      <c r="S18" s="21">
        <f>K18/O18/43560</f>
        <v>2.2691429332186344</v>
      </c>
      <c r="T18" s="20">
        <v>0</v>
      </c>
      <c r="U18" s="22" t="s">
        <v>33</v>
      </c>
      <c r="V18" s="14" t="s">
        <v>90</v>
      </c>
      <c r="X18" s="14" t="s">
        <v>35</v>
      </c>
      <c r="Y18" s="14">
        <v>0</v>
      </c>
      <c r="Z18" s="14">
        <v>0</v>
      </c>
      <c r="AA18" s="23">
        <v>41494</v>
      </c>
      <c r="AC18" s="24" t="s">
        <v>36</v>
      </c>
    </row>
    <row r="19" spans="1:29" x14ac:dyDescent="0.25">
      <c r="A19" s="14" t="s">
        <v>152</v>
      </c>
      <c r="B19" s="14" t="s">
        <v>153</v>
      </c>
      <c r="C19" s="15">
        <v>45139</v>
      </c>
      <c r="D19" s="16">
        <v>255000</v>
      </c>
      <c r="E19" s="14" t="s">
        <v>31</v>
      </c>
      <c r="F19" s="14" t="s">
        <v>32</v>
      </c>
      <c r="G19" s="16">
        <v>255000</v>
      </c>
      <c r="H19" s="16">
        <v>82300</v>
      </c>
      <c r="I19" s="17">
        <f>H19/G19*100</f>
        <v>32.274509803921568</v>
      </c>
      <c r="J19" s="16">
        <v>226157</v>
      </c>
      <c r="K19" s="16">
        <f>G19-170294</f>
        <v>84706</v>
      </c>
      <c r="L19" s="16">
        <v>55863</v>
      </c>
      <c r="M19" s="18">
        <v>0</v>
      </c>
      <c r="N19" s="19">
        <v>0</v>
      </c>
      <c r="O19" s="20">
        <v>0.82</v>
      </c>
      <c r="P19" s="20">
        <v>0.82</v>
      </c>
      <c r="Q19" s="16" t="e">
        <f>K19/M19</f>
        <v>#DIV/0!</v>
      </c>
      <c r="R19" s="16">
        <f>K19/O19</f>
        <v>103300</v>
      </c>
      <c r="S19" s="21">
        <f>K19/O19/43560</f>
        <v>2.371441689623508</v>
      </c>
      <c r="T19" s="20">
        <v>0</v>
      </c>
      <c r="U19" s="22" t="s">
        <v>33</v>
      </c>
      <c r="V19" s="14" t="s">
        <v>154</v>
      </c>
      <c r="X19" s="14" t="s">
        <v>35</v>
      </c>
      <c r="Y19" s="14">
        <v>0</v>
      </c>
      <c r="Z19" s="14">
        <v>0</v>
      </c>
      <c r="AA19" s="23">
        <v>45063</v>
      </c>
      <c r="AC19" s="24" t="s">
        <v>36</v>
      </c>
    </row>
    <row r="20" spans="1:29" x14ac:dyDescent="0.25">
      <c r="A20" s="14" t="s">
        <v>44</v>
      </c>
      <c r="B20" s="14" t="s">
        <v>45</v>
      </c>
      <c r="C20" s="15">
        <v>45149</v>
      </c>
      <c r="D20" s="16">
        <v>79900</v>
      </c>
      <c r="E20" s="14" t="s">
        <v>31</v>
      </c>
      <c r="F20" s="14" t="s">
        <v>32</v>
      </c>
      <c r="G20" s="16">
        <v>79900</v>
      </c>
      <c r="H20" s="16">
        <v>29700</v>
      </c>
      <c r="I20" s="17">
        <f>H20/G20*100</f>
        <v>37.171464330413016</v>
      </c>
      <c r="J20" s="16">
        <v>97302</v>
      </c>
      <c r="K20" s="16">
        <f>G20-40077</f>
        <v>39823</v>
      </c>
      <c r="L20" s="16">
        <v>57225</v>
      </c>
      <c r="M20" s="18">
        <v>0</v>
      </c>
      <c r="N20" s="19">
        <v>0</v>
      </c>
      <c r="O20" s="20">
        <v>0.84</v>
      </c>
      <c r="P20" s="20">
        <v>0.84</v>
      </c>
      <c r="Q20" s="16" t="e">
        <f>K20/M20</f>
        <v>#DIV/0!</v>
      </c>
      <c r="R20" s="16">
        <f>K20/O20</f>
        <v>47408.333333333336</v>
      </c>
      <c r="S20" s="21">
        <f>K20/O20/43560</f>
        <v>1.0883455769819406</v>
      </c>
      <c r="T20" s="20">
        <v>0</v>
      </c>
      <c r="U20" s="22" t="s">
        <v>33</v>
      </c>
      <c r="V20" s="14" t="s">
        <v>46</v>
      </c>
      <c r="X20" s="14" t="s">
        <v>35</v>
      </c>
      <c r="Y20" s="14">
        <v>0</v>
      </c>
      <c r="Z20" s="14">
        <v>1</v>
      </c>
      <c r="AA20" s="23">
        <v>45876</v>
      </c>
      <c r="AC20" s="24" t="s">
        <v>36</v>
      </c>
    </row>
    <row r="21" spans="1:29" x14ac:dyDescent="0.25">
      <c r="A21" s="14" t="s">
        <v>149</v>
      </c>
      <c r="B21" s="14" t="s">
        <v>150</v>
      </c>
      <c r="C21" s="15">
        <v>45596</v>
      </c>
      <c r="D21" s="16">
        <v>300000</v>
      </c>
      <c r="E21" s="14" t="s">
        <v>31</v>
      </c>
      <c r="F21" s="14" t="s">
        <v>32</v>
      </c>
      <c r="G21" s="16">
        <v>300000</v>
      </c>
      <c r="H21" s="16">
        <v>106900</v>
      </c>
      <c r="I21" s="17">
        <f>H21/G21*100</f>
        <v>35.633333333333333</v>
      </c>
      <c r="J21" s="16">
        <v>236119</v>
      </c>
      <c r="K21" s="16">
        <f>G21-178894</f>
        <v>121106</v>
      </c>
      <c r="L21" s="16">
        <v>57225</v>
      </c>
      <c r="M21" s="18">
        <v>0</v>
      </c>
      <c r="N21" s="19">
        <v>0</v>
      </c>
      <c r="O21" s="20">
        <v>0.84</v>
      </c>
      <c r="P21" s="20">
        <v>0.84</v>
      </c>
      <c r="Q21" s="16" t="e">
        <f>K21/M21</f>
        <v>#DIV/0!</v>
      </c>
      <c r="R21" s="16">
        <f>K21/O21</f>
        <v>144173.80952380953</v>
      </c>
      <c r="S21" s="21">
        <f>K21/O21/43560</f>
        <v>3.3097752415934236</v>
      </c>
      <c r="T21" s="20">
        <v>0</v>
      </c>
      <c r="U21" s="22" t="s">
        <v>33</v>
      </c>
      <c r="V21" s="14" t="s">
        <v>151</v>
      </c>
      <c r="X21" s="14" t="s">
        <v>35</v>
      </c>
      <c r="Y21" s="14">
        <v>0</v>
      </c>
      <c r="Z21" s="14">
        <v>1</v>
      </c>
      <c r="AA21" s="23">
        <v>40793</v>
      </c>
      <c r="AC21" s="24" t="s">
        <v>36</v>
      </c>
    </row>
    <row r="22" spans="1:29" x14ac:dyDescent="0.25">
      <c r="A22" s="14" t="s">
        <v>391</v>
      </c>
      <c r="B22" s="14" t="s">
        <v>392</v>
      </c>
      <c r="C22" s="15">
        <v>45461</v>
      </c>
      <c r="D22" s="16">
        <v>360665</v>
      </c>
      <c r="E22" s="14" t="s">
        <v>31</v>
      </c>
      <c r="F22" s="14" t="s">
        <v>32</v>
      </c>
      <c r="G22" s="16">
        <v>360665</v>
      </c>
      <c r="H22" s="16">
        <v>106900</v>
      </c>
      <c r="I22" s="17">
        <f>H22/G22*100</f>
        <v>29.639693344239117</v>
      </c>
      <c r="J22" s="16">
        <v>235735</v>
      </c>
      <c r="K22" s="16">
        <f>G22-178510</f>
        <v>182155</v>
      </c>
      <c r="L22" s="16">
        <v>57225</v>
      </c>
      <c r="M22" s="18">
        <v>0</v>
      </c>
      <c r="N22" s="19">
        <v>0</v>
      </c>
      <c r="O22" s="20">
        <v>0.84</v>
      </c>
      <c r="P22" s="20">
        <v>0.84</v>
      </c>
      <c r="Q22" s="16" t="e">
        <f>K22/M22</f>
        <v>#DIV/0!</v>
      </c>
      <c r="R22" s="16">
        <f>K22/O22</f>
        <v>216851.19047619047</v>
      </c>
      <c r="S22" s="21">
        <f>K22/O22/43560</f>
        <v>4.9782183304910577</v>
      </c>
      <c r="T22" s="20">
        <v>0</v>
      </c>
      <c r="U22" s="22" t="s">
        <v>33</v>
      </c>
      <c r="V22" s="14" t="s">
        <v>393</v>
      </c>
      <c r="X22" s="14" t="s">
        <v>35</v>
      </c>
      <c r="Y22" s="14">
        <v>0</v>
      </c>
      <c r="Z22" s="14">
        <v>0</v>
      </c>
      <c r="AA22" s="23">
        <v>42870</v>
      </c>
      <c r="AC22" s="24" t="s">
        <v>36</v>
      </c>
    </row>
    <row r="23" spans="1:29" x14ac:dyDescent="0.25">
      <c r="A23" s="14" t="s">
        <v>394</v>
      </c>
      <c r="B23" s="14" t="s">
        <v>395</v>
      </c>
      <c r="C23" s="15">
        <v>45086</v>
      </c>
      <c r="D23" s="16">
        <v>230000</v>
      </c>
      <c r="E23" s="14" t="s">
        <v>31</v>
      </c>
      <c r="F23" s="14" t="s">
        <v>32</v>
      </c>
      <c r="G23" s="16">
        <v>230000</v>
      </c>
      <c r="H23" s="16">
        <v>91700</v>
      </c>
      <c r="I23" s="17">
        <f>H23/G23*100</f>
        <v>39.869565217391305</v>
      </c>
      <c r="J23" s="16">
        <v>257034</v>
      </c>
      <c r="K23" s="16">
        <f>G23-199809</f>
        <v>30191</v>
      </c>
      <c r="L23" s="16">
        <v>57225</v>
      </c>
      <c r="M23" s="18">
        <v>0</v>
      </c>
      <c r="N23" s="19">
        <v>0</v>
      </c>
      <c r="O23" s="20">
        <v>0.84</v>
      </c>
      <c r="P23" s="20">
        <v>0.84</v>
      </c>
      <c r="Q23" s="16" t="e">
        <f>K23/M23</f>
        <v>#DIV/0!</v>
      </c>
      <c r="R23" s="16">
        <f>K23/O23</f>
        <v>35941.666666666672</v>
      </c>
      <c r="S23" s="21">
        <f>K23/O23/43560</f>
        <v>0.82510713192531382</v>
      </c>
      <c r="T23" s="20">
        <v>0</v>
      </c>
      <c r="U23" s="22" t="s">
        <v>33</v>
      </c>
      <c r="V23" s="14" t="s">
        <v>396</v>
      </c>
      <c r="X23" s="14" t="s">
        <v>35</v>
      </c>
      <c r="Y23" s="14">
        <v>0</v>
      </c>
      <c r="Z23" s="14">
        <v>0</v>
      </c>
      <c r="AA23" s="23">
        <v>42870</v>
      </c>
      <c r="AC23" s="24" t="s">
        <v>36</v>
      </c>
    </row>
    <row r="24" spans="1:29" x14ac:dyDescent="0.25">
      <c r="A24" s="14" t="s">
        <v>397</v>
      </c>
      <c r="B24" s="14" t="s">
        <v>398</v>
      </c>
      <c r="C24" s="15">
        <v>45086</v>
      </c>
      <c r="D24" s="16">
        <v>60000</v>
      </c>
      <c r="E24" s="14" t="s">
        <v>31</v>
      </c>
      <c r="F24" s="14" t="s">
        <v>32</v>
      </c>
      <c r="G24" s="16">
        <v>60000</v>
      </c>
      <c r="H24" s="16">
        <v>30100</v>
      </c>
      <c r="I24" s="17">
        <f>H24/G24*100</f>
        <v>50.166666666666671</v>
      </c>
      <c r="J24" s="16">
        <v>70617</v>
      </c>
      <c r="K24" s="16">
        <f>G24-13392</f>
        <v>46608</v>
      </c>
      <c r="L24" s="16">
        <v>57225</v>
      </c>
      <c r="M24" s="18">
        <v>0</v>
      </c>
      <c r="N24" s="19">
        <v>0</v>
      </c>
      <c r="O24" s="20">
        <v>0.84</v>
      </c>
      <c r="P24" s="20">
        <v>0.84</v>
      </c>
      <c r="Q24" s="16" t="e">
        <f>K24/M24</f>
        <v>#DIV/0!</v>
      </c>
      <c r="R24" s="16">
        <f>K24/O24</f>
        <v>55485.71428571429</v>
      </c>
      <c r="S24" s="21">
        <f>K24/O24/43560</f>
        <v>1.273776728322183</v>
      </c>
      <c r="T24" s="20">
        <v>0</v>
      </c>
      <c r="U24" s="22" t="s">
        <v>33</v>
      </c>
      <c r="V24" s="14" t="s">
        <v>399</v>
      </c>
      <c r="X24" s="14" t="s">
        <v>35</v>
      </c>
      <c r="Y24" s="14">
        <v>0</v>
      </c>
      <c r="Z24" s="14">
        <v>0</v>
      </c>
      <c r="AA24" s="23">
        <v>42870</v>
      </c>
      <c r="AC24" s="24" t="s">
        <v>36</v>
      </c>
    </row>
    <row r="25" spans="1:29" x14ac:dyDescent="0.25">
      <c r="A25" s="14" t="s">
        <v>334</v>
      </c>
      <c r="B25" s="14" t="s">
        <v>335</v>
      </c>
      <c r="C25" s="15">
        <v>45099</v>
      </c>
      <c r="D25" s="16">
        <v>340000</v>
      </c>
      <c r="E25" s="14" t="s">
        <v>31</v>
      </c>
      <c r="F25" s="14" t="s">
        <v>32</v>
      </c>
      <c r="G25" s="16">
        <v>340000</v>
      </c>
      <c r="H25" s="16">
        <v>85200</v>
      </c>
      <c r="I25" s="17">
        <f>H25/G25*100</f>
        <v>25.058823529411768</v>
      </c>
      <c r="J25" s="16">
        <v>309345</v>
      </c>
      <c r="K25" s="16">
        <f>G25-250757</f>
        <v>89243</v>
      </c>
      <c r="L25" s="16">
        <v>58588</v>
      </c>
      <c r="M25" s="18">
        <v>0</v>
      </c>
      <c r="N25" s="19">
        <v>0</v>
      </c>
      <c r="O25" s="20">
        <v>0.86</v>
      </c>
      <c r="P25" s="20">
        <v>0.86</v>
      </c>
      <c r="Q25" s="16" t="e">
        <f>K25/M25</f>
        <v>#DIV/0!</v>
      </c>
      <c r="R25" s="16">
        <f>K25/O25</f>
        <v>103770.93023255814</v>
      </c>
      <c r="S25" s="21">
        <f>K25/O25/43560</f>
        <v>2.3822527601597367</v>
      </c>
      <c r="T25" s="20">
        <v>0</v>
      </c>
      <c r="U25" s="22" t="s">
        <v>33</v>
      </c>
      <c r="V25" s="14" t="s">
        <v>336</v>
      </c>
      <c r="X25" s="14" t="s">
        <v>35</v>
      </c>
      <c r="Y25" s="14">
        <v>0</v>
      </c>
      <c r="Z25" s="14">
        <v>0</v>
      </c>
      <c r="AA25" s="23">
        <v>42556</v>
      </c>
      <c r="AC25" s="24" t="s">
        <v>36</v>
      </c>
    </row>
    <row r="26" spans="1:29" x14ac:dyDescent="0.25">
      <c r="A26" s="14" t="s">
        <v>110</v>
      </c>
      <c r="B26" s="14" t="s">
        <v>111</v>
      </c>
      <c r="C26" s="15">
        <v>45622</v>
      </c>
      <c r="D26" s="16">
        <v>410000</v>
      </c>
      <c r="E26" s="14" t="s">
        <v>31</v>
      </c>
      <c r="F26" s="14" t="s">
        <v>32</v>
      </c>
      <c r="G26" s="16">
        <v>410000</v>
      </c>
      <c r="H26" s="16">
        <v>166600</v>
      </c>
      <c r="I26" s="17">
        <f>H26/G26*100</f>
        <v>40.634146341463413</v>
      </c>
      <c r="J26" s="16">
        <v>405690</v>
      </c>
      <c r="K26" s="16">
        <f>G26-339813</f>
        <v>70187</v>
      </c>
      <c r="L26" s="16">
        <v>65877</v>
      </c>
      <c r="M26" s="18">
        <v>0</v>
      </c>
      <c r="N26" s="19">
        <v>0</v>
      </c>
      <c r="O26" s="20">
        <v>0.96699999999999997</v>
      </c>
      <c r="P26" s="20">
        <v>0.96699999999999997</v>
      </c>
      <c r="Q26" s="16" t="e">
        <f>K26/M26</f>
        <v>#DIV/0!</v>
      </c>
      <c r="R26" s="16">
        <f>K26/O26</f>
        <v>72582.213029989667</v>
      </c>
      <c r="S26" s="21">
        <f>K26/O26/43560</f>
        <v>1.6662583340218013</v>
      </c>
      <c r="T26" s="20">
        <v>0</v>
      </c>
      <c r="U26" s="22" t="s">
        <v>33</v>
      </c>
      <c r="V26" s="14" t="s">
        <v>58</v>
      </c>
      <c r="X26" s="14" t="s">
        <v>35</v>
      </c>
      <c r="Y26" s="14">
        <v>0</v>
      </c>
      <c r="Z26" s="14">
        <v>0</v>
      </c>
      <c r="AA26" s="23">
        <v>41848</v>
      </c>
      <c r="AC26" s="24" t="s">
        <v>36</v>
      </c>
    </row>
    <row r="27" spans="1:29" x14ac:dyDescent="0.25">
      <c r="A27" s="14" t="s">
        <v>40</v>
      </c>
      <c r="B27" s="14" t="s">
        <v>41</v>
      </c>
      <c r="C27" s="15">
        <v>45404</v>
      </c>
      <c r="D27" s="16">
        <v>308000</v>
      </c>
      <c r="E27" s="14" t="s">
        <v>31</v>
      </c>
      <c r="F27" s="14" t="s">
        <v>32</v>
      </c>
      <c r="G27" s="16">
        <v>308000</v>
      </c>
      <c r="H27" s="16">
        <v>130600</v>
      </c>
      <c r="I27" s="17">
        <f>H27/G27*100</f>
        <v>42.402597402597401</v>
      </c>
      <c r="J27" s="16">
        <v>323399</v>
      </c>
      <c r="K27" s="16">
        <f>G27-255274</f>
        <v>52726</v>
      </c>
      <c r="L27" s="16">
        <v>68125</v>
      </c>
      <c r="M27" s="18">
        <v>0</v>
      </c>
      <c r="N27" s="19">
        <v>0</v>
      </c>
      <c r="O27" s="20">
        <v>1</v>
      </c>
      <c r="P27" s="20">
        <v>1</v>
      </c>
      <c r="Q27" s="16" t="e">
        <f>K27/M27</f>
        <v>#DIV/0!</v>
      </c>
      <c r="R27" s="16">
        <f>K27/O27</f>
        <v>52726</v>
      </c>
      <c r="S27" s="21">
        <f>K27/O27/43560</f>
        <v>1.2104224058769513</v>
      </c>
      <c r="T27" s="20">
        <v>210</v>
      </c>
      <c r="U27" s="22" t="s">
        <v>33</v>
      </c>
      <c r="V27" s="14" t="s">
        <v>42</v>
      </c>
      <c r="X27" s="14" t="s">
        <v>35</v>
      </c>
      <c r="Y27" s="14">
        <v>0</v>
      </c>
      <c r="Z27" s="14">
        <v>1</v>
      </c>
      <c r="AA27" s="23">
        <v>40002</v>
      </c>
      <c r="AC27" s="24" t="s">
        <v>36</v>
      </c>
    </row>
    <row r="28" spans="1:29" x14ac:dyDescent="0.25">
      <c r="A28" s="14" t="s">
        <v>40</v>
      </c>
      <c r="B28" s="14" t="s">
        <v>41</v>
      </c>
      <c r="C28" s="15">
        <v>45552</v>
      </c>
      <c r="D28" s="16">
        <v>384900</v>
      </c>
      <c r="E28" s="14" t="s">
        <v>31</v>
      </c>
      <c r="F28" s="14" t="s">
        <v>32</v>
      </c>
      <c r="G28" s="16">
        <v>384900</v>
      </c>
      <c r="H28" s="16">
        <v>130600</v>
      </c>
      <c r="I28" s="17">
        <f>H28/G28*100</f>
        <v>33.930891140555993</v>
      </c>
      <c r="J28" s="16">
        <v>323399</v>
      </c>
      <c r="K28" s="16">
        <f>G28-255274</f>
        <v>129626</v>
      </c>
      <c r="L28" s="16">
        <v>68125</v>
      </c>
      <c r="M28" s="18">
        <v>0</v>
      </c>
      <c r="N28" s="19">
        <v>0</v>
      </c>
      <c r="O28" s="20">
        <v>1</v>
      </c>
      <c r="P28" s="20">
        <v>1</v>
      </c>
      <c r="Q28" s="16" t="e">
        <f>K28/M28</f>
        <v>#DIV/0!</v>
      </c>
      <c r="R28" s="16">
        <f>K28/O28</f>
        <v>129626</v>
      </c>
      <c r="S28" s="21">
        <f>K28/O28/43560</f>
        <v>2.9758034894398531</v>
      </c>
      <c r="T28" s="20">
        <v>210</v>
      </c>
      <c r="U28" s="22" t="s">
        <v>33</v>
      </c>
      <c r="V28" s="14" t="s">
        <v>43</v>
      </c>
      <c r="X28" s="14" t="s">
        <v>35</v>
      </c>
      <c r="Y28" s="14">
        <v>0</v>
      </c>
      <c r="Z28" s="14">
        <v>1</v>
      </c>
      <c r="AA28" s="23">
        <v>40002</v>
      </c>
      <c r="AC28" s="24" t="s">
        <v>36</v>
      </c>
    </row>
    <row r="29" spans="1:29" x14ac:dyDescent="0.25">
      <c r="A29" s="14" t="s">
        <v>202</v>
      </c>
      <c r="B29" s="14" t="s">
        <v>203</v>
      </c>
      <c r="C29" s="15">
        <v>45120</v>
      </c>
      <c r="D29" s="16">
        <v>195000</v>
      </c>
      <c r="E29" s="14" t="s">
        <v>31</v>
      </c>
      <c r="F29" s="14" t="s">
        <v>32</v>
      </c>
      <c r="G29" s="16">
        <v>195000</v>
      </c>
      <c r="H29" s="16">
        <v>88600</v>
      </c>
      <c r="I29" s="17">
        <f>H29/G29*100</f>
        <v>45.435897435897438</v>
      </c>
      <c r="J29" s="16">
        <v>223131</v>
      </c>
      <c r="K29" s="16">
        <f>G29-155006</f>
        <v>39994</v>
      </c>
      <c r="L29" s="16">
        <v>68125</v>
      </c>
      <c r="M29" s="18">
        <v>0</v>
      </c>
      <c r="N29" s="19">
        <v>0</v>
      </c>
      <c r="O29" s="20">
        <v>1</v>
      </c>
      <c r="P29" s="20">
        <v>1</v>
      </c>
      <c r="Q29" s="16" t="e">
        <f>K29/M29</f>
        <v>#DIV/0!</v>
      </c>
      <c r="R29" s="16">
        <f>K29/O29</f>
        <v>39994</v>
      </c>
      <c r="S29" s="21">
        <f>K29/O29/43560</f>
        <v>0.91813590449954086</v>
      </c>
      <c r="T29" s="20">
        <v>0</v>
      </c>
      <c r="U29" s="22" t="s">
        <v>33</v>
      </c>
      <c r="V29" s="14" t="s">
        <v>204</v>
      </c>
      <c r="X29" s="14" t="s">
        <v>35</v>
      </c>
      <c r="Y29" s="14">
        <v>0</v>
      </c>
      <c r="Z29" s="14">
        <v>0</v>
      </c>
      <c r="AA29" s="14" t="s">
        <v>106</v>
      </c>
      <c r="AC29" s="24" t="s">
        <v>36</v>
      </c>
    </row>
    <row r="30" spans="1:29" x14ac:dyDescent="0.25">
      <c r="A30" s="14" t="s">
        <v>346</v>
      </c>
      <c r="B30" s="14" t="s">
        <v>347</v>
      </c>
      <c r="C30" s="15">
        <v>45229</v>
      </c>
      <c r="D30" s="16">
        <v>252700</v>
      </c>
      <c r="E30" s="14" t="s">
        <v>31</v>
      </c>
      <c r="F30" s="14" t="s">
        <v>32</v>
      </c>
      <c r="G30" s="16">
        <v>252700</v>
      </c>
      <c r="H30" s="16">
        <v>113000</v>
      </c>
      <c r="I30" s="17">
        <f>H30/G30*100</f>
        <v>44.717055797388205</v>
      </c>
      <c r="J30" s="16">
        <v>286558</v>
      </c>
      <c r="K30" s="16">
        <f>G30-217764</f>
        <v>34936</v>
      </c>
      <c r="L30" s="16">
        <v>68794</v>
      </c>
      <c r="M30" s="18">
        <v>0</v>
      </c>
      <c r="N30" s="19">
        <v>0</v>
      </c>
      <c r="O30" s="20">
        <v>1.06</v>
      </c>
      <c r="P30" s="20">
        <v>1.06</v>
      </c>
      <c r="Q30" s="16" t="e">
        <f>K30/M30</f>
        <v>#DIV/0!</v>
      </c>
      <c r="R30" s="16">
        <f>K30/O30</f>
        <v>32958.490566037734</v>
      </c>
      <c r="S30" s="21">
        <f>K30/O30/43560</f>
        <v>0.75662283209453018</v>
      </c>
      <c r="T30" s="20">
        <v>0</v>
      </c>
      <c r="U30" s="22" t="s">
        <v>33</v>
      </c>
      <c r="V30" s="14" t="s">
        <v>348</v>
      </c>
      <c r="X30" s="14" t="s">
        <v>35</v>
      </c>
      <c r="Y30" s="14">
        <v>0</v>
      </c>
      <c r="Z30" s="14">
        <v>0</v>
      </c>
      <c r="AA30" s="23">
        <v>42537</v>
      </c>
      <c r="AC30" s="24" t="s">
        <v>36</v>
      </c>
    </row>
    <row r="31" spans="1:29" x14ac:dyDescent="0.25">
      <c r="A31" s="14" t="s">
        <v>85</v>
      </c>
      <c r="B31" s="14" t="s">
        <v>86</v>
      </c>
      <c r="C31" s="15">
        <v>45552</v>
      </c>
      <c r="D31" s="16">
        <v>322250</v>
      </c>
      <c r="E31" s="14" t="s">
        <v>31</v>
      </c>
      <c r="F31" s="14" t="s">
        <v>32</v>
      </c>
      <c r="G31" s="16">
        <v>322250</v>
      </c>
      <c r="H31" s="16">
        <v>143600</v>
      </c>
      <c r="I31" s="17">
        <f>H31/G31*100</f>
        <v>44.561675717610548</v>
      </c>
      <c r="J31" s="16">
        <v>315986</v>
      </c>
      <c r="K31" s="16">
        <f>G31-246077</f>
        <v>76173</v>
      </c>
      <c r="L31" s="16">
        <v>69909</v>
      </c>
      <c r="M31" s="18">
        <v>0</v>
      </c>
      <c r="N31" s="19">
        <v>0</v>
      </c>
      <c r="O31" s="20">
        <v>1.1599999999999999</v>
      </c>
      <c r="P31" s="20">
        <v>1.1599999999999999</v>
      </c>
      <c r="Q31" s="16" t="e">
        <f>K31/M31</f>
        <v>#DIV/0!</v>
      </c>
      <c r="R31" s="16">
        <f>K31/O31</f>
        <v>65666.379310344826</v>
      </c>
      <c r="S31" s="21">
        <f>K31/O31/43560</f>
        <v>1.5074926379785314</v>
      </c>
      <c r="T31" s="20">
        <v>0</v>
      </c>
      <c r="U31" s="22" t="s">
        <v>33</v>
      </c>
      <c r="V31" s="14" t="s">
        <v>87</v>
      </c>
      <c r="X31" s="14" t="s">
        <v>35</v>
      </c>
      <c r="Y31" s="14">
        <v>0</v>
      </c>
      <c r="Z31" s="14">
        <v>0</v>
      </c>
      <c r="AA31" s="23">
        <v>41409</v>
      </c>
      <c r="AC31" s="24" t="s">
        <v>36</v>
      </c>
    </row>
    <row r="32" spans="1:29" x14ac:dyDescent="0.25">
      <c r="A32" s="14" t="s">
        <v>127</v>
      </c>
      <c r="B32" s="14" t="s">
        <v>128</v>
      </c>
      <c r="C32" s="15">
        <v>45681</v>
      </c>
      <c r="D32" s="16">
        <v>514900</v>
      </c>
      <c r="E32" s="14" t="s">
        <v>31</v>
      </c>
      <c r="F32" s="14" t="s">
        <v>32</v>
      </c>
      <c r="G32" s="16">
        <v>514900</v>
      </c>
      <c r="H32" s="16">
        <v>260800</v>
      </c>
      <c r="I32" s="17">
        <f>H32/G32*100</f>
        <v>50.650611769275585</v>
      </c>
      <c r="J32" s="16">
        <v>579412</v>
      </c>
      <c r="K32" s="16">
        <f>G32-508210</f>
        <v>6690</v>
      </c>
      <c r="L32" s="16">
        <v>71202</v>
      </c>
      <c r="M32" s="18">
        <v>0</v>
      </c>
      <c r="N32" s="19">
        <v>0</v>
      </c>
      <c r="O32" s="20">
        <v>1.276</v>
      </c>
      <c r="P32" s="20">
        <v>1.276</v>
      </c>
      <c r="Q32" s="16" t="e">
        <f>K32/M32</f>
        <v>#DIV/0!</v>
      </c>
      <c r="R32" s="16">
        <f>K32/O32</f>
        <v>5242.94670846395</v>
      </c>
      <c r="S32" s="21">
        <f>K32/O32/43560</f>
        <v>0.12036149468466369</v>
      </c>
      <c r="T32" s="20">
        <v>0</v>
      </c>
      <c r="U32" s="22" t="s">
        <v>33</v>
      </c>
      <c r="V32" s="14" t="s">
        <v>129</v>
      </c>
      <c r="X32" s="14" t="s">
        <v>35</v>
      </c>
      <c r="Y32" s="14">
        <v>0</v>
      </c>
      <c r="Z32" s="14">
        <v>0</v>
      </c>
      <c r="AA32" s="23">
        <v>45471</v>
      </c>
      <c r="AC32" s="24" t="s">
        <v>36</v>
      </c>
    </row>
    <row r="33" spans="1:29" x14ac:dyDescent="0.25">
      <c r="K33" s="16">
        <f>SUM(K18:K32)</f>
        <v>1083931</v>
      </c>
      <c r="O33" s="20">
        <f>SUM(O18:O32)</f>
        <v>14.15</v>
      </c>
      <c r="U33" s="22"/>
      <c r="AA33" s="23"/>
      <c r="AC33" s="24"/>
    </row>
    <row r="34" spans="1:29" x14ac:dyDescent="0.25">
      <c r="L34" s="16">
        <f>SUM(K33/O33)</f>
        <v>76602.897526501765</v>
      </c>
      <c r="U34" s="22"/>
      <c r="AA34" s="23"/>
      <c r="AC34" s="24"/>
    </row>
    <row r="35" spans="1:29" x14ac:dyDescent="0.25">
      <c r="U35" s="22"/>
      <c r="AA35" s="23"/>
      <c r="AC35" s="24"/>
    </row>
    <row r="36" spans="1:29" x14ac:dyDescent="0.25">
      <c r="A36" s="14" t="s">
        <v>130</v>
      </c>
      <c r="B36" s="14" t="s">
        <v>131</v>
      </c>
      <c r="C36" s="15">
        <v>45714</v>
      </c>
      <c r="D36" s="16">
        <v>602500</v>
      </c>
      <c r="E36" s="14" t="s">
        <v>31</v>
      </c>
      <c r="F36" s="14" t="s">
        <v>32</v>
      </c>
      <c r="G36" s="16">
        <v>602500</v>
      </c>
      <c r="H36" s="16">
        <v>273500</v>
      </c>
      <c r="I36" s="17">
        <f>H36/G36*100</f>
        <v>45.394190871369297</v>
      </c>
      <c r="J36" s="16">
        <v>668010</v>
      </c>
      <c r="K36" s="16">
        <f>G36-596161</f>
        <v>6339</v>
      </c>
      <c r="L36" s="16">
        <v>71849</v>
      </c>
      <c r="M36" s="18">
        <v>0</v>
      </c>
      <c r="N36" s="19">
        <v>0</v>
      </c>
      <c r="O36" s="20">
        <v>1.3340000000000001</v>
      </c>
      <c r="P36" s="20">
        <v>1.3340000000000001</v>
      </c>
      <c r="Q36" s="16" t="e">
        <f>K36/M36</f>
        <v>#DIV/0!</v>
      </c>
      <c r="R36" s="16">
        <f>K36/O36</f>
        <v>4751.8740629685153</v>
      </c>
      <c r="S36" s="21">
        <f>K36/O36/43560</f>
        <v>0.10908801797448382</v>
      </c>
      <c r="T36" s="20">
        <v>0</v>
      </c>
      <c r="U36" s="22" t="s">
        <v>33</v>
      </c>
      <c r="V36" s="14" t="s">
        <v>132</v>
      </c>
      <c r="X36" s="14" t="s">
        <v>35</v>
      </c>
      <c r="Y36" s="14">
        <v>0</v>
      </c>
      <c r="Z36" s="14">
        <v>0</v>
      </c>
      <c r="AA36" s="23">
        <v>45471</v>
      </c>
      <c r="AC36" s="24" t="s">
        <v>36</v>
      </c>
    </row>
    <row r="37" spans="1:29" x14ac:dyDescent="0.25">
      <c r="A37" s="14" t="s">
        <v>167</v>
      </c>
      <c r="B37" s="14" t="s">
        <v>168</v>
      </c>
      <c r="C37" s="15">
        <v>45106</v>
      </c>
      <c r="D37" s="16">
        <v>410000</v>
      </c>
      <c r="E37" s="14" t="s">
        <v>31</v>
      </c>
      <c r="F37" s="14" t="s">
        <v>32</v>
      </c>
      <c r="G37" s="16">
        <v>410000</v>
      </c>
      <c r="H37" s="16">
        <v>127100</v>
      </c>
      <c r="I37" s="17">
        <f>H37/G37*100</f>
        <v>31</v>
      </c>
      <c r="J37" s="16">
        <v>326713</v>
      </c>
      <c r="K37" s="16">
        <f>G37-253347</f>
        <v>156653</v>
      </c>
      <c r="L37" s="16">
        <v>73366</v>
      </c>
      <c r="M37" s="18">
        <v>0</v>
      </c>
      <c r="N37" s="19">
        <v>0</v>
      </c>
      <c r="O37" s="20">
        <v>1.47</v>
      </c>
      <c r="P37" s="20">
        <v>1.47</v>
      </c>
      <c r="Q37" s="16" t="e">
        <f>K37/M37</f>
        <v>#DIV/0!</v>
      </c>
      <c r="R37" s="16">
        <f>K37/O37</f>
        <v>106566.66666666667</v>
      </c>
      <c r="S37" s="21">
        <f>K37/O37/43560</f>
        <v>2.4464340373431281</v>
      </c>
      <c r="T37" s="20">
        <v>0</v>
      </c>
      <c r="U37" s="22" t="s">
        <v>33</v>
      </c>
      <c r="V37" s="14" t="s">
        <v>169</v>
      </c>
      <c r="X37" s="14" t="s">
        <v>35</v>
      </c>
      <c r="Y37" s="14">
        <v>0</v>
      </c>
      <c r="Z37" s="14">
        <v>0</v>
      </c>
      <c r="AA37" s="14" t="s">
        <v>106</v>
      </c>
      <c r="AC37" s="24" t="s">
        <v>36</v>
      </c>
    </row>
    <row r="38" spans="1:29" x14ac:dyDescent="0.25">
      <c r="A38" s="14" t="s">
        <v>176</v>
      </c>
      <c r="B38" s="14" t="s">
        <v>177</v>
      </c>
      <c r="C38" s="15">
        <v>45415</v>
      </c>
      <c r="D38" s="16">
        <v>350000</v>
      </c>
      <c r="E38" s="14" t="s">
        <v>31</v>
      </c>
      <c r="F38" s="14" t="s">
        <v>32</v>
      </c>
      <c r="G38" s="16">
        <v>350000</v>
      </c>
      <c r="H38" s="16">
        <v>158200</v>
      </c>
      <c r="I38" s="17">
        <f>H38/G38*100</f>
        <v>45.2</v>
      </c>
      <c r="J38" s="16">
        <v>347532</v>
      </c>
      <c r="K38" s="16">
        <f>G38-271924</f>
        <v>78076</v>
      </c>
      <c r="L38" s="16">
        <v>75608</v>
      </c>
      <c r="M38" s="18">
        <v>0</v>
      </c>
      <c r="N38" s="19">
        <v>0</v>
      </c>
      <c r="O38" s="20">
        <v>1.68</v>
      </c>
      <c r="P38" s="20">
        <v>1.68</v>
      </c>
      <c r="Q38" s="16" t="e">
        <f>K38/M38</f>
        <v>#DIV/0!</v>
      </c>
      <c r="R38" s="16">
        <f>K38/O38</f>
        <v>46473.809523809527</v>
      </c>
      <c r="S38" s="21">
        <f>K38/O38/43560</f>
        <v>1.0668918623464079</v>
      </c>
      <c r="T38" s="20">
        <v>0</v>
      </c>
      <c r="U38" s="22" t="s">
        <v>33</v>
      </c>
      <c r="V38" s="14" t="s">
        <v>178</v>
      </c>
      <c r="X38" s="14" t="s">
        <v>35</v>
      </c>
      <c r="Y38" s="14">
        <v>0</v>
      </c>
      <c r="Z38" s="14">
        <v>0</v>
      </c>
      <c r="AA38" s="23">
        <v>41795</v>
      </c>
      <c r="AC38" s="24" t="s">
        <v>36</v>
      </c>
    </row>
    <row r="39" spans="1:29" x14ac:dyDescent="0.25">
      <c r="A39" s="14" t="s">
        <v>119</v>
      </c>
      <c r="B39" s="14" t="s">
        <v>120</v>
      </c>
      <c r="C39" s="15">
        <v>45574</v>
      </c>
      <c r="D39" s="16">
        <v>525000</v>
      </c>
      <c r="E39" s="14" t="s">
        <v>31</v>
      </c>
      <c r="F39" s="14" t="s">
        <v>121</v>
      </c>
      <c r="G39" s="16">
        <v>525000</v>
      </c>
      <c r="H39" s="16">
        <v>241600</v>
      </c>
      <c r="I39" s="17">
        <f>H39/G39*100</f>
        <v>46.019047619047619</v>
      </c>
      <c r="J39" s="16">
        <v>481138</v>
      </c>
      <c r="K39" s="16">
        <f>G39-285838</f>
        <v>239162</v>
      </c>
      <c r="L39" s="16">
        <v>195300</v>
      </c>
      <c r="M39" s="18">
        <v>0</v>
      </c>
      <c r="N39" s="19">
        <v>0</v>
      </c>
      <c r="O39" s="20">
        <v>3.76</v>
      </c>
      <c r="P39" s="20">
        <v>1.74</v>
      </c>
      <c r="Q39" s="16" t="e">
        <f>K39/M39</f>
        <v>#DIV/0!</v>
      </c>
      <c r="R39" s="16">
        <f>K39/O39</f>
        <v>63606.914893617024</v>
      </c>
      <c r="S39" s="21">
        <f>K39/O39/43560</f>
        <v>1.4602138405329896</v>
      </c>
      <c r="T39" s="20">
        <v>0</v>
      </c>
      <c r="U39" s="22" t="s">
        <v>33</v>
      </c>
      <c r="V39" s="14" t="s">
        <v>122</v>
      </c>
      <c r="W39" s="14" t="s">
        <v>123</v>
      </c>
      <c r="X39" s="14" t="s">
        <v>35</v>
      </c>
      <c r="Y39" s="14">
        <v>0</v>
      </c>
      <c r="Z39" s="14">
        <v>0</v>
      </c>
      <c r="AA39" s="23">
        <v>41781</v>
      </c>
      <c r="AC39" s="24" t="s">
        <v>36</v>
      </c>
    </row>
    <row r="40" spans="1:29" x14ac:dyDescent="0.25">
      <c r="A40" s="14" t="s">
        <v>37</v>
      </c>
      <c r="B40" s="14" t="s">
        <v>38</v>
      </c>
      <c r="C40" s="15">
        <v>45336</v>
      </c>
      <c r="D40" s="16">
        <v>244000</v>
      </c>
      <c r="E40" s="14" t="s">
        <v>31</v>
      </c>
      <c r="F40" s="14" t="s">
        <v>32</v>
      </c>
      <c r="G40" s="16">
        <v>244000</v>
      </c>
      <c r="H40" s="16">
        <v>88800</v>
      </c>
      <c r="I40" s="17">
        <f>H40/G40*100</f>
        <v>36.393442622950822</v>
      </c>
      <c r="J40" s="16">
        <v>220194</v>
      </c>
      <c r="K40" s="16">
        <f>G40-143113</f>
        <v>100887</v>
      </c>
      <c r="L40" s="16">
        <v>77081</v>
      </c>
      <c r="M40" s="18">
        <v>0</v>
      </c>
      <c r="N40" s="19">
        <v>0</v>
      </c>
      <c r="O40" s="20">
        <v>1.819</v>
      </c>
      <c r="P40" s="20">
        <v>1.819</v>
      </c>
      <c r="Q40" s="16" t="e">
        <f>K40/M40</f>
        <v>#DIV/0!</v>
      </c>
      <c r="R40" s="16">
        <f>K40/O40</f>
        <v>55462.89169873557</v>
      </c>
      <c r="S40" s="21">
        <f>K40/O40/43560</f>
        <v>1.2732527938185392</v>
      </c>
      <c r="T40" s="20">
        <v>0</v>
      </c>
      <c r="U40" s="22" t="s">
        <v>33</v>
      </c>
      <c r="V40" s="14" t="s">
        <v>39</v>
      </c>
      <c r="X40" s="14" t="s">
        <v>35</v>
      </c>
      <c r="Y40" s="14">
        <v>0</v>
      </c>
      <c r="Z40" s="14">
        <v>1</v>
      </c>
      <c r="AA40" s="23">
        <v>40004</v>
      </c>
      <c r="AC40" s="24" t="s">
        <v>36</v>
      </c>
    </row>
    <row r="41" spans="1:29" x14ac:dyDescent="0.25">
      <c r="K41" s="16">
        <f>SUM(K36:K40)</f>
        <v>581117</v>
      </c>
      <c r="O41" s="20">
        <f>SUM(O36:O40)</f>
        <v>10.062999999999999</v>
      </c>
      <c r="U41" s="22"/>
      <c r="AA41" s="23"/>
      <c r="AC41" s="24"/>
    </row>
    <row r="42" spans="1:29" x14ac:dyDescent="0.25">
      <c r="L42" s="16">
        <f>SUM(K41/O41)*1.5</f>
        <v>86621.832455530166</v>
      </c>
      <c r="U42" s="22"/>
      <c r="AA42" s="23"/>
      <c r="AC42" s="24"/>
    </row>
    <row r="43" spans="1:29" x14ac:dyDescent="0.25">
      <c r="U43" s="22"/>
      <c r="AA43" s="23"/>
      <c r="AC43" s="24"/>
    </row>
    <row r="44" spans="1:29" x14ac:dyDescent="0.25">
      <c r="A44" s="14" t="s">
        <v>73</v>
      </c>
      <c r="B44" s="14" t="s">
        <v>74</v>
      </c>
      <c r="C44" s="15">
        <v>45587</v>
      </c>
      <c r="D44" s="16">
        <v>390000</v>
      </c>
      <c r="E44" s="14" t="s">
        <v>31</v>
      </c>
      <c r="F44" s="14" t="s">
        <v>32</v>
      </c>
      <c r="G44" s="16">
        <v>390000</v>
      </c>
      <c r="H44" s="16">
        <v>163800</v>
      </c>
      <c r="I44" s="17">
        <f>H44/G44*100</f>
        <v>42</v>
      </c>
      <c r="J44" s="16">
        <v>360227</v>
      </c>
      <c r="K44" s="16">
        <f>G44-281227</f>
        <v>108773</v>
      </c>
      <c r="L44" s="16">
        <v>79000</v>
      </c>
      <c r="M44" s="18">
        <v>0</v>
      </c>
      <c r="N44" s="19">
        <v>0</v>
      </c>
      <c r="O44" s="20">
        <v>2</v>
      </c>
      <c r="P44" s="20">
        <v>2</v>
      </c>
      <c r="Q44" s="16" t="e">
        <f>K44/M44</f>
        <v>#DIV/0!</v>
      </c>
      <c r="R44" s="16">
        <f>K44/O44</f>
        <v>54386.5</v>
      </c>
      <c r="S44" s="21">
        <f>K44/O44/43560</f>
        <v>1.2485422405876951</v>
      </c>
      <c r="T44" s="20">
        <v>0</v>
      </c>
      <c r="U44" s="22" t="s">
        <v>33</v>
      </c>
      <c r="V44" s="14" t="s">
        <v>75</v>
      </c>
      <c r="X44" s="14" t="s">
        <v>35</v>
      </c>
      <c r="Y44" s="14">
        <v>0</v>
      </c>
      <c r="Z44" s="14">
        <v>0</v>
      </c>
      <c r="AA44" s="23">
        <v>41401</v>
      </c>
      <c r="AC44" s="24" t="s">
        <v>36</v>
      </c>
    </row>
    <row r="45" spans="1:29" x14ac:dyDescent="0.25">
      <c r="A45" s="14" t="s">
        <v>143</v>
      </c>
      <c r="B45" s="14" t="s">
        <v>144</v>
      </c>
      <c r="C45" s="15">
        <v>45518</v>
      </c>
      <c r="D45" s="16">
        <v>435000</v>
      </c>
      <c r="E45" s="14" t="s">
        <v>31</v>
      </c>
      <c r="F45" s="14" t="s">
        <v>32</v>
      </c>
      <c r="G45" s="16">
        <v>435000</v>
      </c>
      <c r="H45" s="16">
        <v>191400</v>
      </c>
      <c r="I45" s="17">
        <f>H45/G45*100</f>
        <v>44</v>
      </c>
      <c r="J45" s="16">
        <v>432071</v>
      </c>
      <c r="K45" s="16">
        <f>G45-353071</f>
        <v>81929</v>
      </c>
      <c r="L45" s="16">
        <v>79000</v>
      </c>
      <c r="M45" s="18">
        <v>0</v>
      </c>
      <c r="N45" s="19">
        <v>0</v>
      </c>
      <c r="O45" s="20">
        <v>2</v>
      </c>
      <c r="P45" s="20">
        <v>2</v>
      </c>
      <c r="Q45" s="16" t="e">
        <f>K45/M45</f>
        <v>#DIV/0!</v>
      </c>
      <c r="R45" s="16">
        <f>K45/O45</f>
        <v>40964.5</v>
      </c>
      <c r="S45" s="21">
        <f>K45/O45/43560</f>
        <v>0.94041551882460972</v>
      </c>
      <c r="T45" s="20">
        <v>0</v>
      </c>
      <c r="U45" s="22" t="s">
        <v>33</v>
      </c>
      <c r="V45" s="14" t="s">
        <v>145</v>
      </c>
      <c r="X45" s="14" t="s">
        <v>35</v>
      </c>
      <c r="Y45" s="14">
        <v>0</v>
      </c>
      <c r="Z45" s="14">
        <v>1</v>
      </c>
      <c r="AA45" s="23">
        <v>45986</v>
      </c>
      <c r="AC45" s="24" t="s">
        <v>36</v>
      </c>
    </row>
    <row r="46" spans="1:29" x14ac:dyDescent="0.25">
      <c r="A46" s="14" t="s">
        <v>161</v>
      </c>
      <c r="B46" s="14" t="s">
        <v>162</v>
      </c>
      <c r="C46" s="15">
        <v>45296</v>
      </c>
      <c r="D46" s="16">
        <v>265000</v>
      </c>
      <c r="E46" s="14" t="s">
        <v>31</v>
      </c>
      <c r="F46" s="14" t="s">
        <v>32</v>
      </c>
      <c r="G46" s="16">
        <v>265000</v>
      </c>
      <c r="H46" s="16">
        <v>92700</v>
      </c>
      <c r="I46" s="17">
        <f>H46/G46*100</f>
        <v>34.981132075471699</v>
      </c>
      <c r="J46" s="16">
        <v>230760</v>
      </c>
      <c r="K46" s="16">
        <f>G46-151760</f>
        <v>113240</v>
      </c>
      <c r="L46" s="16">
        <v>79000</v>
      </c>
      <c r="M46" s="18">
        <v>0</v>
      </c>
      <c r="N46" s="19">
        <v>0</v>
      </c>
      <c r="O46" s="20">
        <v>2</v>
      </c>
      <c r="P46" s="20">
        <v>2</v>
      </c>
      <c r="Q46" s="16" t="e">
        <f>K46/M46</f>
        <v>#DIV/0!</v>
      </c>
      <c r="R46" s="16">
        <f>K46/O46</f>
        <v>56620</v>
      </c>
      <c r="S46" s="21">
        <f>K46/O46/43560</f>
        <v>1.2998163452708906</v>
      </c>
      <c r="T46" s="20">
        <v>0</v>
      </c>
      <c r="U46" s="22" t="s">
        <v>33</v>
      </c>
      <c r="V46" s="14" t="s">
        <v>163</v>
      </c>
      <c r="X46" s="14" t="s">
        <v>35</v>
      </c>
      <c r="Y46" s="14">
        <v>0</v>
      </c>
      <c r="Z46" s="14">
        <v>0</v>
      </c>
      <c r="AA46" s="23">
        <v>40784</v>
      </c>
      <c r="AC46" s="24" t="s">
        <v>36</v>
      </c>
    </row>
    <row r="47" spans="1:29" x14ac:dyDescent="0.25">
      <c r="A47" s="14" t="s">
        <v>361</v>
      </c>
      <c r="B47" s="14" t="s">
        <v>362</v>
      </c>
      <c r="C47" s="15">
        <v>45068</v>
      </c>
      <c r="D47" s="16">
        <v>95000</v>
      </c>
      <c r="E47" s="14" t="s">
        <v>31</v>
      </c>
      <c r="F47" s="14" t="s">
        <v>32</v>
      </c>
      <c r="G47" s="16">
        <v>95000</v>
      </c>
      <c r="H47" s="16">
        <v>35000</v>
      </c>
      <c r="I47" s="17">
        <f>H47/G47*100</f>
        <v>36.84210526315789</v>
      </c>
      <c r="J47" s="16">
        <v>83774</v>
      </c>
      <c r="K47" s="16">
        <f>G47-0</f>
        <v>95000</v>
      </c>
      <c r="L47" s="16">
        <v>79000</v>
      </c>
      <c r="M47" s="18">
        <v>0</v>
      </c>
      <c r="N47" s="19">
        <v>0</v>
      </c>
      <c r="O47" s="20">
        <v>2</v>
      </c>
      <c r="P47" s="20">
        <v>2</v>
      </c>
      <c r="Q47" s="16" t="e">
        <f>K47/M47</f>
        <v>#DIV/0!</v>
      </c>
      <c r="R47" s="16">
        <f>K47/O47</f>
        <v>47500</v>
      </c>
      <c r="S47" s="21">
        <f>K47/O47/43560</f>
        <v>1.0904499540863177</v>
      </c>
      <c r="T47" s="20">
        <v>0</v>
      </c>
      <c r="U47" s="22" t="s">
        <v>33</v>
      </c>
      <c r="V47" s="14" t="s">
        <v>363</v>
      </c>
      <c r="X47" s="14" t="s">
        <v>35</v>
      </c>
      <c r="Y47" s="14">
        <v>0</v>
      </c>
      <c r="Z47" s="14">
        <v>0</v>
      </c>
      <c r="AA47" s="23">
        <v>45652</v>
      </c>
      <c r="AC47" s="24" t="s">
        <v>36</v>
      </c>
    </row>
    <row r="48" spans="1:29" x14ac:dyDescent="0.25">
      <c r="A48" s="14" t="s">
        <v>361</v>
      </c>
      <c r="B48" s="14" t="s">
        <v>362</v>
      </c>
      <c r="C48" s="15">
        <v>45194</v>
      </c>
      <c r="D48" s="16">
        <v>104000</v>
      </c>
      <c r="E48" s="14" t="s">
        <v>31</v>
      </c>
      <c r="F48" s="14" t="s">
        <v>32</v>
      </c>
      <c r="G48" s="16">
        <v>104000</v>
      </c>
      <c r="H48" s="16">
        <v>35000</v>
      </c>
      <c r="I48" s="17">
        <f>H48/G48*100</f>
        <v>33.653846153846153</v>
      </c>
      <c r="J48" s="16">
        <v>83774</v>
      </c>
      <c r="K48" s="16">
        <f>G48-0</f>
        <v>104000</v>
      </c>
      <c r="L48" s="16">
        <v>79000</v>
      </c>
      <c r="M48" s="18">
        <v>0</v>
      </c>
      <c r="N48" s="19">
        <v>0</v>
      </c>
      <c r="O48" s="20">
        <v>2</v>
      </c>
      <c r="P48" s="20">
        <v>2</v>
      </c>
      <c r="Q48" s="16" t="e">
        <f>K48/M48</f>
        <v>#DIV/0!</v>
      </c>
      <c r="R48" s="16">
        <f>K48/O48</f>
        <v>52000</v>
      </c>
      <c r="S48" s="21">
        <f>K48/O48/43560</f>
        <v>1.1937557392102847</v>
      </c>
      <c r="T48" s="20">
        <v>0</v>
      </c>
      <c r="U48" s="22" t="s">
        <v>33</v>
      </c>
      <c r="V48" s="14" t="s">
        <v>364</v>
      </c>
      <c r="X48" s="14" t="s">
        <v>35</v>
      </c>
      <c r="Y48" s="14">
        <v>0</v>
      </c>
      <c r="Z48" s="14">
        <v>0</v>
      </c>
      <c r="AA48" s="23">
        <v>45652</v>
      </c>
      <c r="AC48" s="24" t="s">
        <v>36</v>
      </c>
    </row>
    <row r="49" spans="1:29" x14ac:dyDescent="0.25">
      <c r="A49" s="14" t="s">
        <v>388</v>
      </c>
      <c r="B49" s="14" t="s">
        <v>389</v>
      </c>
      <c r="C49" s="15">
        <v>45170</v>
      </c>
      <c r="D49" s="16">
        <v>417000</v>
      </c>
      <c r="E49" s="14" t="s">
        <v>31</v>
      </c>
      <c r="F49" s="14" t="s">
        <v>32</v>
      </c>
      <c r="G49" s="16">
        <v>417000</v>
      </c>
      <c r="H49" s="16">
        <v>177300</v>
      </c>
      <c r="I49" s="17">
        <f>H49/G49*100</f>
        <v>42.517985611510788</v>
      </c>
      <c r="J49" s="16">
        <v>453147</v>
      </c>
      <c r="K49" s="16">
        <f>G49-374147</f>
        <v>42853</v>
      </c>
      <c r="L49" s="16">
        <v>79000</v>
      </c>
      <c r="M49" s="18">
        <v>0</v>
      </c>
      <c r="N49" s="19">
        <v>0</v>
      </c>
      <c r="O49" s="20">
        <v>2</v>
      </c>
      <c r="P49" s="20">
        <v>2</v>
      </c>
      <c r="Q49" s="16" t="e">
        <f>K49/M49</f>
        <v>#DIV/0!</v>
      </c>
      <c r="R49" s="16">
        <f>K49/O49</f>
        <v>21426.5</v>
      </c>
      <c r="S49" s="21">
        <f>K49/O49/43560</f>
        <v>0.49188475665748393</v>
      </c>
      <c r="T49" s="20">
        <v>0</v>
      </c>
      <c r="U49" s="22" t="s">
        <v>33</v>
      </c>
      <c r="V49" s="14" t="s">
        <v>390</v>
      </c>
      <c r="X49" s="14" t="s">
        <v>35</v>
      </c>
      <c r="Y49" s="14">
        <v>0</v>
      </c>
      <c r="Z49" s="14">
        <v>0</v>
      </c>
      <c r="AA49" s="23">
        <v>40878</v>
      </c>
      <c r="AC49" s="24" t="s">
        <v>36</v>
      </c>
    </row>
    <row r="50" spans="1:29" x14ac:dyDescent="0.25">
      <c r="A50" s="14" t="s">
        <v>403</v>
      </c>
      <c r="B50" s="14" t="s">
        <v>404</v>
      </c>
      <c r="C50" s="15">
        <v>45399</v>
      </c>
      <c r="D50" s="16">
        <v>632500</v>
      </c>
      <c r="E50" s="14" t="s">
        <v>31</v>
      </c>
      <c r="F50" s="14" t="s">
        <v>32</v>
      </c>
      <c r="G50" s="16">
        <v>632500</v>
      </c>
      <c r="H50" s="16">
        <v>321500</v>
      </c>
      <c r="I50" s="17">
        <f>H50/G50*100</f>
        <v>50.830039525691696</v>
      </c>
      <c r="J50" s="16">
        <v>706216</v>
      </c>
      <c r="K50" s="16">
        <f>G50-548216</f>
        <v>84284</v>
      </c>
      <c r="L50" s="16">
        <v>158000</v>
      </c>
      <c r="M50" s="18">
        <v>0</v>
      </c>
      <c r="N50" s="19">
        <v>0</v>
      </c>
      <c r="O50" s="20">
        <v>2</v>
      </c>
      <c r="P50" s="20">
        <v>2</v>
      </c>
      <c r="Q50" s="16" t="e">
        <f>K50/M50</f>
        <v>#DIV/0!</v>
      </c>
      <c r="R50" s="16">
        <f>K50/O50</f>
        <v>42142</v>
      </c>
      <c r="S50" s="21">
        <f>K50/O50/43560</f>
        <v>0.96744719926538103</v>
      </c>
      <c r="T50" s="20">
        <v>0</v>
      </c>
      <c r="U50" s="22" t="s">
        <v>33</v>
      </c>
      <c r="V50" s="14" t="s">
        <v>405</v>
      </c>
      <c r="X50" s="14" t="s">
        <v>35</v>
      </c>
      <c r="Y50" s="14">
        <v>0</v>
      </c>
      <c r="Z50" s="14">
        <v>1</v>
      </c>
      <c r="AA50" s="23">
        <v>42556</v>
      </c>
      <c r="AC50" s="24" t="s">
        <v>36</v>
      </c>
    </row>
    <row r="51" spans="1:29" x14ac:dyDescent="0.25">
      <c r="A51" s="14" t="s">
        <v>423</v>
      </c>
      <c r="B51" s="14" t="s">
        <v>424</v>
      </c>
      <c r="C51" s="15">
        <v>45317</v>
      </c>
      <c r="D51" s="16">
        <v>655000</v>
      </c>
      <c r="E51" s="14" t="s">
        <v>31</v>
      </c>
      <c r="F51" s="14" t="s">
        <v>32</v>
      </c>
      <c r="G51" s="16">
        <v>655000</v>
      </c>
      <c r="H51" s="16">
        <v>274700</v>
      </c>
      <c r="I51" s="17">
        <f>H51/G51*100</f>
        <v>41.938931297709928</v>
      </c>
      <c r="J51" s="16">
        <v>717515</v>
      </c>
      <c r="K51" s="16">
        <f>G51-638515</f>
        <v>16485</v>
      </c>
      <c r="L51" s="16">
        <v>79000</v>
      </c>
      <c r="M51" s="18">
        <v>0</v>
      </c>
      <c r="N51" s="19">
        <v>0</v>
      </c>
      <c r="O51" s="20">
        <v>2</v>
      </c>
      <c r="P51" s="20">
        <v>2</v>
      </c>
      <c r="Q51" s="16" t="e">
        <f>K51/M51</f>
        <v>#DIV/0!</v>
      </c>
      <c r="R51" s="16">
        <f>K51/O51</f>
        <v>8242.5</v>
      </c>
      <c r="S51" s="21">
        <f>K51/O51/43560</f>
        <v>0.18922176308539945</v>
      </c>
      <c r="T51" s="20">
        <v>0</v>
      </c>
      <c r="U51" s="22" t="s">
        <v>33</v>
      </c>
      <c r="V51" s="14" t="s">
        <v>425</v>
      </c>
      <c r="X51" s="14" t="s">
        <v>35</v>
      </c>
      <c r="Y51" s="14">
        <v>0</v>
      </c>
      <c r="Z51" s="14">
        <v>0</v>
      </c>
      <c r="AA51" s="23">
        <v>42557</v>
      </c>
      <c r="AC51" s="24" t="s">
        <v>36</v>
      </c>
    </row>
    <row r="52" spans="1:29" x14ac:dyDescent="0.25">
      <c r="A52" s="14" t="s">
        <v>79</v>
      </c>
      <c r="B52" s="14" t="s">
        <v>80</v>
      </c>
      <c r="C52" s="15">
        <v>45534</v>
      </c>
      <c r="D52" s="16">
        <v>500000</v>
      </c>
      <c r="E52" s="14" t="s">
        <v>31</v>
      </c>
      <c r="F52" s="14" t="s">
        <v>32</v>
      </c>
      <c r="G52" s="16">
        <v>500000</v>
      </c>
      <c r="H52" s="16">
        <v>197700</v>
      </c>
      <c r="I52" s="17">
        <f>H52/G52*100</f>
        <v>39.54</v>
      </c>
      <c r="J52" s="16">
        <v>435724</v>
      </c>
      <c r="K52" s="16">
        <f>G52-356484</f>
        <v>143516</v>
      </c>
      <c r="L52" s="16">
        <v>79240</v>
      </c>
      <c r="M52" s="18">
        <v>0</v>
      </c>
      <c r="N52" s="19">
        <v>0</v>
      </c>
      <c r="O52" s="20">
        <v>2.02</v>
      </c>
      <c r="P52" s="20">
        <v>2.02</v>
      </c>
      <c r="Q52" s="16" t="e">
        <f>K52/M52</f>
        <v>#DIV/0!</v>
      </c>
      <c r="R52" s="16">
        <f>K52/O52</f>
        <v>71047.524752475249</v>
      </c>
      <c r="S52" s="21">
        <f>K52/O52/43560</f>
        <v>1.6310267390375401</v>
      </c>
      <c r="T52" s="20">
        <v>0</v>
      </c>
      <c r="U52" s="22" t="s">
        <v>33</v>
      </c>
      <c r="V52" s="14" t="s">
        <v>81</v>
      </c>
      <c r="X52" s="14" t="s">
        <v>35</v>
      </c>
      <c r="Y52" s="14">
        <v>0</v>
      </c>
      <c r="Z52" s="14">
        <v>0</v>
      </c>
      <c r="AA52" s="23">
        <v>41401</v>
      </c>
      <c r="AC52" s="24" t="s">
        <v>36</v>
      </c>
    </row>
    <row r="53" spans="1:29" x14ac:dyDescent="0.25">
      <c r="A53" s="14" t="s">
        <v>136</v>
      </c>
      <c r="B53" s="14" t="s">
        <v>137</v>
      </c>
      <c r="C53" s="15">
        <v>45422</v>
      </c>
      <c r="D53" s="16">
        <v>540000</v>
      </c>
      <c r="E53" s="14" t="s">
        <v>31</v>
      </c>
      <c r="F53" s="14" t="s">
        <v>32</v>
      </c>
      <c r="G53" s="16">
        <v>540000</v>
      </c>
      <c r="H53" s="16">
        <v>236800</v>
      </c>
      <c r="I53" s="17">
        <f>H53/G53*100</f>
        <v>43.851851851851855</v>
      </c>
      <c r="J53" s="16">
        <v>524744</v>
      </c>
      <c r="K53" s="16">
        <f>G53-445264</f>
        <v>94736</v>
      </c>
      <c r="L53" s="16">
        <v>79480</v>
      </c>
      <c r="M53" s="18">
        <v>0</v>
      </c>
      <c r="N53" s="19">
        <v>0</v>
      </c>
      <c r="O53" s="20">
        <v>2.04</v>
      </c>
      <c r="P53" s="20">
        <v>2.04</v>
      </c>
      <c r="Q53" s="16" t="e">
        <f>K53/M53</f>
        <v>#DIV/0!</v>
      </c>
      <c r="R53" s="16">
        <f>K53/O53</f>
        <v>46439.215686274511</v>
      </c>
      <c r="S53" s="21">
        <f>K53/O53/43560</f>
        <v>1.0660976971137399</v>
      </c>
      <c r="T53" s="20">
        <v>0</v>
      </c>
      <c r="U53" s="22" t="s">
        <v>33</v>
      </c>
      <c r="V53" s="14" t="s">
        <v>138</v>
      </c>
      <c r="X53" s="14" t="s">
        <v>35</v>
      </c>
      <c r="Y53" s="14">
        <v>0</v>
      </c>
      <c r="Z53" s="14">
        <v>0</v>
      </c>
      <c r="AA53" s="23">
        <v>45474</v>
      </c>
      <c r="AC53" s="24" t="s">
        <v>36</v>
      </c>
    </row>
    <row r="54" spans="1:29" x14ac:dyDescent="0.25">
      <c r="A54" s="14" t="s">
        <v>257</v>
      </c>
      <c r="B54" s="14" t="s">
        <v>258</v>
      </c>
      <c r="C54" s="15">
        <v>45121</v>
      </c>
      <c r="D54" s="16">
        <v>870000</v>
      </c>
      <c r="E54" s="14" t="s">
        <v>31</v>
      </c>
      <c r="F54" s="14" t="s">
        <v>32</v>
      </c>
      <c r="G54" s="16">
        <v>870000</v>
      </c>
      <c r="H54" s="16">
        <v>326000</v>
      </c>
      <c r="I54" s="17">
        <f>H54/G54*100</f>
        <v>37.47126436781609</v>
      </c>
      <c r="J54" s="16">
        <v>857945</v>
      </c>
      <c r="K54" s="16">
        <f>G54-778345</f>
        <v>91655</v>
      </c>
      <c r="L54" s="16">
        <v>79600</v>
      </c>
      <c r="M54" s="18">
        <v>0</v>
      </c>
      <c r="N54" s="19">
        <v>0</v>
      </c>
      <c r="O54" s="20">
        <v>2.0499999999999998</v>
      </c>
      <c r="P54" s="20">
        <v>2.0499999999999998</v>
      </c>
      <c r="Q54" s="16" t="e">
        <f>K54/M54</f>
        <v>#DIV/0!</v>
      </c>
      <c r="R54" s="16">
        <f>K54/O54</f>
        <v>44709.756097560981</v>
      </c>
      <c r="S54" s="21">
        <f>K54/O54/43560</f>
        <v>1.0263947680799124</v>
      </c>
      <c r="T54" s="20">
        <v>0</v>
      </c>
      <c r="U54" s="22" t="s">
        <v>33</v>
      </c>
      <c r="V54" s="14" t="s">
        <v>259</v>
      </c>
      <c r="X54" s="14" t="s">
        <v>35</v>
      </c>
      <c r="Y54" s="14">
        <v>0</v>
      </c>
      <c r="Z54" s="14">
        <v>1</v>
      </c>
      <c r="AA54" s="23">
        <v>42131</v>
      </c>
      <c r="AC54" s="24" t="s">
        <v>36</v>
      </c>
    </row>
    <row r="55" spans="1:29" x14ac:dyDescent="0.25">
      <c r="A55" s="14" t="s">
        <v>306</v>
      </c>
      <c r="B55" s="14" t="s">
        <v>307</v>
      </c>
      <c r="C55" s="15">
        <v>45414</v>
      </c>
      <c r="D55" s="16">
        <v>125000</v>
      </c>
      <c r="E55" s="14" t="s">
        <v>31</v>
      </c>
      <c r="F55" s="14" t="s">
        <v>32</v>
      </c>
      <c r="G55" s="16">
        <v>125000</v>
      </c>
      <c r="H55" s="16">
        <v>36800</v>
      </c>
      <c r="I55" s="17">
        <f>H55/G55*100</f>
        <v>29.439999999999998</v>
      </c>
      <c r="J55" s="16">
        <v>79840</v>
      </c>
      <c r="K55" s="16">
        <f>G55-0</f>
        <v>125000</v>
      </c>
      <c r="L55" s="16">
        <v>79840</v>
      </c>
      <c r="M55" s="18">
        <v>0</v>
      </c>
      <c r="N55" s="19">
        <v>0</v>
      </c>
      <c r="O55" s="20">
        <v>2.0699999999999998</v>
      </c>
      <c r="P55" s="20">
        <v>2.0699999999999998</v>
      </c>
      <c r="Q55" s="16" t="e">
        <f>K55/M55</f>
        <v>#DIV/0!</v>
      </c>
      <c r="R55" s="16">
        <f>K55/O55</f>
        <v>60386.473429951693</v>
      </c>
      <c r="S55" s="21">
        <f>K55/O55/43560</f>
        <v>1.386282677455273</v>
      </c>
      <c r="T55" s="20">
        <v>0</v>
      </c>
      <c r="U55" s="22" t="s">
        <v>33</v>
      </c>
      <c r="V55" s="14" t="s">
        <v>308</v>
      </c>
      <c r="X55" s="14" t="s">
        <v>35</v>
      </c>
      <c r="Y55" s="14">
        <v>0</v>
      </c>
      <c r="Z55" s="14">
        <v>0</v>
      </c>
      <c r="AA55" s="14" t="s">
        <v>106</v>
      </c>
      <c r="AC55" s="24" t="s">
        <v>71</v>
      </c>
    </row>
    <row r="56" spans="1:29" x14ac:dyDescent="0.25">
      <c r="A56" s="14" t="s">
        <v>50</v>
      </c>
      <c r="B56" s="14" t="s">
        <v>51</v>
      </c>
      <c r="C56" s="15">
        <v>45153</v>
      </c>
      <c r="D56" s="16">
        <v>432000</v>
      </c>
      <c r="E56" s="14" t="s">
        <v>31</v>
      </c>
      <c r="F56" s="14" t="s">
        <v>32</v>
      </c>
      <c r="G56" s="16">
        <v>432000</v>
      </c>
      <c r="H56" s="16">
        <v>171500</v>
      </c>
      <c r="I56" s="17">
        <f>H56/G56*100</f>
        <v>39.699074074074076</v>
      </c>
      <c r="J56" s="16">
        <v>444489</v>
      </c>
      <c r="K56" s="16">
        <f>G56-364409</f>
        <v>67591</v>
      </c>
      <c r="L56" s="16">
        <v>80080</v>
      </c>
      <c r="M56" s="18">
        <v>0</v>
      </c>
      <c r="N56" s="19">
        <v>0</v>
      </c>
      <c r="O56" s="20">
        <v>2.09</v>
      </c>
      <c r="P56" s="20">
        <v>2.09</v>
      </c>
      <c r="Q56" s="16" t="e">
        <f>K56/M56</f>
        <v>#DIV/0!</v>
      </c>
      <c r="R56" s="16">
        <f>K56/O56</f>
        <v>32340.191387559811</v>
      </c>
      <c r="S56" s="21">
        <f>K56/O56/43560</f>
        <v>0.74242863607804888</v>
      </c>
      <c r="T56" s="20">
        <v>0</v>
      </c>
      <c r="U56" s="22" t="s">
        <v>33</v>
      </c>
      <c r="V56" s="14" t="s">
        <v>52</v>
      </c>
      <c r="X56" s="14" t="s">
        <v>35</v>
      </c>
      <c r="Y56" s="14">
        <v>0</v>
      </c>
      <c r="Z56" s="14">
        <v>1</v>
      </c>
      <c r="AA56" s="23">
        <v>45462</v>
      </c>
      <c r="AC56" s="24" t="s">
        <v>36</v>
      </c>
    </row>
    <row r="57" spans="1:29" x14ac:dyDescent="0.25">
      <c r="A57" s="14" t="s">
        <v>76</v>
      </c>
      <c r="B57" s="14" t="s">
        <v>77</v>
      </c>
      <c r="C57" s="15">
        <v>45490</v>
      </c>
      <c r="D57" s="16">
        <v>355000</v>
      </c>
      <c r="E57" s="14" t="s">
        <v>31</v>
      </c>
      <c r="F57" s="14" t="s">
        <v>32</v>
      </c>
      <c r="G57" s="16">
        <v>355000</v>
      </c>
      <c r="H57" s="16">
        <v>118500</v>
      </c>
      <c r="I57" s="17">
        <f>H57/G57*100</f>
        <v>33.380281690140848</v>
      </c>
      <c r="J57" s="16">
        <v>261249</v>
      </c>
      <c r="K57" s="16">
        <f>G57-180809</f>
        <v>174191</v>
      </c>
      <c r="L57" s="16">
        <v>80440</v>
      </c>
      <c r="M57" s="18">
        <v>0</v>
      </c>
      <c r="N57" s="19">
        <v>0</v>
      </c>
      <c r="O57" s="20">
        <v>2.12</v>
      </c>
      <c r="P57" s="20">
        <v>2.12</v>
      </c>
      <c r="Q57" s="16" t="e">
        <f>K57/M57</f>
        <v>#DIV/0!</v>
      </c>
      <c r="R57" s="16">
        <f>K57/O57</f>
        <v>82165.566037735844</v>
      </c>
      <c r="S57" s="21">
        <f>K57/O57/43560</f>
        <v>1.8862618465963232</v>
      </c>
      <c r="T57" s="20">
        <v>0</v>
      </c>
      <c r="U57" s="22" t="s">
        <v>33</v>
      </c>
      <c r="V57" s="14" t="s">
        <v>78</v>
      </c>
      <c r="X57" s="14" t="s">
        <v>35</v>
      </c>
      <c r="Y57" s="14">
        <v>0</v>
      </c>
      <c r="Z57" s="14">
        <v>0</v>
      </c>
      <c r="AA57" s="23">
        <v>41395</v>
      </c>
      <c r="AC57" s="24" t="s">
        <v>36</v>
      </c>
    </row>
    <row r="58" spans="1:29" x14ac:dyDescent="0.25">
      <c r="K58" s="16">
        <f>SUM(K44:K57)</f>
        <v>1343253</v>
      </c>
      <c r="O58" s="20">
        <f>SUM(O44:O57)</f>
        <v>28.39</v>
      </c>
      <c r="U58" s="22"/>
      <c r="AA58" s="23"/>
      <c r="AC58" s="24"/>
    </row>
    <row r="59" spans="1:29" x14ac:dyDescent="0.25">
      <c r="L59" s="16">
        <f>SUM(K58/O58)*2</f>
        <v>94628.601620288828</v>
      </c>
      <c r="U59" s="22"/>
      <c r="AA59" s="23"/>
      <c r="AC59" s="24"/>
    </row>
    <row r="60" spans="1:29" x14ac:dyDescent="0.25">
      <c r="U60" s="22"/>
      <c r="AA60" s="23"/>
      <c r="AC60" s="24"/>
    </row>
    <row r="61" spans="1:29" x14ac:dyDescent="0.25">
      <c r="A61" s="14" t="s">
        <v>133</v>
      </c>
      <c r="B61" s="14" t="s">
        <v>134</v>
      </c>
      <c r="C61" s="15">
        <v>45154</v>
      </c>
      <c r="D61" s="16">
        <v>510000</v>
      </c>
      <c r="E61" s="14" t="s">
        <v>31</v>
      </c>
      <c r="F61" s="14" t="s">
        <v>32</v>
      </c>
      <c r="G61" s="16">
        <v>510000</v>
      </c>
      <c r="H61" s="16">
        <v>232000</v>
      </c>
      <c r="I61" s="17">
        <f>H61/G61*100</f>
        <v>45.490196078431374</v>
      </c>
      <c r="J61" s="16">
        <v>577497</v>
      </c>
      <c r="K61" s="16">
        <f>G61-496073</f>
        <v>13927</v>
      </c>
      <c r="L61" s="16">
        <v>81424</v>
      </c>
      <c r="M61" s="18">
        <v>0</v>
      </c>
      <c r="N61" s="19">
        <v>0</v>
      </c>
      <c r="O61" s="20">
        <v>2.202</v>
      </c>
      <c r="P61" s="20">
        <v>2.202</v>
      </c>
      <c r="Q61" s="16" t="e">
        <f>K61/M61</f>
        <v>#DIV/0!</v>
      </c>
      <c r="R61" s="16">
        <f>K61/O61</f>
        <v>6324.7048138056316</v>
      </c>
      <c r="S61" s="21">
        <f>K61/O61/43560</f>
        <v>0.14519524365944977</v>
      </c>
      <c r="T61" s="20">
        <v>0</v>
      </c>
      <c r="U61" s="22" t="s">
        <v>33</v>
      </c>
      <c r="V61" s="14" t="s">
        <v>135</v>
      </c>
      <c r="X61" s="14" t="s">
        <v>35</v>
      </c>
      <c r="Y61" s="14">
        <v>0</v>
      </c>
      <c r="Z61" s="14">
        <v>0</v>
      </c>
      <c r="AA61" s="23">
        <v>45474</v>
      </c>
      <c r="AC61" s="24" t="s">
        <v>36</v>
      </c>
    </row>
    <row r="62" spans="1:29" x14ac:dyDescent="0.25">
      <c r="A62" s="14" t="s">
        <v>420</v>
      </c>
      <c r="B62" s="14" t="s">
        <v>421</v>
      </c>
      <c r="C62" s="15">
        <v>45637</v>
      </c>
      <c r="D62" s="16">
        <v>505000</v>
      </c>
      <c r="E62" s="14" t="s">
        <v>31</v>
      </c>
      <c r="F62" s="14" t="s">
        <v>32</v>
      </c>
      <c r="G62" s="16">
        <v>505000</v>
      </c>
      <c r="H62" s="16">
        <v>131000</v>
      </c>
      <c r="I62" s="17">
        <f>H62/G62*100</f>
        <v>25.940594059405942</v>
      </c>
      <c r="J62" s="16">
        <v>455420</v>
      </c>
      <c r="K62" s="16">
        <f>G62-373900</f>
        <v>131100</v>
      </c>
      <c r="L62" s="16">
        <v>81520</v>
      </c>
      <c r="M62" s="18">
        <v>0</v>
      </c>
      <c r="N62" s="19">
        <v>0</v>
      </c>
      <c r="O62" s="20">
        <v>2.21</v>
      </c>
      <c r="P62" s="20">
        <v>2.21</v>
      </c>
      <c r="Q62" s="16" t="e">
        <f>K62/M62</f>
        <v>#DIV/0!</v>
      </c>
      <c r="R62" s="16">
        <f>K62/O62</f>
        <v>59321.266968325792</v>
      </c>
      <c r="S62" s="21">
        <f>K62/O62/43560</f>
        <v>1.3618289019358538</v>
      </c>
      <c r="T62" s="20">
        <v>0</v>
      </c>
      <c r="U62" s="22" t="s">
        <v>33</v>
      </c>
      <c r="V62" s="14" t="s">
        <v>422</v>
      </c>
      <c r="X62" s="14" t="s">
        <v>35</v>
      </c>
      <c r="Y62" s="14">
        <v>0</v>
      </c>
      <c r="Z62" s="14">
        <v>0</v>
      </c>
      <c r="AA62" s="23">
        <v>42590</v>
      </c>
      <c r="AC62" s="24" t="s">
        <v>36</v>
      </c>
    </row>
    <row r="63" spans="1:29" x14ac:dyDescent="0.25">
      <c r="A63" s="14" t="s">
        <v>235</v>
      </c>
      <c r="B63" s="14" t="s">
        <v>236</v>
      </c>
      <c r="C63" s="15">
        <v>45268</v>
      </c>
      <c r="D63" s="16">
        <v>353000</v>
      </c>
      <c r="E63" s="14" t="s">
        <v>31</v>
      </c>
      <c r="F63" s="14" t="s">
        <v>32</v>
      </c>
      <c r="G63" s="16">
        <v>353000</v>
      </c>
      <c r="H63" s="16">
        <v>146500</v>
      </c>
      <c r="I63" s="17">
        <f>H63/G63*100</f>
        <v>41.501416430594901</v>
      </c>
      <c r="J63" s="16">
        <v>375330</v>
      </c>
      <c r="K63" s="16">
        <f>G63-293450</f>
        <v>59550</v>
      </c>
      <c r="L63" s="16">
        <v>81880</v>
      </c>
      <c r="M63" s="18">
        <v>0</v>
      </c>
      <c r="N63" s="19">
        <v>0</v>
      </c>
      <c r="O63" s="20">
        <v>2.2400000000000002</v>
      </c>
      <c r="P63" s="20">
        <v>2.2400000000000002</v>
      </c>
      <c r="Q63" s="16" t="e">
        <f>K63/M63</f>
        <v>#DIV/0!</v>
      </c>
      <c r="R63" s="16">
        <f>K63/O63</f>
        <v>26584.821428571428</v>
      </c>
      <c r="S63" s="21">
        <f>K63/O63/43560</f>
        <v>0.61030352223534035</v>
      </c>
      <c r="T63" s="20">
        <v>0</v>
      </c>
      <c r="U63" s="22" t="s">
        <v>33</v>
      </c>
      <c r="V63" s="14" t="s">
        <v>237</v>
      </c>
      <c r="X63" s="14" t="s">
        <v>35</v>
      </c>
      <c r="Y63" s="14">
        <v>0</v>
      </c>
      <c r="Z63" s="14">
        <v>0</v>
      </c>
      <c r="AA63" s="23">
        <v>42121</v>
      </c>
      <c r="AC63" s="24" t="s">
        <v>36</v>
      </c>
    </row>
    <row r="64" spans="1:29" x14ac:dyDescent="0.25">
      <c r="A64" s="14" t="s">
        <v>410</v>
      </c>
      <c r="B64" s="14" t="s">
        <v>411</v>
      </c>
      <c r="C64" s="15">
        <v>45394</v>
      </c>
      <c r="D64" s="16">
        <v>335000</v>
      </c>
      <c r="E64" s="14" t="s">
        <v>31</v>
      </c>
      <c r="F64" s="14" t="s">
        <v>32</v>
      </c>
      <c r="G64" s="16">
        <v>335000</v>
      </c>
      <c r="H64" s="16">
        <v>161300</v>
      </c>
      <c r="I64" s="17">
        <f>H64/G64*100</f>
        <v>48.149253731343286</v>
      </c>
      <c r="J64" s="16">
        <v>352448</v>
      </c>
      <c r="K64" s="16">
        <f>G64-291448</f>
        <v>43552</v>
      </c>
      <c r="L64" s="16">
        <v>61000</v>
      </c>
      <c r="M64" s="18">
        <v>0</v>
      </c>
      <c r="N64" s="19">
        <v>0</v>
      </c>
      <c r="O64" s="20">
        <v>2.25</v>
      </c>
      <c r="P64" s="20">
        <v>2.25</v>
      </c>
      <c r="Q64" s="16" t="e">
        <f>K64/M64</f>
        <v>#DIV/0!</v>
      </c>
      <c r="R64" s="16">
        <f>K64/O64</f>
        <v>19356.444444444445</v>
      </c>
      <c r="S64" s="21">
        <f>K64/O64/43560</f>
        <v>0.44436282012039591</v>
      </c>
      <c r="T64" s="20">
        <v>0</v>
      </c>
      <c r="U64" s="22" t="s">
        <v>33</v>
      </c>
      <c r="V64" s="14" t="s">
        <v>412</v>
      </c>
      <c r="X64" s="14" t="s">
        <v>413</v>
      </c>
      <c r="Y64" s="14">
        <v>0</v>
      </c>
      <c r="Z64" s="14">
        <v>0</v>
      </c>
      <c r="AA64" s="23">
        <v>42583</v>
      </c>
      <c r="AC64" s="24" t="s">
        <v>36</v>
      </c>
    </row>
    <row r="65" spans="1:29" x14ac:dyDescent="0.25">
      <c r="A65" s="14" t="s">
        <v>183</v>
      </c>
      <c r="B65" s="14" t="s">
        <v>184</v>
      </c>
      <c r="C65" s="15">
        <v>45092</v>
      </c>
      <c r="D65" s="16">
        <v>139000</v>
      </c>
      <c r="E65" s="14" t="s">
        <v>31</v>
      </c>
      <c r="F65" s="14" t="s">
        <v>32</v>
      </c>
      <c r="G65" s="16">
        <v>139000</v>
      </c>
      <c r="H65" s="16">
        <v>36500</v>
      </c>
      <c r="I65" s="17">
        <f>H65/G65*100</f>
        <v>26.258992805755394</v>
      </c>
      <c r="J65" s="16">
        <v>89829</v>
      </c>
      <c r="K65" s="16">
        <f>G65-0</f>
        <v>139000</v>
      </c>
      <c r="L65" s="16">
        <v>82480</v>
      </c>
      <c r="M65" s="18">
        <v>0</v>
      </c>
      <c r="N65" s="19">
        <v>0</v>
      </c>
      <c r="O65" s="20">
        <v>2.29</v>
      </c>
      <c r="P65" s="20">
        <v>2.29</v>
      </c>
      <c r="Q65" s="16" t="e">
        <f>K65/M65</f>
        <v>#DIV/0!</v>
      </c>
      <c r="R65" s="16">
        <f>K65/O65</f>
        <v>60698.68995633188</v>
      </c>
      <c r="S65" s="21">
        <f>K65/O65/43560</f>
        <v>1.393450182652247</v>
      </c>
      <c r="T65" s="20">
        <v>0</v>
      </c>
      <c r="U65" s="22" t="s">
        <v>33</v>
      </c>
      <c r="V65" s="14" t="s">
        <v>185</v>
      </c>
      <c r="X65" s="14" t="s">
        <v>35</v>
      </c>
      <c r="Y65" s="14">
        <v>0</v>
      </c>
      <c r="Z65" s="14">
        <v>0</v>
      </c>
      <c r="AA65" s="23">
        <v>45516</v>
      </c>
      <c r="AC65" s="24" t="s">
        <v>36</v>
      </c>
    </row>
    <row r="66" spans="1:29" x14ac:dyDescent="0.25">
      <c r="A66" s="14" t="s">
        <v>183</v>
      </c>
      <c r="B66" s="14" t="s">
        <v>184</v>
      </c>
      <c r="C66" s="15">
        <v>45023</v>
      </c>
      <c r="D66" s="16">
        <v>125000</v>
      </c>
      <c r="E66" s="14" t="s">
        <v>31</v>
      </c>
      <c r="F66" s="14" t="s">
        <v>32</v>
      </c>
      <c r="G66" s="16">
        <v>125000</v>
      </c>
      <c r="H66" s="16">
        <v>36500</v>
      </c>
      <c r="I66" s="17">
        <f>H66/G66*100</f>
        <v>29.2</v>
      </c>
      <c r="J66" s="16">
        <v>89829</v>
      </c>
      <c r="K66" s="16">
        <f>G66-0</f>
        <v>125000</v>
      </c>
      <c r="L66" s="16">
        <v>82480</v>
      </c>
      <c r="M66" s="18">
        <v>0</v>
      </c>
      <c r="N66" s="19">
        <v>0</v>
      </c>
      <c r="O66" s="20">
        <v>2.29</v>
      </c>
      <c r="P66" s="20">
        <v>2.29</v>
      </c>
      <c r="Q66" s="16" t="e">
        <f>K66/M66</f>
        <v>#DIV/0!</v>
      </c>
      <c r="R66" s="16">
        <f>K66/O66</f>
        <v>54585.152838427945</v>
      </c>
      <c r="S66" s="21">
        <f>K66/O66/43560</f>
        <v>1.2531026822412292</v>
      </c>
      <c r="T66" s="20">
        <v>0</v>
      </c>
      <c r="U66" s="22" t="s">
        <v>33</v>
      </c>
      <c r="V66" s="14" t="s">
        <v>186</v>
      </c>
      <c r="X66" s="14" t="s">
        <v>35</v>
      </c>
      <c r="Y66" s="14">
        <v>0</v>
      </c>
      <c r="Z66" s="14">
        <v>0</v>
      </c>
      <c r="AA66" s="23">
        <v>45516</v>
      </c>
      <c r="AC66" s="24" t="s">
        <v>36</v>
      </c>
    </row>
    <row r="67" spans="1:29" x14ac:dyDescent="0.25">
      <c r="A67" s="14" t="s">
        <v>328</v>
      </c>
      <c r="B67" s="14" t="s">
        <v>329</v>
      </c>
      <c r="C67" s="15">
        <v>45538</v>
      </c>
      <c r="D67" s="16">
        <v>363000</v>
      </c>
      <c r="E67" s="14" t="s">
        <v>31</v>
      </c>
      <c r="F67" s="14" t="s">
        <v>32</v>
      </c>
      <c r="G67" s="16">
        <v>363000</v>
      </c>
      <c r="H67" s="16">
        <v>150600</v>
      </c>
      <c r="I67" s="17">
        <f>H67/G67*100</f>
        <v>41.487603305785129</v>
      </c>
      <c r="J67" s="16">
        <v>329575</v>
      </c>
      <c r="K67" s="16">
        <f>G67-246975</f>
        <v>116025</v>
      </c>
      <c r="L67" s="16">
        <v>82600</v>
      </c>
      <c r="M67" s="18">
        <v>0</v>
      </c>
      <c r="N67" s="19">
        <v>0</v>
      </c>
      <c r="O67" s="20">
        <v>2.2999999999999998</v>
      </c>
      <c r="P67" s="20">
        <v>2.2999999999999998</v>
      </c>
      <c r="Q67" s="16" t="e">
        <f>K67/M67</f>
        <v>#DIV/0!</v>
      </c>
      <c r="R67" s="16">
        <f>K67/O67</f>
        <v>50445.652173913048</v>
      </c>
      <c r="S67" s="21">
        <f>K67/O67/43560</f>
        <v>1.1580728230925861</v>
      </c>
      <c r="T67" s="20">
        <v>0</v>
      </c>
      <c r="U67" s="22" t="s">
        <v>33</v>
      </c>
      <c r="V67" s="14" t="s">
        <v>330</v>
      </c>
      <c r="X67" s="14" t="s">
        <v>35</v>
      </c>
      <c r="Y67" s="14">
        <v>0</v>
      </c>
      <c r="Z67" s="14">
        <v>0</v>
      </c>
      <c r="AA67" s="23">
        <v>42503</v>
      </c>
      <c r="AC67" s="24" t="s">
        <v>36</v>
      </c>
    </row>
    <row r="68" spans="1:29" x14ac:dyDescent="0.25">
      <c r="A68" s="14" t="s">
        <v>382</v>
      </c>
      <c r="B68" s="14" t="s">
        <v>383</v>
      </c>
      <c r="C68" s="15">
        <v>45518</v>
      </c>
      <c r="D68" s="16">
        <v>452500</v>
      </c>
      <c r="E68" s="14" t="s">
        <v>31</v>
      </c>
      <c r="F68" s="14" t="s">
        <v>32</v>
      </c>
      <c r="G68" s="16">
        <v>452500</v>
      </c>
      <c r="H68" s="16">
        <v>214000</v>
      </c>
      <c r="I68" s="17">
        <f>H68/G68*100</f>
        <v>47.292817679558013</v>
      </c>
      <c r="J68" s="16">
        <v>471638</v>
      </c>
      <c r="K68" s="16">
        <f>G68-388438</f>
        <v>64062</v>
      </c>
      <c r="L68" s="16">
        <v>83200</v>
      </c>
      <c r="M68" s="18">
        <v>0</v>
      </c>
      <c r="N68" s="19">
        <v>0</v>
      </c>
      <c r="O68" s="20">
        <v>2.35</v>
      </c>
      <c r="P68" s="20">
        <v>2.35</v>
      </c>
      <c r="Q68" s="16" t="e">
        <f>K68/M68</f>
        <v>#DIV/0!</v>
      </c>
      <c r="R68" s="16">
        <f>K68/O68</f>
        <v>27260.425531914894</v>
      </c>
      <c r="S68" s="21">
        <f>K68/O68/43560</f>
        <v>0.62581325830842272</v>
      </c>
      <c r="T68" s="20">
        <v>0</v>
      </c>
      <c r="U68" s="22" t="s">
        <v>33</v>
      </c>
      <c r="V68" s="14" t="s">
        <v>384</v>
      </c>
      <c r="X68" s="14" t="s">
        <v>35</v>
      </c>
      <c r="Y68" s="14">
        <v>0</v>
      </c>
      <c r="Z68" s="14">
        <v>0</v>
      </c>
      <c r="AA68" s="23">
        <v>42922</v>
      </c>
      <c r="AC68" s="24" t="s">
        <v>36</v>
      </c>
    </row>
    <row r="69" spans="1:29" x14ac:dyDescent="0.25">
      <c r="A69" s="14" t="s">
        <v>179</v>
      </c>
      <c r="B69" s="14" t="s">
        <v>180</v>
      </c>
      <c r="C69" s="15">
        <v>45119</v>
      </c>
      <c r="D69" s="16">
        <v>380000</v>
      </c>
      <c r="E69" s="14" t="s">
        <v>31</v>
      </c>
      <c r="F69" s="14" t="s">
        <v>32</v>
      </c>
      <c r="G69" s="16">
        <v>380000</v>
      </c>
      <c r="H69" s="16">
        <v>119000</v>
      </c>
      <c r="I69" s="17">
        <f>H69/G69*100</f>
        <v>31.315789473684209</v>
      </c>
      <c r="J69" s="16">
        <v>310159</v>
      </c>
      <c r="K69" s="16">
        <f>G69-275159</f>
        <v>104841</v>
      </c>
      <c r="L69" s="16">
        <v>35000</v>
      </c>
      <c r="M69" s="18">
        <v>0</v>
      </c>
      <c r="N69" s="19">
        <v>0</v>
      </c>
      <c r="O69" s="20">
        <v>2.36</v>
      </c>
      <c r="P69" s="20">
        <v>2.36</v>
      </c>
      <c r="Q69" s="16" t="e">
        <f>K69/M69</f>
        <v>#DIV/0!</v>
      </c>
      <c r="R69" s="16">
        <f>K69/O69</f>
        <v>44424.152542372882</v>
      </c>
      <c r="S69" s="21">
        <f>K69/O69/43560</f>
        <v>1.0198382126348229</v>
      </c>
      <c r="T69" s="20">
        <v>0</v>
      </c>
      <c r="U69" s="22" t="s">
        <v>33</v>
      </c>
      <c r="V69" s="14" t="s">
        <v>181</v>
      </c>
      <c r="X69" s="14" t="s">
        <v>182</v>
      </c>
      <c r="Y69" s="14">
        <v>0</v>
      </c>
      <c r="Z69" s="14">
        <v>0</v>
      </c>
      <c r="AA69" s="23">
        <v>45516</v>
      </c>
      <c r="AC69" s="24" t="s">
        <v>36</v>
      </c>
    </row>
    <row r="70" spans="1:29" x14ac:dyDescent="0.25">
      <c r="A70" s="14" t="s">
        <v>281</v>
      </c>
      <c r="B70" s="14" t="s">
        <v>282</v>
      </c>
      <c r="C70" s="15">
        <v>45447</v>
      </c>
      <c r="D70" s="16">
        <v>512500</v>
      </c>
      <c r="E70" s="14" t="s">
        <v>31</v>
      </c>
      <c r="F70" s="14" t="s">
        <v>32</v>
      </c>
      <c r="G70" s="16">
        <v>512500</v>
      </c>
      <c r="H70" s="16">
        <v>255700</v>
      </c>
      <c r="I70" s="17">
        <f>H70/G70*100</f>
        <v>49.892682926829266</v>
      </c>
      <c r="J70" s="16">
        <v>561774</v>
      </c>
      <c r="K70" s="16">
        <f>G70-477974</f>
        <v>34526</v>
      </c>
      <c r="L70" s="16">
        <v>83800</v>
      </c>
      <c r="M70" s="18">
        <v>0</v>
      </c>
      <c r="N70" s="19">
        <v>0</v>
      </c>
      <c r="O70" s="20">
        <v>2.4</v>
      </c>
      <c r="P70" s="20">
        <v>2.4</v>
      </c>
      <c r="Q70" s="16" t="e">
        <f>K70/M70</f>
        <v>#DIV/0!</v>
      </c>
      <c r="R70" s="16">
        <f>K70/O70</f>
        <v>14385.833333333334</v>
      </c>
      <c r="S70" s="21">
        <f>K70/O70/43560</f>
        <v>0.33025329048056323</v>
      </c>
      <c r="T70" s="20">
        <v>0</v>
      </c>
      <c r="U70" s="22" t="s">
        <v>33</v>
      </c>
      <c r="V70" s="14" t="s">
        <v>283</v>
      </c>
      <c r="X70" s="14" t="s">
        <v>35</v>
      </c>
      <c r="Y70" s="14">
        <v>0</v>
      </c>
      <c r="Z70" s="14">
        <v>1</v>
      </c>
      <c r="AA70" s="23">
        <v>41008</v>
      </c>
      <c r="AC70" s="24" t="s">
        <v>36</v>
      </c>
    </row>
    <row r="71" spans="1:29" x14ac:dyDescent="0.25">
      <c r="A71" s="14" t="s">
        <v>312</v>
      </c>
      <c r="B71" s="14" t="s">
        <v>313</v>
      </c>
      <c r="C71" s="15">
        <v>45107</v>
      </c>
      <c r="D71" s="16">
        <v>387100</v>
      </c>
      <c r="E71" s="14" t="s">
        <v>31</v>
      </c>
      <c r="F71" s="14" t="s">
        <v>32</v>
      </c>
      <c r="G71" s="16">
        <v>387100</v>
      </c>
      <c r="H71" s="16">
        <v>147400</v>
      </c>
      <c r="I71" s="17">
        <f>H71/G71*100</f>
        <v>38.078016016533198</v>
      </c>
      <c r="J71" s="16">
        <v>407551</v>
      </c>
      <c r="K71" s="16">
        <f>G71-323751</f>
        <v>63349</v>
      </c>
      <c r="L71" s="16">
        <v>83800</v>
      </c>
      <c r="M71" s="18">
        <v>0</v>
      </c>
      <c r="N71" s="19">
        <v>0</v>
      </c>
      <c r="O71" s="20">
        <v>2.4</v>
      </c>
      <c r="P71" s="20">
        <v>2.4</v>
      </c>
      <c r="Q71" s="16" t="e">
        <f>K71/M71</f>
        <v>#DIV/0!</v>
      </c>
      <c r="R71" s="16">
        <f>K71/O71</f>
        <v>26395.416666666668</v>
      </c>
      <c r="S71" s="21">
        <f>K71/O71/43560</f>
        <v>0.60595538720538722</v>
      </c>
      <c r="T71" s="20">
        <v>0</v>
      </c>
      <c r="U71" s="22" t="s">
        <v>33</v>
      </c>
      <c r="V71" s="14" t="s">
        <v>314</v>
      </c>
      <c r="X71" s="14" t="s">
        <v>35</v>
      </c>
      <c r="Y71" s="14">
        <v>0</v>
      </c>
      <c r="Z71" s="14">
        <v>0</v>
      </c>
      <c r="AA71" s="23">
        <v>42499</v>
      </c>
      <c r="AC71" s="24" t="s">
        <v>36</v>
      </c>
    </row>
    <row r="72" spans="1:29" x14ac:dyDescent="0.25">
      <c r="A72" s="14" t="s">
        <v>400</v>
      </c>
      <c r="B72" s="14" t="s">
        <v>401</v>
      </c>
      <c r="C72" s="15">
        <v>45596</v>
      </c>
      <c r="D72" s="16">
        <v>775000</v>
      </c>
      <c r="E72" s="14" t="s">
        <v>31</v>
      </c>
      <c r="F72" s="14" t="s">
        <v>32</v>
      </c>
      <c r="G72" s="16">
        <v>775000</v>
      </c>
      <c r="H72" s="16">
        <v>459900</v>
      </c>
      <c r="I72" s="17">
        <f>H72/G72*100</f>
        <v>59.341935483870969</v>
      </c>
      <c r="J72" s="16">
        <v>911011</v>
      </c>
      <c r="K72" s="16">
        <f>G72-741395</f>
        <v>33605</v>
      </c>
      <c r="L72" s="16">
        <v>169616</v>
      </c>
      <c r="M72" s="18">
        <v>0</v>
      </c>
      <c r="N72" s="19">
        <v>0</v>
      </c>
      <c r="O72" s="20">
        <v>2.484</v>
      </c>
      <c r="P72" s="20">
        <v>2.484</v>
      </c>
      <c r="Q72" s="16" t="e">
        <f>K72/M72</f>
        <v>#DIV/0!</v>
      </c>
      <c r="R72" s="16">
        <f>K72/O72</f>
        <v>13528.582930756844</v>
      </c>
      <c r="S72" s="21">
        <f>K72/O72/43560</f>
        <v>0.31057352917256298</v>
      </c>
      <c r="T72" s="20">
        <v>0</v>
      </c>
      <c r="U72" s="22" t="s">
        <v>33</v>
      </c>
      <c r="V72" s="14" t="s">
        <v>402</v>
      </c>
      <c r="X72" s="14" t="s">
        <v>35</v>
      </c>
      <c r="Y72" s="14">
        <v>0</v>
      </c>
      <c r="Z72" s="14">
        <v>1</v>
      </c>
      <c r="AA72" s="23">
        <v>42569</v>
      </c>
      <c r="AC72" s="24" t="s">
        <v>36</v>
      </c>
    </row>
    <row r="73" spans="1:29" x14ac:dyDescent="0.25">
      <c r="A73" s="14" t="s">
        <v>190</v>
      </c>
      <c r="B73" s="14" t="s">
        <v>191</v>
      </c>
      <c r="C73" s="15">
        <v>45722</v>
      </c>
      <c r="D73" s="16">
        <v>630000</v>
      </c>
      <c r="E73" s="14" t="s">
        <v>31</v>
      </c>
      <c r="F73" s="14" t="s">
        <v>32</v>
      </c>
      <c r="G73" s="16">
        <v>630000</v>
      </c>
      <c r="H73" s="16">
        <v>283200</v>
      </c>
      <c r="I73" s="17">
        <f>H73/G73*100</f>
        <v>44.952380952380956</v>
      </c>
      <c r="J73" s="16">
        <v>630152</v>
      </c>
      <c r="K73" s="16">
        <f>G73-545272</f>
        <v>84728</v>
      </c>
      <c r="L73" s="16">
        <v>84880</v>
      </c>
      <c r="M73" s="18">
        <v>0</v>
      </c>
      <c r="N73" s="19">
        <v>0</v>
      </c>
      <c r="O73" s="20">
        <v>2.4900000000000002</v>
      </c>
      <c r="P73" s="20">
        <v>2.4900000000000002</v>
      </c>
      <c r="Q73" s="16" t="e">
        <f>K73/M73</f>
        <v>#DIV/0!</v>
      </c>
      <c r="R73" s="16">
        <f>K73/O73</f>
        <v>34027.309236947789</v>
      </c>
      <c r="S73" s="21">
        <f>K73/O73/43560</f>
        <v>0.78115953252864534</v>
      </c>
      <c r="T73" s="20">
        <v>0</v>
      </c>
      <c r="U73" s="22" t="s">
        <v>33</v>
      </c>
      <c r="V73" s="14" t="s">
        <v>192</v>
      </c>
      <c r="X73" s="14" t="s">
        <v>35</v>
      </c>
      <c r="Y73" s="14">
        <v>0</v>
      </c>
      <c r="Z73" s="14">
        <v>1</v>
      </c>
      <c r="AA73" s="23">
        <v>44046</v>
      </c>
      <c r="AC73" s="24" t="s">
        <v>36</v>
      </c>
    </row>
    <row r="74" spans="1:29" x14ac:dyDescent="0.25">
      <c r="A74" s="14" t="s">
        <v>429</v>
      </c>
      <c r="B74" s="14" t="s">
        <v>430</v>
      </c>
      <c r="C74" s="15">
        <v>45628</v>
      </c>
      <c r="D74" s="16">
        <v>418000</v>
      </c>
      <c r="E74" s="14" t="s">
        <v>31</v>
      </c>
      <c r="F74" s="14" t="s">
        <v>32</v>
      </c>
      <c r="G74" s="16">
        <v>418000</v>
      </c>
      <c r="H74" s="16">
        <v>223100</v>
      </c>
      <c r="I74" s="17">
        <f>H74/G74*100</f>
        <v>53.373205741626798</v>
      </c>
      <c r="J74" s="16">
        <v>432244</v>
      </c>
      <c r="K74" s="16">
        <f>G74-347244</f>
        <v>70756</v>
      </c>
      <c r="L74" s="16">
        <v>85000</v>
      </c>
      <c r="M74" s="18">
        <v>0</v>
      </c>
      <c r="N74" s="19">
        <v>0</v>
      </c>
      <c r="O74" s="20">
        <v>2.5</v>
      </c>
      <c r="P74" s="20">
        <v>2.5</v>
      </c>
      <c r="Q74" s="16" t="e">
        <f>K74/M74</f>
        <v>#DIV/0!</v>
      </c>
      <c r="R74" s="16">
        <f>K74/O74</f>
        <v>28302.400000000001</v>
      </c>
      <c r="S74" s="21">
        <f>K74/O74/43560</f>
        <v>0.64973370064279157</v>
      </c>
      <c r="T74" s="20">
        <v>0</v>
      </c>
      <c r="U74" s="22" t="s">
        <v>33</v>
      </c>
      <c r="V74" s="14" t="s">
        <v>431</v>
      </c>
      <c r="X74" s="14" t="s">
        <v>35</v>
      </c>
      <c r="Y74" s="14">
        <v>0</v>
      </c>
      <c r="Z74" s="14">
        <v>0</v>
      </c>
      <c r="AA74" s="23">
        <v>43238</v>
      </c>
      <c r="AC74" s="24" t="s">
        <v>36</v>
      </c>
    </row>
    <row r="75" spans="1:29" x14ac:dyDescent="0.25">
      <c r="A75" s="14" t="s">
        <v>435</v>
      </c>
      <c r="B75" s="14" t="s">
        <v>436</v>
      </c>
      <c r="C75" s="15">
        <v>45135</v>
      </c>
      <c r="D75" s="16">
        <v>785000</v>
      </c>
      <c r="E75" s="14" t="s">
        <v>31</v>
      </c>
      <c r="F75" s="14" t="s">
        <v>32</v>
      </c>
      <c r="G75" s="16">
        <v>785000</v>
      </c>
      <c r="H75" s="16">
        <v>382800</v>
      </c>
      <c r="I75" s="17">
        <f>H75/G75*100</f>
        <v>48.764331210191081</v>
      </c>
      <c r="J75" s="16">
        <v>858147</v>
      </c>
      <c r="K75" s="16">
        <f>G75-773147</f>
        <v>11853</v>
      </c>
      <c r="L75" s="16">
        <v>85000</v>
      </c>
      <c r="M75" s="18">
        <v>0</v>
      </c>
      <c r="N75" s="19">
        <v>0</v>
      </c>
      <c r="O75" s="20">
        <v>2.5</v>
      </c>
      <c r="P75" s="20">
        <v>2.5</v>
      </c>
      <c r="Q75" s="16" t="e">
        <f>K75/M75</f>
        <v>#DIV/0!</v>
      </c>
      <c r="R75" s="16">
        <f>K75/O75</f>
        <v>4741.2</v>
      </c>
      <c r="S75" s="21">
        <f>K75/O75/43560</f>
        <v>0.10884297520661157</v>
      </c>
      <c r="T75" s="20">
        <v>0</v>
      </c>
      <c r="U75" s="22" t="s">
        <v>33</v>
      </c>
      <c r="V75" s="14" t="s">
        <v>437</v>
      </c>
      <c r="X75" s="14" t="s">
        <v>35</v>
      </c>
      <c r="Y75" s="14">
        <v>0</v>
      </c>
      <c r="Z75" s="14">
        <v>1</v>
      </c>
      <c r="AA75" s="23">
        <v>43230</v>
      </c>
      <c r="AC75" s="24" t="s">
        <v>36</v>
      </c>
    </row>
    <row r="76" spans="1:29" x14ac:dyDescent="0.25">
      <c r="A76" s="14" t="s">
        <v>349</v>
      </c>
      <c r="B76" s="14" t="s">
        <v>350</v>
      </c>
      <c r="C76" s="15">
        <v>45562</v>
      </c>
      <c r="D76" s="16">
        <v>130000</v>
      </c>
      <c r="E76" s="14" t="s">
        <v>351</v>
      </c>
      <c r="F76" s="14" t="s">
        <v>230</v>
      </c>
      <c r="G76" s="16">
        <v>130000</v>
      </c>
      <c r="H76" s="16">
        <v>39600</v>
      </c>
      <c r="I76" s="17">
        <f>H76/G76*100</f>
        <v>30.461538461538463</v>
      </c>
      <c r="J76" s="16">
        <v>86254</v>
      </c>
      <c r="K76" s="16">
        <f>G76-0</f>
        <v>130000</v>
      </c>
      <c r="L76" s="16">
        <v>86254</v>
      </c>
      <c r="M76" s="18">
        <v>0</v>
      </c>
      <c r="N76" s="19">
        <v>0</v>
      </c>
      <c r="O76" s="20">
        <v>2.61</v>
      </c>
      <c r="P76" s="20">
        <v>2.61</v>
      </c>
      <c r="Q76" s="16" t="e">
        <f>K76/M76</f>
        <v>#DIV/0!</v>
      </c>
      <c r="R76" s="16">
        <f>K76/O76</f>
        <v>49808.429118773951</v>
      </c>
      <c r="S76" s="21">
        <f>K76/O76/43560</f>
        <v>1.1434441946458667</v>
      </c>
      <c r="T76" s="20">
        <v>0</v>
      </c>
      <c r="U76" s="22" t="s">
        <v>33</v>
      </c>
      <c r="V76" s="14" t="s">
        <v>352</v>
      </c>
      <c r="X76" s="14" t="s">
        <v>35</v>
      </c>
      <c r="Y76" s="14">
        <v>0</v>
      </c>
      <c r="Z76" s="14">
        <v>0</v>
      </c>
      <c r="AA76" s="14" t="s">
        <v>106</v>
      </c>
      <c r="AC76" s="24" t="s">
        <v>71</v>
      </c>
    </row>
    <row r="77" spans="1:29" x14ac:dyDescent="0.25">
      <c r="A77" s="14" t="s">
        <v>376</v>
      </c>
      <c r="B77" s="14" t="s">
        <v>377</v>
      </c>
      <c r="C77" s="15">
        <v>45212</v>
      </c>
      <c r="D77" s="16">
        <v>300000</v>
      </c>
      <c r="E77" s="14" t="s">
        <v>31</v>
      </c>
      <c r="F77" s="14" t="s">
        <v>32</v>
      </c>
      <c r="G77" s="16">
        <v>300000</v>
      </c>
      <c r="H77" s="16">
        <v>126200</v>
      </c>
      <c r="I77" s="17">
        <f>H77/G77*100</f>
        <v>42.06666666666667</v>
      </c>
      <c r="J77" s="16">
        <v>320257</v>
      </c>
      <c r="K77" s="16">
        <f>G77-233547</f>
        <v>66453</v>
      </c>
      <c r="L77" s="16">
        <v>86710</v>
      </c>
      <c r="M77" s="18">
        <v>0</v>
      </c>
      <c r="N77" s="19">
        <v>0</v>
      </c>
      <c r="O77" s="20">
        <v>2.65</v>
      </c>
      <c r="P77" s="20">
        <v>2.65</v>
      </c>
      <c r="Q77" s="16" t="e">
        <f>K77/M77</f>
        <v>#DIV/0!</v>
      </c>
      <c r="R77" s="16">
        <f>K77/O77</f>
        <v>25076.603773584906</v>
      </c>
      <c r="S77" s="21">
        <f>K77/O77/43560</f>
        <v>0.57567960912729355</v>
      </c>
      <c r="T77" s="20">
        <v>0</v>
      </c>
      <c r="U77" s="22" t="s">
        <v>33</v>
      </c>
      <c r="V77" s="14" t="s">
        <v>378</v>
      </c>
      <c r="X77" s="14" t="s">
        <v>35</v>
      </c>
      <c r="Y77" s="14">
        <v>0</v>
      </c>
      <c r="Z77" s="14">
        <v>0</v>
      </c>
      <c r="AA77" s="23">
        <v>42853</v>
      </c>
      <c r="AC77" s="24" t="s">
        <v>36</v>
      </c>
    </row>
    <row r="78" spans="1:29" x14ac:dyDescent="0.25">
      <c r="A78" s="14" t="s">
        <v>406</v>
      </c>
      <c r="B78" s="14" t="s">
        <v>407</v>
      </c>
      <c r="C78" s="15">
        <v>45286</v>
      </c>
      <c r="D78" s="16">
        <v>645000</v>
      </c>
      <c r="E78" s="14" t="s">
        <v>31</v>
      </c>
      <c r="F78" s="14" t="s">
        <v>32</v>
      </c>
      <c r="G78" s="16">
        <v>645000</v>
      </c>
      <c r="H78" s="16">
        <v>362700</v>
      </c>
      <c r="I78" s="17">
        <f>H78/G78*100</f>
        <v>56.232558139534881</v>
      </c>
      <c r="J78" s="16">
        <v>718895</v>
      </c>
      <c r="K78" s="16">
        <f>G78-545293</f>
        <v>99707</v>
      </c>
      <c r="L78" s="16">
        <v>173602</v>
      </c>
      <c r="M78" s="18">
        <v>0</v>
      </c>
      <c r="N78" s="19">
        <v>0</v>
      </c>
      <c r="O78" s="20">
        <v>2.6579999999999999</v>
      </c>
      <c r="P78" s="20">
        <v>2.6579999999999999</v>
      </c>
      <c r="Q78" s="16" t="e">
        <f>K78/M78</f>
        <v>#DIV/0!</v>
      </c>
      <c r="R78" s="16">
        <f>K78/O78</f>
        <v>37512.039127163283</v>
      </c>
      <c r="S78" s="21">
        <f>K78/O78/43560</f>
        <v>0.86115792302946015</v>
      </c>
      <c r="T78" s="20">
        <v>100</v>
      </c>
      <c r="U78" s="22" t="s">
        <v>33</v>
      </c>
      <c r="V78" s="14" t="s">
        <v>408</v>
      </c>
      <c r="X78" s="14" t="s">
        <v>35</v>
      </c>
      <c r="Y78" s="14">
        <v>0</v>
      </c>
      <c r="Z78" s="14">
        <v>1</v>
      </c>
      <c r="AA78" s="23">
        <v>42598</v>
      </c>
      <c r="AC78" s="24" t="s">
        <v>36</v>
      </c>
    </row>
    <row r="79" spans="1:29" x14ac:dyDescent="0.25">
      <c r="A79" s="14" t="s">
        <v>406</v>
      </c>
      <c r="B79" s="14" t="s">
        <v>407</v>
      </c>
      <c r="C79" s="15">
        <v>45684</v>
      </c>
      <c r="D79" s="16">
        <v>655000</v>
      </c>
      <c r="E79" s="14" t="s">
        <v>31</v>
      </c>
      <c r="F79" s="14" t="s">
        <v>32</v>
      </c>
      <c r="G79" s="16">
        <v>655000</v>
      </c>
      <c r="H79" s="16">
        <v>411600</v>
      </c>
      <c r="I79" s="17">
        <f>H79/G79*100</f>
        <v>62.839694656488554</v>
      </c>
      <c r="J79" s="16">
        <v>718895</v>
      </c>
      <c r="K79" s="16">
        <f>G79-545293</f>
        <v>109707</v>
      </c>
      <c r="L79" s="16">
        <v>173602</v>
      </c>
      <c r="M79" s="18">
        <v>0</v>
      </c>
      <c r="N79" s="19">
        <v>0</v>
      </c>
      <c r="O79" s="20">
        <v>2.6579999999999999</v>
      </c>
      <c r="P79" s="20">
        <v>2.6579999999999999</v>
      </c>
      <c r="Q79" s="16" t="e">
        <f>K79/M79</f>
        <v>#DIV/0!</v>
      </c>
      <c r="R79" s="16">
        <f>K79/O79</f>
        <v>41274.266365688491</v>
      </c>
      <c r="S79" s="21">
        <f>K79/O79/43560</f>
        <v>0.94752677607182023</v>
      </c>
      <c r="T79" s="20">
        <v>100</v>
      </c>
      <c r="U79" s="22" t="s">
        <v>33</v>
      </c>
      <c r="V79" s="14" t="s">
        <v>409</v>
      </c>
      <c r="X79" s="14" t="s">
        <v>35</v>
      </c>
      <c r="Y79" s="14">
        <v>0</v>
      </c>
      <c r="Z79" s="14">
        <v>1</v>
      </c>
      <c r="AA79" s="23">
        <v>42598</v>
      </c>
      <c r="AC79" s="24" t="s">
        <v>36</v>
      </c>
    </row>
    <row r="80" spans="1:29" x14ac:dyDescent="0.25">
      <c r="A80" s="14" t="s">
        <v>53</v>
      </c>
      <c r="B80" s="14" t="s">
        <v>54</v>
      </c>
      <c r="C80" s="15">
        <v>45119</v>
      </c>
      <c r="D80" s="16">
        <v>630000</v>
      </c>
      <c r="E80" s="14" t="s">
        <v>31</v>
      </c>
      <c r="F80" s="14" t="s">
        <v>32</v>
      </c>
      <c r="G80" s="16">
        <v>630000</v>
      </c>
      <c r="H80" s="16">
        <v>248500</v>
      </c>
      <c r="I80" s="17">
        <f>H80/G80*100</f>
        <v>39.444444444444443</v>
      </c>
      <c r="J80" s="16">
        <v>657776</v>
      </c>
      <c r="K80" s="16">
        <f>G80-570952</f>
        <v>59048</v>
      </c>
      <c r="L80" s="16">
        <v>86824</v>
      </c>
      <c r="M80" s="18">
        <v>0</v>
      </c>
      <c r="N80" s="19">
        <v>0</v>
      </c>
      <c r="O80" s="20">
        <v>2.66</v>
      </c>
      <c r="P80" s="20">
        <v>2.66</v>
      </c>
      <c r="Q80" s="16" t="e">
        <f>K80/M80</f>
        <v>#DIV/0!</v>
      </c>
      <c r="R80" s="16">
        <f>K80/O80</f>
        <v>22198.496240601504</v>
      </c>
      <c r="S80" s="21">
        <f>K80/O80/43560</f>
        <v>0.50960735171261484</v>
      </c>
      <c r="T80" s="20">
        <v>0</v>
      </c>
      <c r="U80" s="22" t="s">
        <v>33</v>
      </c>
      <c r="V80" s="14" t="s">
        <v>55</v>
      </c>
      <c r="X80" s="14" t="s">
        <v>35</v>
      </c>
      <c r="Y80" s="14">
        <v>0</v>
      </c>
      <c r="Z80" s="14">
        <v>0</v>
      </c>
      <c r="AA80" s="23">
        <v>44144</v>
      </c>
      <c r="AC80" s="24" t="s">
        <v>36</v>
      </c>
    </row>
    <row r="81" spans="1:29" x14ac:dyDescent="0.25">
      <c r="A81" s="14" t="s">
        <v>214</v>
      </c>
      <c r="B81" s="14" t="s">
        <v>215</v>
      </c>
      <c r="C81" s="15">
        <v>45161</v>
      </c>
      <c r="D81" s="16">
        <v>510000</v>
      </c>
      <c r="E81" s="14" t="s">
        <v>31</v>
      </c>
      <c r="F81" s="14" t="s">
        <v>32</v>
      </c>
      <c r="G81" s="16">
        <v>510000</v>
      </c>
      <c r="H81" s="16">
        <v>195700</v>
      </c>
      <c r="I81" s="17">
        <f>H81/G81*100</f>
        <v>38.372549019607845</v>
      </c>
      <c r="J81" s="16">
        <v>503843</v>
      </c>
      <c r="K81" s="16">
        <f>G81-416563</f>
        <v>93437</v>
      </c>
      <c r="L81" s="16">
        <v>87280</v>
      </c>
      <c r="M81" s="18">
        <v>0</v>
      </c>
      <c r="N81" s="19">
        <v>0</v>
      </c>
      <c r="O81" s="20">
        <v>2.7</v>
      </c>
      <c r="P81" s="20">
        <v>2.7</v>
      </c>
      <c r="Q81" s="16" t="e">
        <f>K81/M81</f>
        <v>#DIV/0!</v>
      </c>
      <c r="R81" s="16">
        <f>K81/O81</f>
        <v>34606.296296296292</v>
      </c>
      <c r="S81" s="21">
        <f>K81/O81/43560</f>
        <v>0.79445124647144838</v>
      </c>
      <c r="T81" s="20">
        <v>0</v>
      </c>
      <c r="U81" s="22" t="s">
        <v>33</v>
      </c>
      <c r="V81" s="14" t="s">
        <v>216</v>
      </c>
      <c r="X81" s="14" t="s">
        <v>35</v>
      </c>
      <c r="Y81" s="14">
        <v>0</v>
      </c>
      <c r="Z81" s="14">
        <v>0</v>
      </c>
      <c r="AA81" s="23">
        <v>42145</v>
      </c>
      <c r="AC81" s="24" t="s">
        <v>36</v>
      </c>
    </row>
    <row r="82" spans="1:29" x14ac:dyDescent="0.25">
      <c r="A82" s="14" t="s">
        <v>103</v>
      </c>
      <c r="B82" s="14" t="s">
        <v>104</v>
      </c>
      <c r="C82" s="15">
        <v>45422</v>
      </c>
      <c r="D82" s="16">
        <v>395000</v>
      </c>
      <c r="E82" s="14" t="s">
        <v>31</v>
      </c>
      <c r="F82" s="14" t="s">
        <v>32</v>
      </c>
      <c r="G82" s="16">
        <v>395000</v>
      </c>
      <c r="H82" s="16">
        <v>129700</v>
      </c>
      <c r="I82" s="17">
        <f>H82/G82*100</f>
        <v>32.835443037974684</v>
      </c>
      <c r="J82" s="16">
        <v>286272</v>
      </c>
      <c r="K82" s="16">
        <f>G82-198878</f>
        <v>196122</v>
      </c>
      <c r="L82" s="16">
        <v>87394</v>
      </c>
      <c r="M82" s="18">
        <v>0</v>
      </c>
      <c r="N82" s="19">
        <v>0</v>
      </c>
      <c r="O82" s="20">
        <v>2.71</v>
      </c>
      <c r="P82" s="20">
        <v>2.71</v>
      </c>
      <c r="Q82" s="16" t="e">
        <f>K82/M82</f>
        <v>#DIV/0!</v>
      </c>
      <c r="R82" s="16">
        <f>K82/O82</f>
        <v>72369.741697416976</v>
      </c>
      <c r="S82" s="21">
        <f>K82/O82/43560</f>
        <v>1.6613806633934107</v>
      </c>
      <c r="T82" s="20">
        <v>0</v>
      </c>
      <c r="U82" s="22" t="s">
        <v>33</v>
      </c>
      <c r="V82" s="14" t="s">
        <v>105</v>
      </c>
      <c r="X82" s="14" t="s">
        <v>35</v>
      </c>
      <c r="Y82" s="14">
        <v>0</v>
      </c>
      <c r="Z82" s="14">
        <v>0</v>
      </c>
      <c r="AA82" s="14" t="s">
        <v>106</v>
      </c>
      <c r="AC82" s="24" t="s">
        <v>36</v>
      </c>
    </row>
    <row r="83" spans="1:29" x14ac:dyDescent="0.25">
      <c r="A83" s="14" t="s">
        <v>211</v>
      </c>
      <c r="B83" s="14" t="s">
        <v>212</v>
      </c>
      <c r="C83" s="15">
        <v>45471</v>
      </c>
      <c r="D83" s="16">
        <v>430000</v>
      </c>
      <c r="E83" s="14" t="s">
        <v>31</v>
      </c>
      <c r="F83" s="14" t="s">
        <v>32</v>
      </c>
      <c r="G83" s="16">
        <v>430000</v>
      </c>
      <c r="H83" s="16">
        <v>169100</v>
      </c>
      <c r="I83" s="17">
        <f>H83/G83*100</f>
        <v>39.325581395348834</v>
      </c>
      <c r="J83" s="16">
        <v>375193</v>
      </c>
      <c r="K83" s="16">
        <f>G83-287457</f>
        <v>142543</v>
      </c>
      <c r="L83" s="16">
        <v>87736</v>
      </c>
      <c r="M83" s="18">
        <v>0</v>
      </c>
      <c r="N83" s="19">
        <v>0</v>
      </c>
      <c r="O83" s="20">
        <v>2.74</v>
      </c>
      <c r="P83" s="20">
        <v>2.74</v>
      </c>
      <c r="Q83" s="16" t="e">
        <f>K83/M83</f>
        <v>#DIV/0!</v>
      </c>
      <c r="R83" s="16">
        <f>K83/O83</f>
        <v>52022.992700729927</v>
      </c>
      <c r="S83" s="21">
        <f>K83/O83/43560</f>
        <v>1.1942835789882904</v>
      </c>
      <c r="T83" s="20">
        <v>0</v>
      </c>
      <c r="U83" s="22" t="s">
        <v>33</v>
      </c>
      <c r="V83" s="14" t="s">
        <v>213</v>
      </c>
      <c r="X83" s="14" t="s">
        <v>35</v>
      </c>
      <c r="Y83" s="14">
        <v>0</v>
      </c>
      <c r="Z83" s="14">
        <v>0</v>
      </c>
      <c r="AA83" s="23">
        <v>42145</v>
      </c>
      <c r="AC83" s="24" t="s">
        <v>36</v>
      </c>
    </row>
    <row r="84" spans="1:29" x14ac:dyDescent="0.25">
      <c r="A84" s="14" t="s">
        <v>331</v>
      </c>
      <c r="B84" s="14" t="s">
        <v>332</v>
      </c>
      <c r="C84" s="15">
        <v>45153</v>
      </c>
      <c r="D84" s="16">
        <v>619000</v>
      </c>
      <c r="E84" s="14" t="s">
        <v>31</v>
      </c>
      <c r="F84" s="14" t="s">
        <v>32</v>
      </c>
      <c r="G84" s="16">
        <v>619000</v>
      </c>
      <c r="H84" s="16">
        <v>164900</v>
      </c>
      <c r="I84" s="17">
        <f>H84/G84*100</f>
        <v>26.639741518578354</v>
      </c>
      <c r="J84" s="16">
        <v>427757</v>
      </c>
      <c r="K84" s="16">
        <f>G84-340021</f>
        <v>278979</v>
      </c>
      <c r="L84" s="16">
        <v>87736</v>
      </c>
      <c r="M84" s="18">
        <v>0</v>
      </c>
      <c r="N84" s="19">
        <v>0</v>
      </c>
      <c r="O84" s="20">
        <v>2.74</v>
      </c>
      <c r="P84" s="20">
        <v>2.74</v>
      </c>
      <c r="Q84" s="16" t="e">
        <f>K84/M84</f>
        <v>#DIV/0!</v>
      </c>
      <c r="R84" s="16">
        <f>K84/O84</f>
        <v>101817.15328467153</v>
      </c>
      <c r="S84" s="21">
        <f>K84/O84/43560</f>
        <v>2.3374002131467293</v>
      </c>
      <c r="T84" s="20">
        <v>0</v>
      </c>
      <c r="U84" s="22" t="s">
        <v>33</v>
      </c>
      <c r="V84" s="14" t="s">
        <v>333</v>
      </c>
      <c r="X84" s="14" t="s">
        <v>35</v>
      </c>
      <c r="Y84" s="14">
        <v>0</v>
      </c>
      <c r="Z84" s="14">
        <v>0</v>
      </c>
      <c r="AA84" s="23">
        <v>44553</v>
      </c>
      <c r="AC84" s="24" t="s">
        <v>36</v>
      </c>
    </row>
    <row r="85" spans="1:29" x14ac:dyDescent="0.25">
      <c r="A85" s="14" t="s">
        <v>365</v>
      </c>
      <c r="B85" s="14" t="s">
        <v>366</v>
      </c>
      <c r="C85" s="15">
        <v>45338</v>
      </c>
      <c r="D85" s="16">
        <v>540000</v>
      </c>
      <c r="E85" s="14" t="s">
        <v>31</v>
      </c>
      <c r="F85" s="14" t="s">
        <v>32</v>
      </c>
      <c r="G85" s="16">
        <v>540000</v>
      </c>
      <c r="H85" s="16">
        <v>220400</v>
      </c>
      <c r="I85" s="17">
        <f>H85/G85*100</f>
        <v>40.814814814814817</v>
      </c>
      <c r="J85" s="16">
        <v>573696</v>
      </c>
      <c r="K85" s="16">
        <f>G85-485960</f>
        <v>54040</v>
      </c>
      <c r="L85" s="16">
        <v>87736</v>
      </c>
      <c r="M85" s="18">
        <v>0</v>
      </c>
      <c r="N85" s="19">
        <v>0</v>
      </c>
      <c r="O85" s="20">
        <v>2.74</v>
      </c>
      <c r="P85" s="20">
        <v>2.74</v>
      </c>
      <c r="Q85" s="16" t="e">
        <f>K85/M85</f>
        <v>#DIV/0!</v>
      </c>
      <c r="R85" s="16">
        <f>K85/O85</f>
        <v>19722.627737226278</v>
      </c>
      <c r="S85" s="21">
        <f>K85/O85/43560</f>
        <v>0.45276923180041961</v>
      </c>
      <c r="T85" s="20">
        <v>0</v>
      </c>
      <c r="U85" s="22" t="s">
        <v>33</v>
      </c>
      <c r="V85" s="14" t="s">
        <v>58</v>
      </c>
      <c r="X85" s="14" t="s">
        <v>35</v>
      </c>
      <c r="Y85" s="14">
        <v>0</v>
      </c>
      <c r="Z85" s="14">
        <v>0</v>
      </c>
      <c r="AA85" s="14" t="s">
        <v>106</v>
      </c>
      <c r="AC85" s="24" t="s">
        <v>36</v>
      </c>
    </row>
    <row r="86" spans="1:29" x14ac:dyDescent="0.25">
      <c r="A86" s="14" t="s">
        <v>199</v>
      </c>
      <c r="B86" s="14" t="s">
        <v>200</v>
      </c>
      <c r="C86" s="15">
        <v>45510</v>
      </c>
      <c r="D86" s="16">
        <v>377500</v>
      </c>
      <c r="E86" s="14" t="s">
        <v>31</v>
      </c>
      <c r="F86" s="14" t="s">
        <v>32</v>
      </c>
      <c r="G86" s="16">
        <v>377500</v>
      </c>
      <c r="H86" s="16">
        <v>165700</v>
      </c>
      <c r="I86" s="17">
        <f>H86/G86*100</f>
        <v>43.894039735099341</v>
      </c>
      <c r="J86" s="16">
        <v>381851</v>
      </c>
      <c r="K86" s="16">
        <f>G86-294001</f>
        <v>83499</v>
      </c>
      <c r="L86" s="16">
        <v>87850</v>
      </c>
      <c r="M86" s="18">
        <v>0</v>
      </c>
      <c r="N86" s="19">
        <v>0</v>
      </c>
      <c r="O86" s="20">
        <v>2.75</v>
      </c>
      <c r="P86" s="20">
        <v>2.75</v>
      </c>
      <c r="Q86" s="16" t="e">
        <f>K86/M86</f>
        <v>#DIV/0!</v>
      </c>
      <c r="R86" s="16">
        <f>K86/O86</f>
        <v>30363.272727272728</v>
      </c>
      <c r="S86" s="21">
        <f>K86/O86/43560</f>
        <v>0.6970448284497871</v>
      </c>
      <c r="T86" s="20">
        <v>0</v>
      </c>
      <c r="U86" s="22" t="s">
        <v>33</v>
      </c>
      <c r="V86" s="14" t="s">
        <v>201</v>
      </c>
      <c r="X86" s="14" t="s">
        <v>35</v>
      </c>
      <c r="Y86" s="14">
        <v>0</v>
      </c>
      <c r="Z86" s="14">
        <v>0</v>
      </c>
      <c r="AA86" s="23">
        <v>41844</v>
      </c>
      <c r="AC86" s="24" t="s">
        <v>36</v>
      </c>
    </row>
    <row r="87" spans="1:29" x14ac:dyDescent="0.25">
      <c r="A87" s="14" t="s">
        <v>97</v>
      </c>
      <c r="B87" s="14" t="s">
        <v>98</v>
      </c>
      <c r="C87" s="15">
        <v>45539</v>
      </c>
      <c r="D87" s="16">
        <v>400000</v>
      </c>
      <c r="E87" s="14" t="s">
        <v>31</v>
      </c>
      <c r="F87" s="14" t="s">
        <v>32</v>
      </c>
      <c r="G87" s="16">
        <v>400000</v>
      </c>
      <c r="H87" s="16">
        <v>181100</v>
      </c>
      <c r="I87" s="17">
        <f>H87/G87*100</f>
        <v>45.274999999999999</v>
      </c>
      <c r="J87" s="16">
        <v>397599</v>
      </c>
      <c r="K87" s="16">
        <f>G87-309635</f>
        <v>90365</v>
      </c>
      <c r="L87" s="16">
        <v>87964</v>
      </c>
      <c r="M87" s="18">
        <v>0</v>
      </c>
      <c r="N87" s="19">
        <v>0</v>
      </c>
      <c r="O87" s="20">
        <v>2.76</v>
      </c>
      <c r="P87" s="20">
        <v>2.76</v>
      </c>
      <c r="Q87" s="16" t="e">
        <f>K87/M87</f>
        <v>#DIV/0!</v>
      </c>
      <c r="R87" s="16">
        <f>K87/O87</f>
        <v>32740.942028985512</v>
      </c>
      <c r="S87" s="21">
        <f>K87/O87/43560</f>
        <v>0.75162860488947458</v>
      </c>
      <c r="T87" s="20">
        <v>0</v>
      </c>
      <c r="U87" s="22" t="s">
        <v>33</v>
      </c>
      <c r="V87" s="14" t="s">
        <v>99</v>
      </c>
      <c r="X87" s="14" t="s">
        <v>35</v>
      </c>
      <c r="Y87" s="14">
        <v>0</v>
      </c>
      <c r="Z87" s="14">
        <v>0</v>
      </c>
      <c r="AA87" s="23">
        <v>41507</v>
      </c>
      <c r="AC87" s="24" t="s">
        <v>36</v>
      </c>
    </row>
    <row r="88" spans="1:29" x14ac:dyDescent="0.25">
      <c r="A88" s="14" t="s">
        <v>309</v>
      </c>
      <c r="B88" s="14" t="s">
        <v>310</v>
      </c>
      <c r="C88" s="15">
        <v>45488</v>
      </c>
      <c r="D88" s="16">
        <v>280000</v>
      </c>
      <c r="E88" s="14" t="s">
        <v>31</v>
      </c>
      <c r="F88" s="14" t="s">
        <v>32</v>
      </c>
      <c r="G88" s="16">
        <v>280000</v>
      </c>
      <c r="H88" s="16">
        <v>117100</v>
      </c>
      <c r="I88" s="17">
        <f>H88/G88*100</f>
        <v>41.821428571428569</v>
      </c>
      <c r="J88" s="16">
        <v>256576</v>
      </c>
      <c r="K88" s="16">
        <f>G88-168384</f>
        <v>111616</v>
      </c>
      <c r="L88" s="16">
        <v>88192</v>
      </c>
      <c r="M88" s="18">
        <v>0</v>
      </c>
      <c r="N88" s="19">
        <v>0</v>
      </c>
      <c r="O88" s="20">
        <v>2.78</v>
      </c>
      <c r="P88" s="20">
        <v>2.78</v>
      </c>
      <c r="Q88" s="16" t="e">
        <f>K88/M88</f>
        <v>#DIV/0!</v>
      </c>
      <c r="R88" s="16">
        <f>K88/O88</f>
        <v>40149.640287769784</v>
      </c>
      <c r="S88" s="21">
        <f>K88/O88/43560</f>
        <v>0.92170891386064702</v>
      </c>
      <c r="T88" s="20">
        <v>0</v>
      </c>
      <c r="U88" s="22" t="s">
        <v>33</v>
      </c>
      <c r="V88" s="14" t="s">
        <v>311</v>
      </c>
      <c r="X88" s="14" t="s">
        <v>35</v>
      </c>
      <c r="Y88" s="14">
        <v>0</v>
      </c>
      <c r="Z88" s="14">
        <v>0</v>
      </c>
      <c r="AA88" s="23">
        <v>42492</v>
      </c>
      <c r="AC88" s="24" t="s">
        <v>36</v>
      </c>
    </row>
    <row r="89" spans="1:29" x14ac:dyDescent="0.25">
      <c r="A89" s="14" t="s">
        <v>337</v>
      </c>
      <c r="B89" s="14" t="s">
        <v>338</v>
      </c>
      <c r="C89" s="15">
        <v>45586</v>
      </c>
      <c r="D89" s="16">
        <v>1150000</v>
      </c>
      <c r="E89" s="14" t="s">
        <v>31</v>
      </c>
      <c r="F89" s="14" t="s">
        <v>32</v>
      </c>
      <c r="G89" s="16">
        <v>1150000</v>
      </c>
      <c r="H89" s="16">
        <v>519700</v>
      </c>
      <c r="I89" s="17">
        <f>H89/G89*100</f>
        <v>45.19130434782609</v>
      </c>
      <c r="J89" s="16">
        <v>1149704</v>
      </c>
      <c r="K89" s="16">
        <f>G89-1061398</f>
        <v>88602</v>
      </c>
      <c r="L89" s="16">
        <v>88306</v>
      </c>
      <c r="M89" s="18">
        <v>0</v>
      </c>
      <c r="N89" s="19">
        <v>0</v>
      </c>
      <c r="O89" s="20">
        <v>2.79</v>
      </c>
      <c r="P89" s="20">
        <v>2.79</v>
      </c>
      <c r="Q89" s="16" t="e">
        <f>K89/M89</f>
        <v>#DIV/0!</v>
      </c>
      <c r="R89" s="16">
        <f>K89/O89</f>
        <v>31756.989247311827</v>
      </c>
      <c r="S89" s="21">
        <f>K89/O89/43560</f>
        <v>0.72904015719264981</v>
      </c>
      <c r="T89" s="20">
        <v>0</v>
      </c>
      <c r="U89" s="22" t="s">
        <v>33</v>
      </c>
      <c r="V89" s="14" t="s">
        <v>339</v>
      </c>
      <c r="X89" s="14" t="s">
        <v>35</v>
      </c>
      <c r="Y89" s="14">
        <v>0</v>
      </c>
      <c r="Z89" s="14">
        <v>0</v>
      </c>
      <c r="AA89" s="23">
        <v>44197</v>
      </c>
      <c r="AC89" s="24" t="s">
        <v>36</v>
      </c>
    </row>
    <row r="90" spans="1:29" x14ac:dyDescent="0.25">
      <c r="K90" s="16">
        <f>SUM(K61:K89)</f>
        <v>2699992</v>
      </c>
      <c r="O90" s="20">
        <f>SUM(O61:O89)</f>
        <v>73.212000000000018</v>
      </c>
      <c r="U90" s="22"/>
      <c r="AA90" s="23"/>
      <c r="AC90" s="24"/>
    </row>
    <row r="91" spans="1:29" x14ac:dyDescent="0.25">
      <c r="L91" s="16">
        <f>SUM(K90/O90)*2.5</f>
        <v>92197.727148554855</v>
      </c>
      <c r="U91" s="22"/>
      <c r="AA91" s="23"/>
      <c r="AC91" s="24"/>
    </row>
    <row r="92" spans="1:29" x14ac:dyDescent="0.25">
      <c r="U92" s="22"/>
      <c r="AA92" s="23"/>
      <c r="AC92" s="24"/>
    </row>
    <row r="93" spans="1:29" x14ac:dyDescent="0.25">
      <c r="A93" s="14" t="s">
        <v>438</v>
      </c>
      <c r="B93" s="14" t="s">
        <v>439</v>
      </c>
      <c r="C93" s="15">
        <v>45560</v>
      </c>
      <c r="D93" s="16">
        <v>860000</v>
      </c>
      <c r="E93" s="14" t="s">
        <v>31</v>
      </c>
      <c r="F93" s="14" t="s">
        <v>32</v>
      </c>
      <c r="G93" s="16">
        <v>860000</v>
      </c>
      <c r="H93" s="16">
        <v>380600</v>
      </c>
      <c r="I93" s="17">
        <f>H93/G93*100</f>
        <v>44.255813953488371</v>
      </c>
      <c r="J93" s="16">
        <v>841516</v>
      </c>
      <c r="K93" s="16">
        <f>G93-752754</f>
        <v>107246</v>
      </c>
      <c r="L93" s="16">
        <v>88762</v>
      </c>
      <c r="M93" s="18">
        <v>0</v>
      </c>
      <c r="N93" s="19">
        <v>0</v>
      </c>
      <c r="O93" s="20">
        <v>2.83</v>
      </c>
      <c r="P93" s="20">
        <v>2.83</v>
      </c>
      <c r="Q93" s="16" t="e">
        <f>K93/M93</f>
        <v>#DIV/0!</v>
      </c>
      <c r="R93" s="16">
        <f>K93/O93</f>
        <v>37896.113074204943</v>
      </c>
      <c r="S93" s="21">
        <f>K93/O93/43560</f>
        <v>0.86997504761719335</v>
      </c>
      <c r="T93" s="20">
        <v>0</v>
      </c>
      <c r="U93" s="22" t="s">
        <v>33</v>
      </c>
      <c r="V93" s="14" t="s">
        <v>440</v>
      </c>
      <c r="X93" s="14" t="s">
        <v>35</v>
      </c>
      <c r="Y93" s="14">
        <v>0</v>
      </c>
      <c r="Z93" s="14">
        <v>1</v>
      </c>
      <c r="AA93" s="23">
        <v>43089</v>
      </c>
      <c r="AC93" s="24" t="s">
        <v>36</v>
      </c>
    </row>
    <row r="94" spans="1:29" x14ac:dyDescent="0.25">
      <c r="A94" s="14" t="s">
        <v>297</v>
      </c>
      <c r="B94" s="14" t="s">
        <v>298</v>
      </c>
      <c r="C94" s="15">
        <v>45709</v>
      </c>
      <c r="D94" s="16">
        <v>795000</v>
      </c>
      <c r="E94" s="14" t="s">
        <v>31</v>
      </c>
      <c r="F94" s="14" t="s">
        <v>32</v>
      </c>
      <c r="G94" s="16">
        <v>795000</v>
      </c>
      <c r="H94" s="16">
        <v>276900</v>
      </c>
      <c r="I94" s="17">
        <f>H94/G94*100</f>
        <v>34.830188679245282</v>
      </c>
      <c r="J94" s="16">
        <v>794928</v>
      </c>
      <c r="K94" s="16">
        <f>G94-706052</f>
        <v>88948</v>
      </c>
      <c r="L94" s="16">
        <v>88876</v>
      </c>
      <c r="M94" s="18">
        <v>0</v>
      </c>
      <c r="N94" s="19">
        <v>0</v>
      </c>
      <c r="O94" s="20">
        <v>2.84</v>
      </c>
      <c r="P94" s="20">
        <v>2.84</v>
      </c>
      <c r="Q94" s="16" t="e">
        <f>K94/M94</f>
        <v>#DIV/0!</v>
      </c>
      <c r="R94" s="16">
        <f>K94/O94</f>
        <v>31319.718309859156</v>
      </c>
      <c r="S94" s="21">
        <f>K94/O94/43560</f>
        <v>0.71900179774699624</v>
      </c>
      <c r="T94" s="20">
        <v>0</v>
      </c>
      <c r="U94" s="22" t="s">
        <v>33</v>
      </c>
      <c r="V94" s="14" t="s">
        <v>299</v>
      </c>
      <c r="X94" s="14" t="s">
        <v>35</v>
      </c>
      <c r="Y94" s="14">
        <v>1</v>
      </c>
      <c r="Z94" s="14">
        <v>0</v>
      </c>
      <c r="AA94" s="23">
        <v>42481</v>
      </c>
      <c r="AC94" s="24" t="s">
        <v>36</v>
      </c>
    </row>
    <row r="95" spans="1:29" x14ac:dyDescent="0.25">
      <c r="A95" s="14" t="s">
        <v>158</v>
      </c>
      <c r="B95" s="14" t="s">
        <v>159</v>
      </c>
      <c r="C95" s="15">
        <v>45632</v>
      </c>
      <c r="D95" s="16">
        <v>615000</v>
      </c>
      <c r="E95" s="14" t="s">
        <v>31</v>
      </c>
      <c r="F95" s="14" t="s">
        <v>32</v>
      </c>
      <c r="G95" s="16">
        <v>615000</v>
      </c>
      <c r="H95" s="16">
        <v>302600</v>
      </c>
      <c r="I95" s="17">
        <f>H95/G95*100</f>
        <v>49.203252032520325</v>
      </c>
      <c r="J95" s="16">
        <v>666759</v>
      </c>
      <c r="K95" s="16">
        <f>G95-577769</f>
        <v>37231</v>
      </c>
      <c r="L95" s="16">
        <v>88990</v>
      </c>
      <c r="M95" s="18">
        <v>0</v>
      </c>
      <c r="N95" s="19">
        <v>0</v>
      </c>
      <c r="O95" s="20">
        <v>2.85</v>
      </c>
      <c r="P95" s="20">
        <v>2.85</v>
      </c>
      <c r="Q95" s="16" t="e">
        <f>K95/M95</f>
        <v>#DIV/0!</v>
      </c>
      <c r="R95" s="16">
        <f>K95/O95</f>
        <v>13063.508771929824</v>
      </c>
      <c r="S95" s="21">
        <f>K95/O95/43560</f>
        <v>0.29989689559067551</v>
      </c>
      <c r="T95" s="20">
        <v>0</v>
      </c>
      <c r="U95" s="22" t="s">
        <v>33</v>
      </c>
      <c r="V95" s="14" t="s">
        <v>160</v>
      </c>
      <c r="X95" s="14" t="s">
        <v>35</v>
      </c>
      <c r="Y95" s="14">
        <v>0</v>
      </c>
      <c r="Z95" s="14">
        <v>1</v>
      </c>
      <c r="AA95" s="23">
        <v>40807</v>
      </c>
      <c r="AC95" s="24" t="s">
        <v>36</v>
      </c>
    </row>
    <row r="96" spans="1:29" x14ac:dyDescent="0.25">
      <c r="A96" s="14" t="s">
        <v>193</v>
      </c>
      <c r="B96" s="14" t="s">
        <v>194</v>
      </c>
      <c r="C96" s="15">
        <v>45679</v>
      </c>
      <c r="D96" s="16">
        <v>670000</v>
      </c>
      <c r="E96" s="14" t="s">
        <v>31</v>
      </c>
      <c r="F96" s="14" t="s">
        <v>32</v>
      </c>
      <c r="G96" s="16">
        <v>670000</v>
      </c>
      <c r="H96" s="16">
        <v>349100</v>
      </c>
      <c r="I96" s="17">
        <f>H96/G96*100</f>
        <v>52.104477611940304</v>
      </c>
      <c r="J96" s="16">
        <v>674837</v>
      </c>
      <c r="K96" s="16">
        <f>G96-584821</f>
        <v>85179</v>
      </c>
      <c r="L96" s="16">
        <v>90016</v>
      </c>
      <c r="M96" s="18">
        <v>0</v>
      </c>
      <c r="N96" s="19">
        <v>0</v>
      </c>
      <c r="O96" s="20">
        <v>2.94</v>
      </c>
      <c r="P96" s="20">
        <v>2.94</v>
      </c>
      <c r="Q96" s="16" t="e">
        <f>K96/M96</f>
        <v>#DIV/0!</v>
      </c>
      <c r="R96" s="16">
        <f>K96/O96</f>
        <v>28972.448979591838</v>
      </c>
      <c r="S96" s="21">
        <f>K96/O96/43560</f>
        <v>0.66511590862240211</v>
      </c>
      <c r="T96" s="20">
        <v>0</v>
      </c>
      <c r="U96" s="22" t="s">
        <v>33</v>
      </c>
      <c r="V96" s="14" t="s">
        <v>195</v>
      </c>
      <c r="X96" s="14" t="s">
        <v>35</v>
      </c>
      <c r="Y96" s="14">
        <v>0</v>
      </c>
      <c r="Z96" s="14">
        <v>0</v>
      </c>
      <c r="AA96" s="14" t="s">
        <v>106</v>
      </c>
      <c r="AC96" s="24" t="s">
        <v>36</v>
      </c>
    </row>
    <row r="97" spans="1:29" x14ac:dyDescent="0.25">
      <c r="A97" s="14" t="s">
        <v>426</v>
      </c>
      <c r="B97" s="14" t="s">
        <v>427</v>
      </c>
      <c r="C97" s="15">
        <v>45471</v>
      </c>
      <c r="D97" s="16">
        <v>245000</v>
      </c>
      <c r="E97" s="14" t="s">
        <v>31</v>
      </c>
      <c r="F97" s="14" t="s">
        <v>32</v>
      </c>
      <c r="G97" s="16">
        <v>245000</v>
      </c>
      <c r="H97" s="16">
        <v>118800</v>
      </c>
      <c r="I97" s="17">
        <f>H97/G97*100</f>
        <v>48.489795918367342</v>
      </c>
      <c r="J97" s="16">
        <v>261988</v>
      </c>
      <c r="K97" s="16">
        <f>G97-171630</f>
        <v>73370</v>
      </c>
      <c r="L97" s="16">
        <v>90358</v>
      </c>
      <c r="M97" s="18">
        <v>0</v>
      </c>
      <c r="N97" s="19">
        <v>0</v>
      </c>
      <c r="O97" s="20">
        <v>2.97</v>
      </c>
      <c r="P97" s="20">
        <v>2.97</v>
      </c>
      <c r="Q97" s="16" t="e">
        <f>K97/M97</f>
        <v>#DIV/0!</v>
      </c>
      <c r="R97" s="16">
        <f>K97/O97</f>
        <v>24703.703703703701</v>
      </c>
      <c r="S97" s="21">
        <f>K97/O97/43560</f>
        <v>0.56711900146243577</v>
      </c>
      <c r="T97" s="20">
        <v>0</v>
      </c>
      <c r="U97" s="22" t="s">
        <v>33</v>
      </c>
      <c r="V97" s="14" t="s">
        <v>428</v>
      </c>
      <c r="X97" s="14" t="s">
        <v>35</v>
      </c>
      <c r="Y97" s="14">
        <v>0</v>
      </c>
      <c r="Z97" s="14">
        <v>0</v>
      </c>
      <c r="AA97" s="14" t="s">
        <v>106</v>
      </c>
      <c r="AC97" s="24" t="s">
        <v>36</v>
      </c>
    </row>
    <row r="98" spans="1:29" x14ac:dyDescent="0.25">
      <c r="A98" s="14" t="s">
        <v>241</v>
      </c>
      <c r="B98" s="14" t="s">
        <v>242</v>
      </c>
      <c r="C98" s="15">
        <v>45513</v>
      </c>
      <c r="D98" s="16">
        <v>465000</v>
      </c>
      <c r="E98" s="14" t="s">
        <v>31</v>
      </c>
      <c r="F98" s="14" t="s">
        <v>32</v>
      </c>
      <c r="G98" s="16">
        <v>465000</v>
      </c>
      <c r="H98" s="16">
        <v>171000</v>
      </c>
      <c r="I98" s="17">
        <f>H98/G98*100</f>
        <v>36.774193548387096</v>
      </c>
      <c r="J98" s="16">
        <v>393742</v>
      </c>
      <c r="K98" s="16">
        <f>G98-303042</f>
        <v>161958</v>
      </c>
      <c r="L98" s="16">
        <v>90700</v>
      </c>
      <c r="M98" s="18">
        <v>0</v>
      </c>
      <c r="N98" s="19">
        <v>0</v>
      </c>
      <c r="O98" s="20">
        <v>3</v>
      </c>
      <c r="P98" s="20">
        <v>3</v>
      </c>
      <c r="Q98" s="16" t="e">
        <f>K98/M98</f>
        <v>#DIV/0!</v>
      </c>
      <c r="R98" s="16">
        <f>K98/O98</f>
        <v>53986</v>
      </c>
      <c r="S98" s="21">
        <f>K98/O98/43560</f>
        <v>1.239348025711662</v>
      </c>
      <c r="T98" s="20">
        <v>0</v>
      </c>
      <c r="U98" s="22" t="s">
        <v>33</v>
      </c>
      <c r="V98" s="14" t="s">
        <v>243</v>
      </c>
      <c r="X98" s="14" t="s">
        <v>35</v>
      </c>
      <c r="Y98" s="14">
        <v>0</v>
      </c>
      <c r="Z98" s="14">
        <v>0</v>
      </c>
      <c r="AA98" s="23">
        <v>44565</v>
      </c>
      <c r="AC98" s="24" t="s">
        <v>36</v>
      </c>
    </row>
    <row r="99" spans="1:29" x14ac:dyDescent="0.25">
      <c r="A99" s="14" t="s">
        <v>260</v>
      </c>
      <c r="B99" s="14" t="s">
        <v>261</v>
      </c>
      <c r="C99" s="15">
        <v>45301</v>
      </c>
      <c r="D99" s="16">
        <v>352000</v>
      </c>
      <c r="E99" s="14" t="s">
        <v>31</v>
      </c>
      <c r="F99" s="14" t="s">
        <v>32</v>
      </c>
      <c r="G99" s="16">
        <v>352000</v>
      </c>
      <c r="H99" s="16">
        <v>166300</v>
      </c>
      <c r="I99" s="17">
        <f>H99/G99*100</f>
        <v>47.244318181818187</v>
      </c>
      <c r="J99" s="16">
        <v>375715</v>
      </c>
      <c r="K99" s="16">
        <f>G99-285015</f>
        <v>66985</v>
      </c>
      <c r="L99" s="16">
        <v>90700</v>
      </c>
      <c r="M99" s="18">
        <v>0</v>
      </c>
      <c r="N99" s="19">
        <v>0</v>
      </c>
      <c r="O99" s="20">
        <v>3</v>
      </c>
      <c r="P99" s="20">
        <v>3</v>
      </c>
      <c r="Q99" s="16" t="e">
        <f>K99/M99</f>
        <v>#DIV/0!</v>
      </c>
      <c r="R99" s="16">
        <f>K99/O99</f>
        <v>22328.333333333332</v>
      </c>
      <c r="S99" s="21">
        <f>K99/O99/43560</f>
        <v>0.51258800122436488</v>
      </c>
      <c r="T99" s="20">
        <v>0</v>
      </c>
      <c r="U99" s="22" t="s">
        <v>33</v>
      </c>
      <c r="V99" s="14" t="s">
        <v>262</v>
      </c>
      <c r="X99" s="14" t="s">
        <v>35</v>
      </c>
      <c r="Y99" s="14">
        <v>0</v>
      </c>
      <c r="Z99" s="14">
        <v>0</v>
      </c>
      <c r="AA99" s="23">
        <v>43445</v>
      </c>
      <c r="AC99" s="24" t="s">
        <v>36</v>
      </c>
    </row>
    <row r="100" spans="1:29" x14ac:dyDescent="0.25">
      <c r="A100" s="14" t="s">
        <v>370</v>
      </c>
      <c r="B100" s="14" t="s">
        <v>371</v>
      </c>
      <c r="C100" s="15">
        <v>45405</v>
      </c>
      <c r="D100" s="16">
        <v>510000</v>
      </c>
      <c r="E100" s="14" t="s">
        <v>31</v>
      </c>
      <c r="F100" s="14" t="s">
        <v>32</v>
      </c>
      <c r="G100" s="16">
        <v>510000</v>
      </c>
      <c r="H100" s="16">
        <v>228200</v>
      </c>
      <c r="I100" s="17">
        <f>H100/G100*100</f>
        <v>44.745098039215684</v>
      </c>
      <c r="J100" s="16">
        <v>500896</v>
      </c>
      <c r="K100" s="16">
        <f>G100-410196</f>
        <v>99804</v>
      </c>
      <c r="L100" s="16">
        <v>90700</v>
      </c>
      <c r="M100" s="18">
        <v>0</v>
      </c>
      <c r="N100" s="19">
        <v>0</v>
      </c>
      <c r="O100" s="20">
        <v>3</v>
      </c>
      <c r="P100" s="20">
        <v>3</v>
      </c>
      <c r="Q100" s="16" t="e">
        <f>K100/M100</f>
        <v>#DIV/0!</v>
      </c>
      <c r="R100" s="16">
        <f>K100/O100</f>
        <v>33268</v>
      </c>
      <c r="S100" s="21">
        <f>K100/O100/43560</f>
        <v>0.76372819100091827</v>
      </c>
      <c r="T100" s="20">
        <v>0</v>
      </c>
      <c r="U100" s="22" t="s">
        <v>33</v>
      </c>
      <c r="V100" s="14" t="s">
        <v>372</v>
      </c>
      <c r="X100" s="14" t="s">
        <v>35</v>
      </c>
      <c r="Y100" s="14">
        <v>0</v>
      </c>
      <c r="Z100" s="14">
        <v>1</v>
      </c>
      <c r="AA100" s="23">
        <v>41039</v>
      </c>
      <c r="AC100" s="24" t="s">
        <v>36</v>
      </c>
    </row>
    <row r="101" spans="1:29" x14ac:dyDescent="0.25">
      <c r="A101" s="14" t="s">
        <v>220</v>
      </c>
      <c r="B101" s="14" t="s">
        <v>221</v>
      </c>
      <c r="C101" s="15">
        <v>45489</v>
      </c>
      <c r="D101" s="16">
        <v>113672</v>
      </c>
      <c r="E101" s="14" t="s">
        <v>31</v>
      </c>
      <c r="F101" s="14" t="s">
        <v>32</v>
      </c>
      <c r="G101" s="16">
        <v>113672</v>
      </c>
      <c r="H101" s="16">
        <v>41800</v>
      </c>
      <c r="I101" s="17">
        <f>H101/G101*100</f>
        <v>36.772468153986907</v>
      </c>
      <c r="J101" s="16">
        <v>98057</v>
      </c>
      <c r="K101" s="16">
        <f>G101-0</f>
        <v>113672</v>
      </c>
      <c r="L101" s="16">
        <v>91210</v>
      </c>
      <c r="M101" s="18">
        <v>0</v>
      </c>
      <c r="N101" s="19">
        <v>0</v>
      </c>
      <c r="O101" s="20">
        <v>3.03</v>
      </c>
      <c r="P101" s="20">
        <v>3.03</v>
      </c>
      <c r="Q101" s="16" t="e">
        <f>K101/M101</f>
        <v>#DIV/0!</v>
      </c>
      <c r="R101" s="16">
        <f>K101/O101</f>
        <v>37515.511551155119</v>
      </c>
      <c r="S101" s="21">
        <f>K101/O101/43560</f>
        <v>0.86123763891540683</v>
      </c>
      <c r="T101" s="20">
        <v>0</v>
      </c>
      <c r="U101" s="22" t="s">
        <v>33</v>
      </c>
      <c r="V101" s="14" t="s">
        <v>222</v>
      </c>
      <c r="X101" s="14" t="s">
        <v>35</v>
      </c>
      <c r="Y101" s="14">
        <v>0</v>
      </c>
      <c r="Z101" s="14">
        <v>0</v>
      </c>
      <c r="AA101" s="23">
        <v>45611</v>
      </c>
      <c r="AC101" s="24" t="s">
        <v>36</v>
      </c>
    </row>
    <row r="102" spans="1:29" x14ac:dyDescent="0.25">
      <c r="A102" s="14" t="s">
        <v>220</v>
      </c>
      <c r="B102" s="14" t="s">
        <v>221</v>
      </c>
      <c r="C102" s="15">
        <v>45133</v>
      </c>
      <c r="D102" s="16">
        <v>106000</v>
      </c>
      <c r="E102" s="14" t="s">
        <v>31</v>
      </c>
      <c r="F102" s="14" t="s">
        <v>32</v>
      </c>
      <c r="G102" s="16">
        <v>106000</v>
      </c>
      <c r="H102" s="16">
        <v>40200</v>
      </c>
      <c r="I102" s="17">
        <f>H102/G102*100</f>
        <v>37.924528301886795</v>
      </c>
      <c r="J102" s="16">
        <v>98057</v>
      </c>
      <c r="K102" s="16">
        <f>G102-0</f>
        <v>106000</v>
      </c>
      <c r="L102" s="16">
        <v>91210</v>
      </c>
      <c r="M102" s="18">
        <v>0</v>
      </c>
      <c r="N102" s="19">
        <v>0</v>
      </c>
      <c r="O102" s="20">
        <v>3.03</v>
      </c>
      <c r="P102" s="20">
        <v>3.03</v>
      </c>
      <c r="Q102" s="16" t="e">
        <f>K102/M102</f>
        <v>#DIV/0!</v>
      </c>
      <c r="R102" s="16">
        <f>K102/O102</f>
        <v>34983.498349834983</v>
      </c>
      <c r="S102" s="21">
        <f>K102/O102/43560</f>
        <v>0.80311061409171214</v>
      </c>
      <c r="T102" s="20">
        <v>0</v>
      </c>
      <c r="U102" s="22" t="s">
        <v>33</v>
      </c>
      <c r="V102" s="14" t="s">
        <v>223</v>
      </c>
      <c r="X102" s="14" t="s">
        <v>35</v>
      </c>
      <c r="Y102" s="14">
        <v>0</v>
      </c>
      <c r="Z102" s="14">
        <v>0</v>
      </c>
      <c r="AA102" s="23">
        <v>45611</v>
      </c>
      <c r="AC102" s="24" t="s">
        <v>36</v>
      </c>
    </row>
    <row r="103" spans="1:29" x14ac:dyDescent="0.25">
      <c r="A103" s="14" t="s">
        <v>432</v>
      </c>
      <c r="B103" s="14" t="s">
        <v>433</v>
      </c>
      <c r="C103" s="15">
        <v>45463</v>
      </c>
      <c r="D103" s="16">
        <v>800000</v>
      </c>
      <c r="E103" s="14" t="s">
        <v>31</v>
      </c>
      <c r="F103" s="14" t="s">
        <v>32</v>
      </c>
      <c r="G103" s="16">
        <v>800000</v>
      </c>
      <c r="H103" s="16">
        <v>389100</v>
      </c>
      <c r="I103" s="17">
        <f>H103/G103*100</f>
        <v>48.637500000000003</v>
      </c>
      <c r="J103" s="16">
        <v>851852</v>
      </c>
      <c r="K103" s="16">
        <f>G103-760642</f>
        <v>39358</v>
      </c>
      <c r="L103" s="16">
        <v>91210</v>
      </c>
      <c r="M103" s="18">
        <v>0</v>
      </c>
      <c r="N103" s="19">
        <v>0</v>
      </c>
      <c r="O103" s="20">
        <v>3.03</v>
      </c>
      <c r="P103" s="20">
        <v>3.03</v>
      </c>
      <c r="Q103" s="16" t="e">
        <f>K103/M103</f>
        <v>#DIV/0!</v>
      </c>
      <c r="R103" s="16">
        <f>K103/O103</f>
        <v>12989.438943894391</v>
      </c>
      <c r="S103" s="21">
        <f>K103/O103/43560</f>
        <v>0.29819648631529821</v>
      </c>
      <c r="T103" s="20">
        <v>0</v>
      </c>
      <c r="U103" s="22" t="s">
        <v>33</v>
      </c>
      <c r="V103" s="14" t="s">
        <v>434</v>
      </c>
      <c r="X103" s="14" t="s">
        <v>35</v>
      </c>
      <c r="Y103" s="14">
        <v>0</v>
      </c>
      <c r="Z103" s="14">
        <v>0</v>
      </c>
      <c r="AA103" s="23">
        <v>43238</v>
      </c>
      <c r="AC103" s="24" t="s">
        <v>36</v>
      </c>
    </row>
    <row r="104" spans="1:29" x14ac:dyDescent="0.25">
      <c r="A104" s="14" t="s">
        <v>254</v>
      </c>
      <c r="B104" s="14" t="s">
        <v>255</v>
      </c>
      <c r="C104" s="15">
        <v>45294</v>
      </c>
      <c r="D104" s="16">
        <v>375000</v>
      </c>
      <c r="E104" s="14" t="s">
        <v>31</v>
      </c>
      <c r="F104" s="14" t="s">
        <v>32</v>
      </c>
      <c r="G104" s="16">
        <v>375000</v>
      </c>
      <c r="H104" s="16">
        <v>163200</v>
      </c>
      <c r="I104" s="17">
        <f>H104/G104*100</f>
        <v>43.519999999999996</v>
      </c>
      <c r="J104" s="16">
        <v>422831</v>
      </c>
      <c r="K104" s="16">
        <f>G104-329071</f>
        <v>45929</v>
      </c>
      <c r="L104" s="16">
        <v>93760</v>
      </c>
      <c r="M104" s="18">
        <v>0</v>
      </c>
      <c r="N104" s="19">
        <v>0</v>
      </c>
      <c r="O104" s="20">
        <v>3.18</v>
      </c>
      <c r="P104" s="20">
        <v>3.18</v>
      </c>
      <c r="Q104" s="16" t="e">
        <f>K104/M104</f>
        <v>#DIV/0!</v>
      </c>
      <c r="R104" s="16">
        <f>K104/O104</f>
        <v>14443.081761006288</v>
      </c>
      <c r="S104" s="21">
        <f>K104/O104/43560</f>
        <v>0.33156753354008928</v>
      </c>
      <c r="T104" s="20">
        <v>0</v>
      </c>
      <c r="U104" s="22" t="s">
        <v>33</v>
      </c>
      <c r="V104" s="14" t="s">
        <v>256</v>
      </c>
      <c r="X104" s="14" t="s">
        <v>35</v>
      </c>
      <c r="Y104" s="14">
        <v>0</v>
      </c>
      <c r="Z104" s="14">
        <v>0</v>
      </c>
      <c r="AA104" s="23">
        <v>42138</v>
      </c>
      <c r="AC104" s="24" t="s">
        <v>36</v>
      </c>
    </row>
    <row r="105" spans="1:29" x14ac:dyDescent="0.25">
      <c r="A105" s="14" t="s">
        <v>343</v>
      </c>
      <c r="B105" s="14" t="s">
        <v>344</v>
      </c>
      <c r="C105" s="15">
        <v>45387</v>
      </c>
      <c r="D105" s="16">
        <v>584000</v>
      </c>
      <c r="E105" s="14" t="s">
        <v>31</v>
      </c>
      <c r="F105" s="14" t="s">
        <v>32</v>
      </c>
      <c r="G105" s="16">
        <v>584000</v>
      </c>
      <c r="H105" s="16">
        <v>242800</v>
      </c>
      <c r="I105" s="17">
        <f>H105/G105*100</f>
        <v>41.575342465753423</v>
      </c>
      <c r="J105" s="16">
        <v>532639</v>
      </c>
      <c r="K105" s="16">
        <f>G105-437349</f>
        <v>146651</v>
      </c>
      <c r="L105" s="16">
        <v>95290</v>
      </c>
      <c r="M105" s="18">
        <v>0</v>
      </c>
      <c r="N105" s="19">
        <v>0</v>
      </c>
      <c r="O105" s="20">
        <v>3.27</v>
      </c>
      <c r="P105" s="20">
        <v>3.27</v>
      </c>
      <c r="Q105" s="16" t="e">
        <f>K105/M105</f>
        <v>#DIV/0!</v>
      </c>
      <c r="R105" s="16">
        <f>K105/O105</f>
        <v>44847.400611620797</v>
      </c>
      <c r="S105" s="21">
        <f>K105/O105/43560</f>
        <v>1.0295546513227916</v>
      </c>
      <c r="T105" s="20">
        <v>0</v>
      </c>
      <c r="U105" s="22" t="s">
        <v>33</v>
      </c>
      <c r="V105" s="14" t="s">
        <v>345</v>
      </c>
      <c r="X105" s="14" t="s">
        <v>35</v>
      </c>
      <c r="Y105" s="14">
        <v>0</v>
      </c>
      <c r="Z105" s="14">
        <v>0</v>
      </c>
      <c r="AA105" s="14" t="s">
        <v>106</v>
      </c>
      <c r="AC105" s="24" t="s">
        <v>36</v>
      </c>
    </row>
    <row r="106" spans="1:29" x14ac:dyDescent="0.25">
      <c r="A106" s="14" t="s">
        <v>417</v>
      </c>
      <c r="B106" s="14" t="s">
        <v>418</v>
      </c>
      <c r="C106" s="15">
        <v>45211</v>
      </c>
      <c r="D106" s="16">
        <v>355000</v>
      </c>
      <c r="E106" s="14" t="s">
        <v>31</v>
      </c>
      <c r="F106" s="14" t="s">
        <v>32</v>
      </c>
      <c r="G106" s="16">
        <v>355000</v>
      </c>
      <c r="H106" s="16">
        <v>125600</v>
      </c>
      <c r="I106" s="17">
        <f>H106/G106*100</f>
        <v>35.380281690140848</v>
      </c>
      <c r="J106" s="16">
        <v>319758</v>
      </c>
      <c r="K106" s="16">
        <f>G106-222768</f>
        <v>132232</v>
      </c>
      <c r="L106" s="16">
        <v>96990</v>
      </c>
      <c r="M106" s="18">
        <v>0</v>
      </c>
      <c r="N106" s="19">
        <v>0</v>
      </c>
      <c r="O106" s="20">
        <v>3.37</v>
      </c>
      <c r="P106" s="20">
        <v>3.37</v>
      </c>
      <c r="Q106" s="16" t="e">
        <f>K106/M106</f>
        <v>#DIV/0!</v>
      </c>
      <c r="R106" s="16">
        <f>K106/O106</f>
        <v>39237.982195845696</v>
      </c>
      <c r="S106" s="21">
        <f>K106/O106/43560</f>
        <v>0.90078012387157247</v>
      </c>
      <c r="T106" s="20">
        <v>0</v>
      </c>
      <c r="U106" s="22" t="s">
        <v>33</v>
      </c>
      <c r="V106" s="14" t="s">
        <v>419</v>
      </c>
      <c r="X106" s="14" t="s">
        <v>35</v>
      </c>
      <c r="Y106" s="14">
        <v>0</v>
      </c>
      <c r="Z106" s="14">
        <v>0</v>
      </c>
      <c r="AA106" s="23">
        <v>42870</v>
      </c>
      <c r="AC106" s="24" t="s">
        <v>36</v>
      </c>
    </row>
    <row r="107" spans="1:29" x14ac:dyDescent="0.25">
      <c r="A107" s="14" t="s">
        <v>278</v>
      </c>
      <c r="B107" s="14" t="s">
        <v>279</v>
      </c>
      <c r="C107" s="15">
        <v>45586</v>
      </c>
      <c r="D107" s="16">
        <v>380000</v>
      </c>
      <c r="E107" s="14" t="s">
        <v>31</v>
      </c>
      <c r="F107" s="14" t="s">
        <v>32</v>
      </c>
      <c r="G107" s="16">
        <v>380000</v>
      </c>
      <c r="H107" s="16">
        <v>200500</v>
      </c>
      <c r="I107" s="17">
        <f>H107/G107*100</f>
        <v>52.763157894736842</v>
      </c>
      <c r="J107" s="16">
        <v>442461</v>
      </c>
      <c r="K107" s="16">
        <f>G107-345131</f>
        <v>34869</v>
      </c>
      <c r="L107" s="16">
        <v>97330</v>
      </c>
      <c r="M107" s="18">
        <v>0</v>
      </c>
      <c r="N107" s="19">
        <v>0</v>
      </c>
      <c r="O107" s="20">
        <v>3.39</v>
      </c>
      <c r="P107" s="20">
        <v>3.39</v>
      </c>
      <c r="Q107" s="16" t="e">
        <f>K107/M107</f>
        <v>#DIV/0!</v>
      </c>
      <c r="R107" s="16">
        <f>K107/O107</f>
        <v>10285.840707964602</v>
      </c>
      <c r="S107" s="21">
        <f>K107/O107/43560</f>
        <v>0.23613041111029848</v>
      </c>
      <c r="T107" s="20">
        <v>0</v>
      </c>
      <c r="U107" s="22" t="s">
        <v>33</v>
      </c>
      <c r="V107" s="14" t="s">
        <v>280</v>
      </c>
      <c r="X107" s="14" t="s">
        <v>35</v>
      </c>
      <c r="Y107" s="14">
        <v>0</v>
      </c>
      <c r="Z107" s="14">
        <v>0</v>
      </c>
      <c r="AA107" s="14" t="s">
        <v>106</v>
      </c>
      <c r="AC107" s="24" t="s">
        <v>36</v>
      </c>
    </row>
    <row r="108" spans="1:29" x14ac:dyDescent="0.25">
      <c r="A108" s="14" t="s">
        <v>325</v>
      </c>
      <c r="B108" s="14" t="s">
        <v>326</v>
      </c>
      <c r="C108" s="15">
        <v>45420</v>
      </c>
      <c r="D108" s="16">
        <v>408000</v>
      </c>
      <c r="E108" s="14" t="s">
        <v>31</v>
      </c>
      <c r="F108" s="14" t="s">
        <v>32</v>
      </c>
      <c r="G108" s="16">
        <v>408000</v>
      </c>
      <c r="H108" s="16">
        <v>212500</v>
      </c>
      <c r="I108" s="17">
        <f>H108/G108*100</f>
        <v>52.083333333333336</v>
      </c>
      <c r="J108" s="16">
        <v>463547</v>
      </c>
      <c r="K108" s="16">
        <f>G108-366047</f>
        <v>41953</v>
      </c>
      <c r="L108" s="16">
        <v>97500</v>
      </c>
      <c r="M108" s="18">
        <v>0</v>
      </c>
      <c r="N108" s="19">
        <v>0</v>
      </c>
      <c r="O108" s="20">
        <v>3.4</v>
      </c>
      <c r="P108" s="20">
        <v>3.4</v>
      </c>
      <c r="Q108" s="16" t="e">
        <f>K108/M108</f>
        <v>#DIV/0!</v>
      </c>
      <c r="R108" s="16">
        <f>K108/O108</f>
        <v>12339.117647058823</v>
      </c>
      <c r="S108" s="21">
        <f>K108/O108/43560</f>
        <v>0.28326716361475718</v>
      </c>
      <c r="T108" s="20">
        <v>0</v>
      </c>
      <c r="U108" s="22" t="s">
        <v>33</v>
      </c>
      <c r="V108" s="14" t="s">
        <v>327</v>
      </c>
      <c r="X108" s="14" t="s">
        <v>35</v>
      </c>
      <c r="Y108" s="14">
        <v>0</v>
      </c>
      <c r="Z108" s="14">
        <v>0</v>
      </c>
      <c r="AA108" s="23">
        <v>42514</v>
      </c>
      <c r="AC108" s="24" t="s">
        <v>36</v>
      </c>
    </row>
    <row r="109" spans="1:29" x14ac:dyDescent="0.25">
      <c r="A109" s="14" t="s">
        <v>275</v>
      </c>
      <c r="B109" s="14" t="s">
        <v>276</v>
      </c>
      <c r="C109" s="15">
        <v>45037</v>
      </c>
      <c r="D109" s="16">
        <v>125000</v>
      </c>
      <c r="E109" s="14" t="s">
        <v>31</v>
      </c>
      <c r="F109" s="14" t="s">
        <v>32</v>
      </c>
      <c r="G109" s="16">
        <v>125000</v>
      </c>
      <c r="H109" s="16">
        <v>43100</v>
      </c>
      <c r="I109" s="17">
        <f>H109/G109*100</f>
        <v>34.479999999999997</v>
      </c>
      <c r="J109" s="16">
        <v>97670</v>
      </c>
      <c r="K109" s="16">
        <f>G109-0</f>
        <v>125000</v>
      </c>
      <c r="L109" s="16">
        <v>97670</v>
      </c>
      <c r="M109" s="18">
        <v>0</v>
      </c>
      <c r="N109" s="19">
        <v>0</v>
      </c>
      <c r="O109" s="20">
        <v>3.41</v>
      </c>
      <c r="P109" s="20">
        <v>3.41</v>
      </c>
      <c r="Q109" s="16" t="e">
        <f>K109/M109</f>
        <v>#DIV/0!</v>
      </c>
      <c r="R109" s="16">
        <f>K109/O109</f>
        <v>36656.891495601172</v>
      </c>
      <c r="S109" s="21">
        <f>K109/O109/43560</f>
        <v>0.84152643470158794</v>
      </c>
      <c r="T109" s="20">
        <v>0</v>
      </c>
      <c r="U109" s="22" t="s">
        <v>33</v>
      </c>
      <c r="V109" s="14" t="s">
        <v>277</v>
      </c>
      <c r="X109" s="14" t="s">
        <v>35</v>
      </c>
      <c r="Y109" s="14">
        <v>0</v>
      </c>
      <c r="Z109" s="14">
        <v>0</v>
      </c>
      <c r="AA109" s="14" t="s">
        <v>106</v>
      </c>
      <c r="AC109" s="24" t="s">
        <v>71</v>
      </c>
    </row>
    <row r="110" spans="1:29" x14ac:dyDescent="0.25">
      <c r="A110" s="14" t="s">
        <v>294</v>
      </c>
      <c r="B110" s="14" t="s">
        <v>295</v>
      </c>
      <c r="C110" s="15">
        <v>45622</v>
      </c>
      <c r="D110" s="16">
        <v>569000</v>
      </c>
      <c r="E110" s="14" t="s">
        <v>31</v>
      </c>
      <c r="F110" s="14" t="s">
        <v>32</v>
      </c>
      <c r="G110" s="16">
        <v>569000</v>
      </c>
      <c r="H110" s="16">
        <v>279800</v>
      </c>
      <c r="I110" s="17">
        <f>H110/G110*100</f>
        <v>49.173989455184532</v>
      </c>
      <c r="J110" s="16">
        <v>612935</v>
      </c>
      <c r="K110" s="16">
        <f>G110-513735</f>
        <v>55265</v>
      </c>
      <c r="L110" s="16">
        <v>99200</v>
      </c>
      <c r="M110" s="18">
        <v>0</v>
      </c>
      <c r="N110" s="19">
        <v>0</v>
      </c>
      <c r="O110" s="20">
        <v>3.5</v>
      </c>
      <c r="P110" s="20">
        <v>3.5</v>
      </c>
      <c r="Q110" s="16" t="e">
        <f>K110/M110</f>
        <v>#DIV/0!</v>
      </c>
      <c r="R110" s="16">
        <f>K110/O110</f>
        <v>15790</v>
      </c>
      <c r="S110" s="21">
        <f>K110/O110/43560</f>
        <v>0.36248852157943068</v>
      </c>
      <c r="T110" s="20">
        <v>0</v>
      </c>
      <c r="U110" s="22" t="s">
        <v>33</v>
      </c>
      <c r="V110" s="14" t="s">
        <v>296</v>
      </c>
      <c r="X110" s="14" t="s">
        <v>35</v>
      </c>
      <c r="Y110" s="14">
        <v>0</v>
      </c>
      <c r="Z110" s="14">
        <v>0</v>
      </c>
      <c r="AA110" s="23">
        <v>42472</v>
      </c>
      <c r="AC110" s="24" t="s">
        <v>36</v>
      </c>
    </row>
    <row r="111" spans="1:29" x14ac:dyDescent="0.25">
      <c r="A111" s="14" t="s">
        <v>60</v>
      </c>
      <c r="B111" s="14" t="s">
        <v>61</v>
      </c>
      <c r="C111" s="15">
        <v>45604</v>
      </c>
      <c r="D111" s="16">
        <v>600000</v>
      </c>
      <c r="E111" s="14" t="s">
        <v>31</v>
      </c>
      <c r="F111" s="14" t="s">
        <v>32</v>
      </c>
      <c r="G111" s="16">
        <v>600000</v>
      </c>
      <c r="H111" s="16">
        <v>282500</v>
      </c>
      <c r="I111" s="17">
        <f>H111/G111*100</f>
        <v>47.083333333333336</v>
      </c>
      <c r="J111" s="16">
        <v>620828</v>
      </c>
      <c r="K111" s="16">
        <f>G111-520778</f>
        <v>79222</v>
      </c>
      <c r="L111" s="16">
        <v>100050</v>
      </c>
      <c r="M111" s="18">
        <v>0</v>
      </c>
      <c r="N111" s="19">
        <v>0</v>
      </c>
      <c r="O111" s="20">
        <v>3.55</v>
      </c>
      <c r="P111" s="20">
        <v>3.55</v>
      </c>
      <c r="Q111" s="16" t="e">
        <f>K111/M111</f>
        <v>#DIV/0!</v>
      </c>
      <c r="R111" s="16">
        <f>K111/O111</f>
        <v>22316.056338028171</v>
      </c>
      <c r="S111" s="21">
        <f>K111/O111/43560</f>
        <v>0.51230616019348418</v>
      </c>
      <c r="T111" s="20">
        <v>0</v>
      </c>
      <c r="U111" s="22" t="s">
        <v>33</v>
      </c>
      <c r="V111" s="14" t="s">
        <v>62</v>
      </c>
      <c r="X111" s="14" t="s">
        <v>35</v>
      </c>
      <c r="Y111" s="14">
        <v>0</v>
      </c>
      <c r="Z111" s="14">
        <v>1</v>
      </c>
      <c r="AA111" s="23">
        <v>45462</v>
      </c>
      <c r="AC111" s="24" t="s">
        <v>36</v>
      </c>
    </row>
    <row r="112" spans="1:29" x14ac:dyDescent="0.25">
      <c r="A112" s="14" t="s">
        <v>244</v>
      </c>
      <c r="B112" s="14" t="s">
        <v>245</v>
      </c>
      <c r="C112" s="15">
        <v>45615</v>
      </c>
      <c r="D112" s="16">
        <v>311200</v>
      </c>
      <c r="E112" s="14" t="s">
        <v>31</v>
      </c>
      <c r="F112" s="14" t="s">
        <v>121</v>
      </c>
      <c r="G112" s="16">
        <v>311200</v>
      </c>
      <c r="H112" s="16">
        <v>132600</v>
      </c>
      <c r="I112" s="17">
        <f>H112/G112*100</f>
        <v>42.609254498714655</v>
      </c>
      <c r="J112" s="16">
        <v>276419</v>
      </c>
      <c r="K112" s="16">
        <f>G112-171484</f>
        <v>139716</v>
      </c>
      <c r="L112" s="16">
        <v>104935</v>
      </c>
      <c r="M112" s="18">
        <v>0</v>
      </c>
      <c r="N112" s="19">
        <v>0</v>
      </c>
      <c r="O112" s="20">
        <v>3.65</v>
      </c>
      <c r="P112" s="20">
        <v>3.58</v>
      </c>
      <c r="Q112" s="16" t="e">
        <f>K112/M112</f>
        <v>#DIV/0!</v>
      </c>
      <c r="R112" s="16">
        <f>K112/O112</f>
        <v>38278.356164383564</v>
      </c>
      <c r="S112" s="21">
        <f>K112/O112/43560</f>
        <v>0.87875014151477415</v>
      </c>
      <c r="T112" s="20">
        <v>0</v>
      </c>
      <c r="U112" s="22" t="s">
        <v>33</v>
      </c>
      <c r="V112" s="14" t="s">
        <v>58</v>
      </c>
      <c r="W112" s="14" t="s">
        <v>246</v>
      </c>
      <c r="X112" s="14" t="s">
        <v>35</v>
      </c>
      <c r="Y112" s="14">
        <v>0</v>
      </c>
      <c r="Z112" s="14">
        <v>0</v>
      </c>
      <c r="AA112" s="23">
        <v>42125</v>
      </c>
      <c r="AC112" s="24" t="s">
        <v>36</v>
      </c>
    </row>
    <row r="113" spans="1:29" x14ac:dyDescent="0.25">
      <c r="A113" s="14" t="s">
        <v>224</v>
      </c>
      <c r="B113" s="14" t="s">
        <v>225</v>
      </c>
      <c r="C113" s="15">
        <v>45616</v>
      </c>
      <c r="D113" s="16">
        <v>255000</v>
      </c>
      <c r="E113" s="14" t="s">
        <v>31</v>
      </c>
      <c r="F113" s="14" t="s">
        <v>32</v>
      </c>
      <c r="G113" s="16">
        <v>255000</v>
      </c>
      <c r="H113" s="16">
        <v>124400</v>
      </c>
      <c r="I113" s="17">
        <f>H113/G113*100</f>
        <v>48.7843137254902</v>
      </c>
      <c r="J113" s="16">
        <v>274420</v>
      </c>
      <c r="K113" s="16">
        <f>G113-173180</f>
        <v>81820</v>
      </c>
      <c r="L113" s="16">
        <v>101240</v>
      </c>
      <c r="M113" s="18">
        <v>0</v>
      </c>
      <c r="N113" s="19">
        <v>0</v>
      </c>
      <c r="O113" s="20">
        <v>3.62</v>
      </c>
      <c r="P113" s="20">
        <v>3.62</v>
      </c>
      <c r="Q113" s="16" t="e">
        <f>K113/M113</f>
        <v>#DIV/0!</v>
      </c>
      <c r="R113" s="16">
        <f>K113/O113</f>
        <v>22602.209944751379</v>
      </c>
      <c r="S113" s="21">
        <f>K113/O113/43560</f>
        <v>0.51887534308428329</v>
      </c>
      <c r="T113" s="20">
        <v>0</v>
      </c>
      <c r="U113" s="22" t="s">
        <v>33</v>
      </c>
      <c r="V113" s="14" t="s">
        <v>226</v>
      </c>
      <c r="X113" s="14" t="s">
        <v>35</v>
      </c>
      <c r="Y113" s="14">
        <v>0</v>
      </c>
      <c r="Z113" s="14">
        <v>0</v>
      </c>
      <c r="AA113" s="23">
        <v>42164</v>
      </c>
      <c r="AC113" s="24" t="s">
        <v>36</v>
      </c>
    </row>
    <row r="114" spans="1:29" x14ac:dyDescent="0.25">
      <c r="A114" s="14" t="s">
        <v>358</v>
      </c>
      <c r="B114" s="14" t="s">
        <v>359</v>
      </c>
      <c r="C114" s="15">
        <v>45611</v>
      </c>
      <c r="D114" s="16">
        <v>385000</v>
      </c>
      <c r="E114" s="14" t="s">
        <v>31</v>
      </c>
      <c r="F114" s="14" t="s">
        <v>32</v>
      </c>
      <c r="G114" s="16">
        <v>385000</v>
      </c>
      <c r="H114" s="16">
        <v>162600</v>
      </c>
      <c r="I114" s="17">
        <f>H114/G114*100</f>
        <v>42.233766233766232</v>
      </c>
      <c r="J114" s="16">
        <v>359799</v>
      </c>
      <c r="K114" s="16">
        <f>G114-257539</f>
        <v>127461</v>
      </c>
      <c r="L114" s="16">
        <v>102260</v>
      </c>
      <c r="M114" s="18">
        <v>0</v>
      </c>
      <c r="N114" s="19">
        <v>0</v>
      </c>
      <c r="O114" s="20">
        <v>3.68</v>
      </c>
      <c r="P114" s="20">
        <v>3.68</v>
      </c>
      <c r="Q114" s="16" t="e">
        <f>K114/M114</f>
        <v>#DIV/0!</v>
      </c>
      <c r="R114" s="16">
        <f>K114/O114</f>
        <v>34636.141304347824</v>
      </c>
      <c r="S114" s="21">
        <f>K114/O114/43560</f>
        <v>0.79513639358006938</v>
      </c>
      <c r="T114" s="20">
        <v>0</v>
      </c>
      <c r="U114" s="22" t="s">
        <v>33</v>
      </c>
      <c r="V114" s="14" t="s">
        <v>360</v>
      </c>
      <c r="X114" s="14" t="s">
        <v>35</v>
      </c>
      <c r="Y114" s="14">
        <v>0</v>
      </c>
      <c r="Z114" s="14">
        <v>0</v>
      </c>
      <c r="AA114" s="14" t="s">
        <v>106</v>
      </c>
      <c r="AC114" s="24" t="s">
        <v>36</v>
      </c>
    </row>
    <row r="115" spans="1:29" x14ac:dyDescent="0.25">
      <c r="K115" s="16">
        <f>SUM(K93:K114)</f>
        <v>1989869</v>
      </c>
      <c r="O115" s="20">
        <f>SUM(O93:O114)</f>
        <v>70.540000000000006</v>
      </c>
      <c r="U115" s="22"/>
      <c r="AC115" s="24"/>
    </row>
    <row r="116" spans="1:29" x14ac:dyDescent="0.25">
      <c r="L116" s="16">
        <f>SUM(K115/O115)*3</f>
        <v>84627.261128437764</v>
      </c>
      <c r="U116" s="22"/>
      <c r="AC116" s="24"/>
    </row>
    <row r="117" spans="1:29" x14ac:dyDescent="0.25">
      <c r="U117" s="22"/>
      <c r="AC117" s="24"/>
    </row>
    <row r="118" spans="1:29" x14ac:dyDescent="0.25">
      <c r="A118" s="14" t="s">
        <v>146</v>
      </c>
      <c r="B118" s="14" t="s">
        <v>147</v>
      </c>
      <c r="C118" s="15">
        <v>45646</v>
      </c>
      <c r="D118" s="16">
        <v>603000</v>
      </c>
      <c r="E118" s="14" t="s">
        <v>31</v>
      </c>
      <c r="F118" s="14" t="s">
        <v>32</v>
      </c>
      <c r="G118" s="16">
        <v>603000</v>
      </c>
      <c r="H118" s="16">
        <v>216300</v>
      </c>
      <c r="I118" s="17">
        <f>H118/G118*100</f>
        <v>35.870646766169159</v>
      </c>
      <c r="J118" s="16">
        <v>516572</v>
      </c>
      <c r="K118" s="16">
        <f>G118-411082</f>
        <v>191918</v>
      </c>
      <c r="L118" s="16">
        <v>105490</v>
      </c>
      <c r="M118" s="18">
        <v>0</v>
      </c>
      <c r="N118" s="19">
        <v>0</v>
      </c>
      <c r="O118" s="20">
        <v>3.87</v>
      </c>
      <c r="P118" s="20">
        <v>3.87</v>
      </c>
      <c r="Q118" s="16" t="e">
        <f>K118/M118</f>
        <v>#DIV/0!</v>
      </c>
      <c r="R118" s="16">
        <f>K118/O118</f>
        <v>49591.214470284234</v>
      </c>
      <c r="S118" s="21">
        <f>K118/O118/43560</f>
        <v>1.1384576324674984</v>
      </c>
      <c r="T118" s="20">
        <v>0</v>
      </c>
      <c r="U118" s="22" t="s">
        <v>33</v>
      </c>
      <c r="V118" s="14" t="s">
        <v>148</v>
      </c>
      <c r="X118" s="14" t="s">
        <v>35</v>
      </c>
      <c r="Y118" s="14">
        <v>0</v>
      </c>
      <c r="Z118" s="14">
        <v>1</v>
      </c>
      <c r="AA118" s="23">
        <v>40806</v>
      </c>
      <c r="AC118" s="24" t="s">
        <v>36</v>
      </c>
    </row>
    <row r="119" spans="1:29" x14ac:dyDescent="0.25">
      <c r="A119" s="14" t="s">
        <v>100</v>
      </c>
      <c r="B119" s="14" t="s">
        <v>101</v>
      </c>
      <c r="C119" s="15">
        <v>45259</v>
      </c>
      <c r="D119" s="16">
        <v>550000</v>
      </c>
      <c r="E119" s="14" t="s">
        <v>31</v>
      </c>
      <c r="F119" s="14" t="s">
        <v>32</v>
      </c>
      <c r="G119" s="16">
        <v>550000</v>
      </c>
      <c r="H119" s="16">
        <v>286100</v>
      </c>
      <c r="I119" s="17">
        <f>H119/G119*100</f>
        <v>52.018181818181816</v>
      </c>
      <c r="J119" s="16">
        <v>612195</v>
      </c>
      <c r="K119" s="16">
        <f>G119-506365</f>
        <v>43635</v>
      </c>
      <c r="L119" s="16">
        <v>105830</v>
      </c>
      <c r="M119" s="18">
        <v>0</v>
      </c>
      <c r="N119" s="19">
        <v>0</v>
      </c>
      <c r="O119" s="20">
        <v>3.89</v>
      </c>
      <c r="P119" s="20">
        <v>3.89</v>
      </c>
      <c r="Q119" s="16" t="e">
        <f>K119/M119</f>
        <v>#DIV/0!</v>
      </c>
      <c r="R119" s="16">
        <f>K119/O119</f>
        <v>11217.223650385604</v>
      </c>
      <c r="S119" s="21">
        <f>K119/O119/43560</f>
        <v>0.25751202135871448</v>
      </c>
      <c r="T119" s="20">
        <v>0</v>
      </c>
      <c r="U119" s="22" t="s">
        <v>33</v>
      </c>
      <c r="V119" s="14" t="s">
        <v>102</v>
      </c>
      <c r="X119" s="14" t="s">
        <v>35</v>
      </c>
      <c r="Y119" s="14">
        <v>0</v>
      </c>
      <c r="Z119" s="14">
        <v>0</v>
      </c>
      <c r="AA119" s="23">
        <v>41507</v>
      </c>
      <c r="AC119" s="24" t="s">
        <v>36</v>
      </c>
    </row>
    <row r="120" spans="1:29" x14ac:dyDescent="0.25">
      <c r="A120" s="14" t="s">
        <v>340</v>
      </c>
      <c r="B120" s="14" t="s">
        <v>341</v>
      </c>
      <c r="C120" s="15">
        <v>45457</v>
      </c>
      <c r="D120" s="16">
        <v>1095000</v>
      </c>
      <c r="E120" s="14" t="s">
        <v>31</v>
      </c>
      <c r="F120" s="14" t="s">
        <v>32</v>
      </c>
      <c r="G120" s="16">
        <v>1095000</v>
      </c>
      <c r="H120" s="16">
        <v>431900</v>
      </c>
      <c r="I120" s="17">
        <f>H120/G120*100</f>
        <v>39.442922374429223</v>
      </c>
      <c r="J120" s="16">
        <v>952328</v>
      </c>
      <c r="K120" s="16">
        <f>G120-844628</f>
        <v>250372</v>
      </c>
      <c r="L120" s="16">
        <v>107700</v>
      </c>
      <c r="M120" s="18">
        <v>0</v>
      </c>
      <c r="N120" s="19">
        <v>0</v>
      </c>
      <c r="O120" s="20">
        <v>4</v>
      </c>
      <c r="P120" s="20">
        <v>4</v>
      </c>
      <c r="Q120" s="16" t="e">
        <f>K120/M120</f>
        <v>#DIV/0!</v>
      </c>
      <c r="R120" s="16">
        <f>K120/O120</f>
        <v>62593</v>
      </c>
      <c r="S120" s="21">
        <f>K120/O120/43560</f>
        <v>1.4369375573921028</v>
      </c>
      <c r="T120" s="20">
        <v>0</v>
      </c>
      <c r="U120" s="22" t="s">
        <v>33</v>
      </c>
      <c r="V120" s="14" t="s">
        <v>342</v>
      </c>
      <c r="X120" s="14" t="s">
        <v>35</v>
      </c>
      <c r="Y120" s="14">
        <v>0</v>
      </c>
      <c r="Z120" s="14">
        <v>1</v>
      </c>
      <c r="AA120" s="23">
        <v>43034</v>
      </c>
      <c r="AC120" s="24" t="s">
        <v>36</v>
      </c>
    </row>
    <row r="121" spans="1:29" x14ac:dyDescent="0.25">
      <c r="A121" s="14" t="s">
        <v>315</v>
      </c>
      <c r="B121" s="14" t="s">
        <v>316</v>
      </c>
      <c r="C121" s="15">
        <v>45435</v>
      </c>
      <c r="D121" s="16">
        <v>460000</v>
      </c>
      <c r="E121" s="14" t="s">
        <v>31</v>
      </c>
      <c r="F121" s="14" t="s">
        <v>32</v>
      </c>
      <c r="G121" s="16">
        <v>460000</v>
      </c>
      <c r="H121" s="16">
        <v>203800</v>
      </c>
      <c r="I121" s="17">
        <f>H121/G121*100</f>
        <v>44.304347826086953</v>
      </c>
      <c r="J121" s="16">
        <v>447603</v>
      </c>
      <c r="K121" s="16">
        <f>G121-337863</f>
        <v>122137</v>
      </c>
      <c r="L121" s="16">
        <v>109740</v>
      </c>
      <c r="M121" s="18">
        <v>0</v>
      </c>
      <c r="N121" s="19">
        <v>0</v>
      </c>
      <c r="O121" s="20">
        <v>4.12</v>
      </c>
      <c r="P121" s="20">
        <v>4.12</v>
      </c>
      <c r="Q121" s="16" t="e">
        <f>K121/M121</f>
        <v>#DIV/0!</v>
      </c>
      <c r="R121" s="16">
        <f>K121/O121</f>
        <v>29644.902912621357</v>
      </c>
      <c r="S121" s="21">
        <f>K121/O121/43560</f>
        <v>0.68055332673602753</v>
      </c>
      <c r="T121" s="20">
        <v>0</v>
      </c>
      <c r="U121" s="22" t="s">
        <v>33</v>
      </c>
      <c r="V121" s="14" t="s">
        <v>317</v>
      </c>
      <c r="X121" s="14" t="s">
        <v>35</v>
      </c>
      <c r="Y121" s="14">
        <v>0</v>
      </c>
      <c r="Z121" s="14">
        <v>0</v>
      </c>
      <c r="AA121" s="23">
        <v>42499</v>
      </c>
      <c r="AC121" s="24" t="s">
        <v>36</v>
      </c>
    </row>
    <row r="122" spans="1:29" x14ac:dyDescent="0.25">
      <c r="A122" s="14" t="s">
        <v>82</v>
      </c>
      <c r="B122" s="14" t="s">
        <v>83</v>
      </c>
      <c r="C122" s="15">
        <v>45562</v>
      </c>
      <c r="D122" s="16">
        <v>665000</v>
      </c>
      <c r="E122" s="14" t="s">
        <v>31</v>
      </c>
      <c r="F122" s="14" t="s">
        <v>32</v>
      </c>
      <c r="G122" s="16">
        <v>665000</v>
      </c>
      <c r="H122" s="16">
        <v>301900</v>
      </c>
      <c r="I122" s="17">
        <f>H122/G122*100</f>
        <v>45.398496240601503</v>
      </c>
      <c r="J122" s="16">
        <v>672099</v>
      </c>
      <c r="K122" s="16">
        <f>G122-562019</f>
        <v>102981</v>
      </c>
      <c r="L122" s="16">
        <v>110080</v>
      </c>
      <c r="M122" s="18">
        <v>0</v>
      </c>
      <c r="N122" s="19">
        <v>0</v>
      </c>
      <c r="O122" s="20">
        <v>4.1399999999999997</v>
      </c>
      <c r="P122" s="20">
        <v>4.1399999999999997</v>
      </c>
      <c r="Q122" s="16" t="e">
        <f>K122/M122</f>
        <v>#DIV/0!</v>
      </c>
      <c r="R122" s="16">
        <f>K122/O122</f>
        <v>24874.637681159424</v>
      </c>
      <c r="S122" s="21">
        <f>K122/O122/43560</f>
        <v>0.57104310562808591</v>
      </c>
      <c r="T122" s="20">
        <v>0</v>
      </c>
      <c r="U122" s="22" t="s">
        <v>33</v>
      </c>
      <c r="V122" s="14" t="s">
        <v>84</v>
      </c>
      <c r="X122" s="14" t="s">
        <v>35</v>
      </c>
      <c r="Y122" s="14">
        <v>1</v>
      </c>
      <c r="Z122" s="14">
        <v>0</v>
      </c>
      <c r="AA122" s="23">
        <v>43033</v>
      </c>
      <c r="AC122" s="24" t="s">
        <v>36</v>
      </c>
    </row>
    <row r="123" spans="1:29" x14ac:dyDescent="0.25">
      <c r="A123" s="14" t="s">
        <v>247</v>
      </c>
      <c r="B123" s="14" t="s">
        <v>248</v>
      </c>
      <c r="C123" s="15">
        <v>45128</v>
      </c>
      <c r="D123" s="16">
        <v>335876</v>
      </c>
      <c r="E123" s="14" t="s">
        <v>31</v>
      </c>
      <c r="F123" s="14" t="s">
        <v>32</v>
      </c>
      <c r="G123" s="16">
        <v>335876</v>
      </c>
      <c r="H123" s="16">
        <v>142500</v>
      </c>
      <c r="I123" s="17">
        <f>H123/G123*100</f>
        <v>42.426371637151803</v>
      </c>
      <c r="J123" s="16">
        <v>362790</v>
      </c>
      <c r="K123" s="16">
        <f>G123-252030</f>
        <v>83846</v>
      </c>
      <c r="L123" s="16">
        <v>110760</v>
      </c>
      <c r="M123" s="18">
        <v>0</v>
      </c>
      <c r="N123" s="19">
        <v>0</v>
      </c>
      <c r="O123" s="20">
        <v>4.18</v>
      </c>
      <c r="P123" s="20">
        <v>4.18</v>
      </c>
      <c r="Q123" s="16" t="e">
        <f>K123/M123</f>
        <v>#DIV/0!</v>
      </c>
      <c r="R123" s="16">
        <f>K123/O123</f>
        <v>20058.851674641151</v>
      </c>
      <c r="S123" s="21">
        <f>K123/O123/43560</f>
        <v>0.46048787131866736</v>
      </c>
      <c r="T123" s="20">
        <v>0</v>
      </c>
      <c r="U123" s="22" t="s">
        <v>33</v>
      </c>
      <c r="V123" s="14" t="s">
        <v>249</v>
      </c>
      <c r="X123" s="14" t="s">
        <v>35</v>
      </c>
      <c r="Y123" s="14">
        <v>0</v>
      </c>
      <c r="Z123" s="14">
        <v>0</v>
      </c>
      <c r="AA123" s="23">
        <v>42138</v>
      </c>
      <c r="AC123" s="24" t="s">
        <v>36</v>
      </c>
    </row>
    <row r="124" spans="1:29" x14ac:dyDescent="0.25">
      <c r="A124" s="14" t="s">
        <v>107</v>
      </c>
      <c r="B124" s="14" t="s">
        <v>108</v>
      </c>
      <c r="C124" s="15">
        <v>45098</v>
      </c>
      <c r="D124" s="16">
        <v>1200000</v>
      </c>
      <c r="E124" s="14" t="s">
        <v>31</v>
      </c>
      <c r="F124" s="14" t="s">
        <v>32</v>
      </c>
      <c r="G124" s="16">
        <v>1200000</v>
      </c>
      <c r="H124" s="16">
        <v>479800</v>
      </c>
      <c r="I124" s="17">
        <f>H124/G124*100</f>
        <v>39.983333333333334</v>
      </c>
      <c r="J124" s="16">
        <v>1263274</v>
      </c>
      <c r="K124" s="16">
        <f>G124-1152004</f>
        <v>47996</v>
      </c>
      <c r="L124" s="16">
        <v>111270</v>
      </c>
      <c r="M124" s="18">
        <v>0</v>
      </c>
      <c r="N124" s="19">
        <v>0</v>
      </c>
      <c r="O124" s="20">
        <v>4.21</v>
      </c>
      <c r="P124" s="20">
        <v>4.21</v>
      </c>
      <c r="Q124" s="16" t="e">
        <f>K124/M124</f>
        <v>#DIV/0!</v>
      </c>
      <c r="R124" s="16">
        <f>K124/O124</f>
        <v>11400.475059382423</v>
      </c>
      <c r="S124" s="21">
        <f>K124/O124/43560</f>
        <v>0.26171889484348998</v>
      </c>
      <c r="T124" s="20">
        <v>0</v>
      </c>
      <c r="U124" s="22" t="s">
        <v>33</v>
      </c>
      <c r="V124" s="14" t="s">
        <v>109</v>
      </c>
      <c r="X124" s="14" t="s">
        <v>35</v>
      </c>
      <c r="Y124" s="14">
        <v>0</v>
      </c>
      <c r="Z124" s="14">
        <v>0</v>
      </c>
      <c r="AA124" s="23">
        <v>41824</v>
      </c>
      <c r="AC124" s="24" t="s">
        <v>36</v>
      </c>
    </row>
    <row r="125" spans="1:29" x14ac:dyDescent="0.25">
      <c r="A125" s="14" t="s">
        <v>303</v>
      </c>
      <c r="B125" s="14" t="s">
        <v>304</v>
      </c>
      <c r="C125" s="15">
        <v>45539</v>
      </c>
      <c r="D125" s="16">
        <v>619000</v>
      </c>
      <c r="E125" s="14" t="s">
        <v>31</v>
      </c>
      <c r="F125" s="14" t="s">
        <v>32</v>
      </c>
      <c r="G125" s="16">
        <v>619000</v>
      </c>
      <c r="H125" s="16">
        <v>288200</v>
      </c>
      <c r="I125" s="17">
        <f>H125/G125*100</f>
        <v>46.55896607431341</v>
      </c>
      <c r="J125" s="16">
        <v>694611</v>
      </c>
      <c r="K125" s="16">
        <f>G125-581811</f>
        <v>37189</v>
      </c>
      <c r="L125" s="16">
        <v>112800</v>
      </c>
      <c r="M125" s="18">
        <v>0</v>
      </c>
      <c r="N125" s="19">
        <v>0</v>
      </c>
      <c r="O125" s="20">
        <v>4.3</v>
      </c>
      <c r="P125" s="20">
        <v>4.3</v>
      </c>
      <c r="Q125" s="16" t="e">
        <f>K125/M125</f>
        <v>#DIV/0!</v>
      </c>
      <c r="R125" s="16">
        <f>K125/O125</f>
        <v>8648.6046511627919</v>
      </c>
      <c r="S125" s="21">
        <f>K125/O125/43560</f>
        <v>0.19854464304781433</v>
      </c>
      <c r="T125" s="20">
        <v>0</v>
      </c>
      <c r="U125" s="22" t="s">
        <v>33</v>
      </c>
      <c r="V125" s="14" t="s">
        <v>305</v>
      </c>
      <c r="X125" s="14" t="s">
        <v>35</v>
      </c>
      <c r="Y125" s="14">
        <v>0</v>
      </c>
      <c r="Z125" s="14">
        <v>0</v>
      </c>
      <c r="AA125" s="23">
        <v>42499</v>
      </c>
      <c r="AC125" s="24" t="s">
        <v>36</v>
      </c>
    </row>
    <row r="126" spans="1:29" x14ac:dyDescent="0.25">
      <c r="A126" s="14" t="s">
        <v>205</v>
      </c>
      <c r="B126" s="14" t="s">
        <v>206</v>
      </c>
      <c r="C126" s="15">
        <v>45562</v>
      </c>
      <c r="D126" s="16">
        <v>156000</v>
      </c>
      <c r="E126" s="14" t="s">
        <v>31</v>
      </c>
      <c r="F126" s="14" t="s">
        <v>32</v>
      </c>
      <c r="G126" s="16">
        <v>156000</v>
      </c>
      <c r="H126" s="16">
        <v>95500</v>
      </c>
      <c r="I126" s="17">
        <f>H126/G126*100</f>
        <v>61.217948717948723</v>
      </c>
      <c r="J126" s="16">
        <v>208614</v>
      </c>
      <c r="K126" s="16">
        <f>G126-94114</f>
        <v>61886</v>
      </c>
      <c r="L126" s="16">
        <v>114500</v>
      </c>
      <c r="M126" s="18">
        <v>0</v>
      </c>
      <c r="N126" s="19">
        <v>0</v>
      </c>
      <c r="O126" s="20">
        <v>4.4000000000000004</v>
      </c>
      <c r="P126" s="20">
        <v>4.4000000000000004</v>
      </c>
      <c r="Q126" s="16" t="e">
        <f>K126/M126</f>
        <v>#DIV/0!</v>
      </c>
      <c r="R126" s="16">
        <f>K126/O126</f>
        <v>14064.999999999998</v>
      </c>
      <c r="S126" s="21">
        <f>K126/O126/43560</f>
        <v>0.32288797061524332</v>
      </c>
      <c r="T126" s="20">
        <v>0</v>
      </c>
      <c r="U126" s="22" t="s">
        <v>33</v>
      </c>
      <c r="V126" s="14" t="s">
        <v>207</v>
      </c>
      <c r="X126" s="14" t="s">
        <v>35</v>
      </c>
      <c r="Y126" s="14">
        <v>0</v>
      </c>
      <c r="Z126" s="14">
        <v>0</v>
      </c>
      <c r="AA126" s="23">
        <v>40084</v>
      </c>
      <c r="AC126" s="24" t="s">
        <v>36</v>
      </c>
    </row>
    <row r="127" spans="1:29" x14ac:dyDescent="0.25">
      <c r="A127" s="14" t="s">
        <v>164</v>
      </c>
      <c r="B127" s="14" t="s">
        <v>165</v>
      </c>
      <c r="C127" s="15">
        <v>45449</v>
      </c>
      <c r="D127" s="16">
        <v>700000</v>
      </c>
      <c r="E127" s="14" t="s">
        <v>31</v>
      </c>
      <c r="F127" s="14" t="s">
        <v>32</v>
      </c>
      <c r="G127" s="16">
        <v>700000</v>
      </c>
      <c r="H127" s="16">
        <v>295100</v>
      </c>
      <c r="I127" s="17">
        <f>H127/G127*100</f>
        <v>42.157142857142858</v>
      </c>
      <c r="J127" s="16">
        <v>655762</v>
      </c>
      <c r="K127" s="16">
        <f>G127-540072</f>
        <v>159928</v>
      </c>
      <c r="L127" s="16">
        <v>115690</v>
      </c>
      <c r="M127" s="18">
        <v>0</v>
      </c>
      <c r="N127" s="19">
        <v>0</v>
      </c>
      <c r="O127" s="20">
        <v>4.47</v>
      </c>
      <c r="P127" s="20">
        <v>4.47</v>
      </c>
      <c r="Q127" s="16" t="e">
        <f>K127/M127</f>
        <v>#DIV/0!</v>
      </c>
      <c r="R127" s="16">
        <f>K127/O127</f>
        <v>35778.076062639826</v>
      </c>
      <c r="S127" s="21">
        <f>K127/O127/43560</f>
        <v>0.82135160841689225</v>
      </c>
      <c r="T127" s="20">
        <v>0</v>
      </c>
      <c r="U127" s="22" t="s">
        <v>33</v>
      </c>
      <c r="V127" s="14" t="s">
        <v>166</v>
      </c>
      <c r="X127" s="14" t="s">
        <v>35</v>
      </c>
      <c r="Y127" s="14">
        <v>0</v>
      </c>
      <c r="Z127" s="14">
        <v>0</v>
      </c>
      <c r="AA127" s="23">
        <v>44145</v>
      </c>
      <c r="AC127" s="24" t="s">
        <v>36</v>
      </c>
    </row>
    <row r="128" spans="1:29" x14ac:dyDescent="0.25">
      <c r="A128" s="14" t="s">
        <v>116</v>
      </c>
      <c r="B128" s="14" t="s">
        <v>117</v>
      </c>
      <c r="C128" s="15">
        <v>45174</v>
      </c>
      <c r="D128" s="16">
        <v>500000</v>
      </c>
      <c r="E128" s="14" t="s">
        <v>31</v>
      </c>
      <c r="F128" s="14" t="s">
        <v>32</v>
      </c>
      <c r="G128" s="16">
        <v>500000</v>
      </c>
      <c r="H128" s="16">
        <v>195400</v>
      </c>
      <c r="I128" s="17">
        <f>H128/G128*100</f>
        <v>39.08</v>
      </c>
      <c r="J128" s="16">
        <v>536840</v>
      </c>
      <c r="K128" s="16">
        <f>G128-419790</f>
        <v>80210</v>
      </c>
      <c r="L128" s="16">
        <v>117050</v>
      </c>
      <c r="M128" s="18">
        <v>0</v>
      </c>
      <c r="N128" s="19">
        <v>0</v>
      </c>
      <c r="O128" s="20">
        <v>4.55</v>
      </c>
      <c r="P128" s="20">
        <v>4.55</v>
      </c>
      <c r="Q128" s="16" t="e">
        <f>K128/M128</f>
        <v>#DIV/0!</v>
      </c>
      <c r="R128" s="16">
        <f>K128/O128</f>
        <v>17628.571428571428</v>
      </c>
      <c r="S128" s="21">
        <f>K128/O128/43560</f>
        <v>0.40469631378722287</v>
      </c>
      <c r="T128" s="20">
        <v>0</v>
      </c>
      <c r="U128" s="22" t="s">
        <v>33</v>
      </c>
      <c r="V128" s="14" t="s">
        <v>118</v>
      </c>
      <c r="X128" s="14" t="s">
        <v>35</v>
      </c>
      <c r="Y128" s="14">
        <v>0</v>
      </c>
      <c r="Z128" s="14">
        <v>0</v>
      </c>
      <c r="AA128" s="23">
        <v>41933</v>
      </c>
      <c r="AC128" s="24" t="s">
        <v>36</v>
      </c>
    </row>
    <row r="129" spans="1:29" x14ac:dyDescent="0.25">
      <c r="A129" s="14" t="s">
        <v>170</v>
      </c>
      <c r="B129" s="14" t="s">
        <v>171</v>
      </c>
      <c r="C129" s="15">
        <v>45740</v>
      </c>
      <c r="D129" s="16">
        <v>680000</v>
      </c>
      <c r="E129" s="14" t="s">
        <v>31</v>
      </c>
      <c r="F129" s="14" t="s">
        <v>32</v>
      </c>
      <c r="G129" s="16">
        <v>680000</v>
      </c>
      <c r="H129" s="16">
        <v>292700</v>
      </c>
      <c r="I129" s="17">
        <f>H129/G129*100</f>
        <v>43.044117647058819</v>
      </c>
      <c r="J129" s="16">
        <v>649832</v>
      </c>
      <c r="K129" s="16">
        <f>G129-530742</f>
        <v>149258</v>
      </c>
      <c r="L129" s="16">
        <v>119090</v>
      </c>
      <c r="M129" s="18">
        <v>0</v>
      </c>
      <c r="N129" s="19">
        <v>0</v>
      </c>
      <c r="O129" s="20">
        <v>4.67</v>
      </c>
      <c r="P129" s="20">
        <v>4.67</v>
      </c>
      <c r="Q129" s="16" t="e">
        <f>K129/M129</f>
        <v>#DIV/0!</v>
      </c>
      <c r="R129" s="16">
        <f>K129/O129</f>
        <v>31961.027837259102</v>
      </c>
      <c r="S129" s="21">
        <f>K129/O129/43560</f>
        <v>0.73372423868822545</v>
      </c>
      <c r="T129" s="20">
        <v>0</v>
      </c>
      <c r="U129" s="22" t="s">
        <v>33</v>
      </c>
      <c r="V129" s="14" t="s">
        <v>172</v>
      </c>
      <c r="X129" s="14" t="s">
        <v>35</v>
      </c>
      <c r="Y129" s="14">
        <v>0</v>
      </c>
      <c r="Z129" s="14">
        <v>0</v>
      </c>
      <c r="AA129" s="14" t="s">
        <v>106</v>
      </c>
      <c r="AC129" s="24" t="s">
        <v>36</v>
      </c>
    </row>
    <row r="130" spans="1:29" x14ac:dyDescent="0.25">
      <c r="K130" s="16">
        <f>SUM(K118:K129)</f>
        <v>1331356</v>
      </c>
      <c r="O130" s="20">
        <f>SUM(O118:O129)</f>
        <v>50.8</v>
      </c>
      <c r="U130" s="22"/>
      <c r="AC130" s="24"/>
    </row>
    <row r="131" spans="1:29" x14ac:dyDescent="0.25">
      <c r="L131" s="16">
        <f>SUM(K130/O130)*4</f>
        <v>104831.18110236221</v>
      </c>
      <c r="U131" s="22"/>
      <c r="AC131" s="24"/>
    </row>
    <row r="132" spans="1:29" x14ac:dyDescent="0.25">
      <c r="U132" s="22"/>
      <c r="AC132" s="24"/>
    </row>
    <row r="133" spans="1:29" x14ac:dyDescent="0.25">
      <c r="A133" s="14" t="s">
        <v>94</v>
      </c>
      <c r="B133" s="14" t="s">
        <v>95</v>
      </c>
      <c r="C133" s="15">
        <v>45093</v>
      </c>
      <c r="D133" s="16">
        <v>380000</v>
      </c>
      <c r="E133" s="14" t="s">
        <v>31</v>
      </c>
      <c r="F133" s="14" t="s">
        <v>32</v>
      </c>
      <c r="G133" s="16">
        <v>380000</v>
      </c>
      <c r="H133" s="16">
        <v>139000</v>
      </c>
      <c r="I133" s="17">
        <f>H133/G133*100</f>
        <v>36.578947368421055</v>
      </c>
      <c r="J133" s="16">
        <v>372247</v>
      </c>
      <c r="K133" s="16">
        <f>G133-249077</f>
        <v>130923</v>
      </c>
      <c r="L133" s="16">
        <v>123170</v>
      </c>
      <c r="M133" s="18">
        <v>0</v>
      </c>
      <c r="N133" s="19">
        <v>0</v>
      </c>
      <c r="O133" s="20">
        <v>4.91</v>
      </c>
      <c r="P133" s="20">
        <v>4.91</v>
      </c>
      <c r="Q133" s="16" t="e">
        <f>K133/M133</f>
        <v>#DIV/0!</v>
      </c>
      <c r="R133" s="16">
        <f>K133/O133</f>
        <v>26664.562118126272</v>
      </c>
      <c r="S133" s="21">
        <f>K133/O133/43560</f>
        <v>0.61213411657773809</v>
      </c>
      <c r="T133" s="20">
        <v>0</v>
      </c>
      <c r="U133" s="22" t="s">
        <v>33</v>
      </c>
      <c r="V133" s="14" t="s">
        <v>96</v>
      </c>
      <c r="X133" s="14" t="s">
        <v>35</v>
      </c>
      <c r="Y133" s="14">
        <v>0</v>
      </c>
      <c r="Z133" s="14">
        <v>0</v>
      </c>
      <c r="AA133" s="23">
        <v>41506</v>
      </c>
      <c r="AC133" s="24" t="s">
        <v>36</v>
      </c>
    </row>
    <row r="134" spans="1:29" x14ac:dyDescent="0.25">
      <c r="A134" s="14" t="s">
        <v>356</v>
      </c>
      <c r="B134" s="14" t="s">
        <v>357</v>
      </c>
      <c r="C134" s="15">
        <v>45538</v>
      </c>
      <c r="D134" s="16">
        <v>307500</v>
      </c>
      <c r="E134" s="14" t="s">
        <v>31</v>
      </c>
      <c r="F134" s="14" t="s">
        <v>32</v>
      </c>
      <c r="G134" s="16">
        <v>307500</v>
      </c>
      <c r="H134" s="16">
        <v>129200</v>
      </c>
      <c r="I134" s="17">
        <f>H134/G134*100</f>
        <v>42.016260162601625</v>
      </c>
      <c r="J134" s="16">
        <v>284140</v>
      </c>
      <c r="K134" s="16">
        <f>G134-159440</f>
        <v>148060</v>
      </c>
      <c r="L134" s="16">
        <v>124700</v>
      </c>
      <c r="M134" s="18">
        <v>0</v>
      </c>
      <c r="N134" s="19">
        <v>0</v>
      </c>
      <c r="O134" s="20">
        <v>5</v>
      </c>
      <c r="P134" s="20">
        <v>5</v>
      </c>
      <c r="Q134" s="16" t="e">
        <f>K134/M134</f>
        <v>#DIV/0!</v>
      </c>
      <c r="R134" s="16">
        <f>K134/O134</f>
        <v>29612</v>
      </c>
      <c r="S134" s="21">
        <f>K134/O134/43560</f>
        <v>0.67979797979797985</v>
      </c>
      <c r="T134" s="20">
        <v>0</v>
      </c>
      <c r="U134" s="22" t="s">
        <v>33</v>
      </c>
      <c r="V134" s="14" t="s">
        <v>58</v>
      </c>
      <c r="X134" s="14" t="s">
        <v>35</v>
      </c>
      <c r="Y134" s="14">
        <v>0</v>
      </c>
      <c r="Z134" s="14">
        <v>0</v>
      </c>
      <c r="AA134" s="23">
        <v>42888</v>
      </c>
      <c r="AC134" s="24" t="s">
        <v>115</v>
      </c>
    </row>
    <row r="135" spans="1:29" x14ac:dyDescent="0.25">
      <c r="A135" s="14" t="s">
        <v>29</v>
      </c>
      <c r="B135" s="14" t="s">
        <v>30</v>
      </c>
      <c r="C135" s="15">
        <v>45418</v>
      </c>
      <c r="D135" s="16">
        <v>883500</v>
      </c>
      <c r="E135" s="14" t="s">
        <v>31</v>
      </c>
      <c r="F135" s="14" t="s">
        <v>32</v>
      </c>
      <c r="G135" s="16">
        <v>883500</v>
      </c>
      <c r="H135" s="16">
        <v>341200</v>
      </c>
      <c r="I135" s="17">
        <f>H135/G135*100</f>
        <v>38.619128466327105</v>
      </c>
      <c r="J135" s="16">
        <v>751278</v>
      </c>
      <c r="K135" s="16">
        <f>G135-626239</f>
        <v>257261</v>
      </c>
      <c r="L135" s="16">
        <v>125039</v>
      </c>
      <c r="M135" s="18">
        <v>0</v>
      </c>
      <c r="N135" s="19">
        <v>0</v>
      </c>
      <c r="O135" s="20">
        <v>5.03</v>
      </c>
      <c r="P135" s="20">
        <v>5.03</v>
      </c>
      <c r="Q135" s="16" t="e">
        <f>K135/M135</f>
        <v>#DIV/0!</v>
      </c>
      <c r="R135" s="16">
        <f>K135/O135</f>
        <v>51145.328031809142</v>
      </c>
      <c r="S135" s="21">
        <f>K135/O135/43560</f>
        <v>1.1741351706108618</v>
      </c>
      <c r="T135" s="20">
        <v>0</v>
      </c>
      <c r="U135" s="22" t="s">
        <v>33</v>
      </c>
      <c r="V135" s="14" t="s">
        <v>34</v>
      </c>
      <c r="X135" s="14" t="s">
        <v>35</v>
      </c>
      <c r="Y135" s="14">
        <v>0</v>
      </c>
      <c r="Z135" s="14">
        <v>1</v>
      </c>
      <c r="AA135" s="23">
        <v>40004</v>
      </c>
      <c r="AC135" s="24" t="s">
        <v>36</v>
      </c>
    </row>
    <row r="136" spans="1:29" x14ac:dyDescent="0.25">
      <c r="A136" s="14" t="s">
        <v>353</v>
      </c>
      <c r="B136" s="14" t="s">
        <v>354</v>
      </c>
      <c r="C136" s="15">
        <v>45588</v>
      </c>
      <c r="D136" s="16">
        <v>519000</v>
      </c>
      <c r="E136" s="14" t="s">
        <v>31</v>
      </c>
      <c r="F136" s="14" t="s">
        <v>32</v>
      </c>
      <c r="G136" s="16">
        <v>519000</v>
      </c>
      <c r="H136" s="16">
        <v>194300</v>
      </c>
      <c r="I136" s="17">
        <f>H136/G136*100</f>
        <v>37.437379576107901</v>
      </c>
      <c r="J136" s="16">
        <v>474242</v>
      </c>
      <c r="K136" s="16">
        <f>G136-346604</f>
        <v>172396</v>
      </c>
      <c r="L136" s="16">
        <v>127638</v>
      </c>
      <c r="M136" s="18">
        <v>0</v>
      </c>
      <c r="N136" s="19">
        <v>0</v>
      </c>
      <c r="O136" s="20">
        <v>5.26</v>
      </c>
      <c r="P136" s="20">
        <v>5.26</v>
      </c>
      <c r="Q136" s="16" t="e">
        <f>K136/M136</f>
        <v>#DIV/0!</v>
      </c>
      <c r="R136" s="16">
        <f>K136/O136</f>
        <v>32774.904942965783</v>
      </c>
      <c r="S136" s="21">
        <f>K136/O136/43560</f>
        <v>0.75240828611032562</v>
      </c>
      <c r="T136" s="20">
        <v>0</v>
      </c>
      <c r="U136" s="22" t="s">
        <v>33</v>
      </c>
      <c r="V136" s="14" t="s">
        <v>355</v>
      </c>
      <c r="X136" s="14" t="s">
        <v>35</v>
      </c>
      <c r="Y136" s="14">
        <v>0</v>
      </c>
      <c r="Z136" s="14">
        <v>0</v>
      </c>
      <c r="AA136" s="23">
        <v>42551</v>
      </c>
      <c r="AC136" s="24" t="s">
        <v>36</v>
      </c>
    </row>
    <row r="137" spans="1:29" x14ac:dyDescent="0.25">
      <c r="A137" s="14" t="s">
        <v>284</v>
      </c>
      <c r="B137" s="14" t="s">
        <v>285</v>
      </c>
      <c r="C137" s="15">
        <v>45100</v>
      </c>
      <c r="D137" s="16">
        <v>576000</v>
      </c>
      <c r="E137" s="14" t="s">
        <v>31</v>
      </c>
      <c r="F137" s="14" t="s">
        <v>32</v>
      </c>
      <c r="G137" s="16">
        <v>576000</v>
      </c>
      <c r="H137" s="16">
        <v>243100</v>
      </c>
      <c r="I137" s="17">
        <f>H137/G137*100</f>
        <v>42.204861111111114</v>
      </c>
      <c r="J137" s="16">
        <v>626281</v>
      </c>
      <c r="K137" s="16">
        <f>G137-498304</f>
        <v>77696</v>
      </c>
      <c r="L137" s="16">
        <v>127977</v>
      </c>
      <c r="M137" s="18">
        <v>0</v>
      </c>
      <c r="N137" s="19">
        <v>0</v>
      </c>
      <c r="O137" s="20">
        <v>5.29</v>
      </c>
      <c r="P137" s="20">
        <v>5.29</v>
      </c>
      <c r="Q137" s="16" t="e">
        <f>K137/M137</f>
        <v>#DIV/0!</v>
      </c>
      <c r="R137" s="16">
        <f>K137/O137</f>
        <v>14687.334593572779</v>
      </c>
      <c r="S137" s="21">
        <f>K137/O137/43560</f>
        <v>0.33717480701498576</v>
      </c>
      <c r="T137" s="20">
        <v>0</v>
      </c>
      <c r="U137" s="22" t="s">
        <v>33</v>
      </c>
      <c r="V137" s="14" t="s">
        <v>286</v>
      </c>
      <c r="X137" s="14" t="s">
        <v>35</v>
      </c>
      <c r="Y137" s="14">
        <v>0</v>
      </c>
      <c r="Z137" s="14">
        <v>0</v>
      </c>
      <c r="AA137" s="23">
        <v>42201</v>
      </c>
      <c r="AC137" s="24" t="s">
        <v>36</v>
      </c>
    </row>
    <row r="138" spans="1:29" x14ac:dyDescent="0.25">
      <c r="A138" s="14" t="s">
        <v>367</v>
      </c>
      <c r="B138" s="14" t="s">
        <v>368</v>
      </c>
      <c r="C138" s="15">
        <v>45069</v>
      </c>
      <c r="D138" s="16">
        <v>455000</v>
      </c>
      <c r="E138" s="14" t="s">
        <v>31</v>
      </c>
      <c r="F138" s="14" t="s">
        <v>32</v>
      </c>
      <c r="G138" s="16">
        <v>455000</v>
      </c>
      <c r="H138" s="16">
        <v>160500</v>
      </c>
      <c r="I138" s="17">
        <f>H138/G138*100</f>
        <v>35.274725274725277</v>
      </c>
      <c r="J138" s="16">
        <v>408554</v>
      </c>
      <c r="K138" s="16">
        <f>G138-278430</f>
        <v>176570</v>
      </c>
      <c r="L138" s="16">
        <v>130124</v>
      </c>
      <c r="M138" s="18">
        <v>0</v>
      </c>
      <c r="N138" s="19">
        <v>0</v>
      </c>
      <c r="O138" s="20">
        <v>5.48</v>
      </c>
      <c r="P138" s="20">
        <v>5.48</v>
      </c>
      <c r="Q138" s="16" t="e">
        <f>K138/M138</f>
        <v>#DIV/0!</v>
      </c>
      <c r="R138" s="16">
        <f>K138/O138</f>
        <v>32220.802919708025</v>
      </c>
      <c r="S138" s="21">
        <f>K138/O138/43560</f>
        <v>0.73968785398778758</v>
      </c>
      <c r="T138" s="20">
        <v>0</v>
      </c>
      <c r="U138" s="22" t="s">
        <v>33</v>
      </c>
      <c r="V138" s="14" t="s">
        <v>369</v>
      </c>
      <c r="X138" s="14" t="s">
        <v>35</v>
      </c>
      <c r="Y138" s="14">
        <v>0</v>
      </c>
      <c r="Z138" s="14">
        <v>0</v>
      </c>
      <c r="AA138" s="23">
        <v>42919</v>
      </c>
      <c r="AC138" s="24" t="s">
        <v>36</v>
      </c>
    </row>
    <row r="139" spans="1:29" x14ac:dyDescent="0.25">
      <c r="A139" s="14" t="s">
        <v>318</v>
      </c>
      <c r="B139" s="14" t="s">
        <v>319</v>
      </c>
      <c r="C139" s="15">
        <v>45442</v>
      </c>
      <c r="D139" s="16">
        <v>575000</v>
      </c>
      <c r="E139" s="14" t="s">
        <v>31</v>
      </c>
      <c r="F139" s="14" t="s">
        <v>32</v>
      </c>
      <c r="G139" s="16">
        <v>575000</v>
      </c>
      <c r="H139" s="16">
        <v>209200</v>
      </c>
      <c r="I139" s="17">
        <f>H139/G139*100</f>
        <v>36.382608695652173</v>
      </c>
      <c r="J139" s="16">
        <v>457258</v>
      </c>
      <c r="K139" s="16">
        <f>G139-324648</f>
        <v>250352</v>
      </c>
      <c r="L139" s="16">
        <v>132610</v>
      </c>
      <c r="M139" s="18">
        <v>0</v>
      </c>
      <c r="N139" s="19">
        <v>0</v>
      </c>
      <c r="O139" s="20">
        <v>5.7</v>
      </c>
      <c r="P139" s="20">
        <v>5.7</v>
      </c>
      <c r="Q139" s="16" t="e">
        <f>K139/M139</f>
        <v>#DIV/0!</v>
      </c>
      <c r="R139" s="16">
        <f>K139/O139</f>
        <v>43921.403508771931</v>
      </c>
      <c r="S139" s="21">
        <f>K139/O139/43560</f>
        <v>1.0082966829378313</v>
      </c>
      <c r="T139" s="20">
        <v>0</v>
      </c>
      <c r="U139" s="22" t="s">
        <v>33</v>
      </c>
      <c r="V139" s="14" t="s">
        <v>320</v>
      </c>
      <c r="X139" s="14" t="s">
        <v>35</v>
      </c>
      <c r="Y139" s="14">
        <v>0</v>
      </c>
      <c r="Z139" s="14">
        <v>1</v>
      </c>
      <c r="AA139" s="23">
        <v>41549</v>
      </c>
      <c r="AC139" s="24" t="s">
        <v>36</v>
      </c>
    </row>
    <row r="140" spans="1:29" x14ac:dyDescent="0.25">
      <c r="A140" s="14" t="s">
        <v>250</v>
      </c>
      <c r="B140" s="14" t="s">
        <v>251</v>
      </c>
      <c r="C140" s="15">
        <v>45223</v>
      </c>
      <c r="D140" s="16">
        <v>887000</v>
      </c>
      <c r="E140" s="14" t="s">
        <v>31</v>
      </c>
      <c r="F140" s="14" t="s">
        <v>32</v>
      </c>
      <c r="G140" s="16">
        <v>887000</v>
      </c>
      <c r="H140" s="16">
        <v>345200</v>
      </c>
      <c r="I140" s="17">
        <f>H140/G140*100</f>
        <v>38.917700112739574</v>
      </c>
      <c r="J140" s="16">
        <v>883925</v>
      </c>
      <c r="K140" s="16">
        <f>G140-747925</f>
        <v>139075</v>
      </c>
      <c r="L140" s="16">
        <v>136000</v>
      </c>
      <c r="M140" s="18">
        <v>0</v>
      </c>
      <c r="N140" s="19">
        <v>0</v>
      </c>
      <c r="O140" s="20">
        <v>6</v>
      </c>
      <c r="P140" s="20">
        <v>6</v>
      </c>
      <c r="Q140" s="16" t="e">
        <f>K140/M140</f>
        <v>#DIV/0!</v>
      </c>
      <c r="R140" s="16">
        <f>K140/O140</f>
        <v>23179.166666666668</v>
      </c>
      <c r="S140" s="21">
        <f>K140/O140/43560</f>
        <v>0.53212044689317417</v>
      </c>
      <c r="T140" s="20">
        <v>0</v>
      </c>
      <c r="U140" s="22" t="s">
        <v>33</v>
      </c>
      <c r="V140" s="14" t="s">
        <v>252</v>
      </c>
      <c r="X140" s="14" t="s">
        <v>35</v>
      </c>
      <c r="Y140" s="14">
        <v>0</v>
      </c>
      <c r="Z140" s="14">
        <v>0</v>
      </c>
      <c r="AA140" s="23">
        <v>42143</v>
      </c>
      <c r="AC140" s="24" t="s">
        <v>36</v>
      </c>
    </row>
    <row r="141" spans="1:29" x14ac:dyDescent="0.25">
      <c r="A141" s="14" t="s">
        <v>250</v>
      </c>
      <c r="B141" s="14" t="s">
        <v>251</v>
      </c>
      <c r="C141" s="15">
        <v>45652</v>
      </c>
      <c r="D141" s="16">
        <v>850000</v>
      </c>
      <c r="E141" s="14" t="s">
        <v>31</v>
      </c>
      <c r="F141" s="14" t="s">
        <v>32</v>
      </c>
      <c r="G141" s="16">
        <v>850000</v>
      </c>
      <c r="H141" s="16">
        <v>403200</v>
      </c>
      <c r="I141" s="17">
        <f>H141/G141*100</f>
        <v>47.435294117647061</v>
      </c>
      <c r="J141" s="16">
        <v>883925</v>
      </c>
      <c r="K141" s="16">
        <f>G141-747925</f>
        <v>102075</v>
      </c>
      <c r="L141" s="16">
        <v>136000</v>
      </c>
      <c r="M141" s="18">
        <v>0</v>
      </c>
      <c r="N141" s="19">
        <v>0</v>
      </c>
      <c r="O141" s="20">
        <v>6</v>
      </c>
      <c r="P141" s="20">
        <v>6</v>
      </c>
      <c r="Q141" s="16" t="e">
        <f>K141/M141</f>
        <v>#DIV/0!</v>
      </c>
      <c r="R141" s="16">
        <f>K141/O141</f>
        <v>17012.5</v>
      </c>
      <c r="S141" s="21">
        <f>K141/O141/43560</f>
        <v>0.39055325987144168</v>
      </c>
      <c r="T141" s="20">
        <v>0</v>
      </c>
      <c r="U141" s="22" t="s">
        <v>33</v>
      </c>
      <c r="V141" s="14" t="s">
        <v>253</v>
      </c>
      <c r="X141" s="14" t="s">
        <v>35</v>
      </c>
      <c r="Y141" s="14">
        <v>0</v>
      </c>
      <c r="Z141" s="14">
        <v>0</v>
      </c>
      <c r="AA141" s="23">
        <v>42143</v>
      </c>
      <c r="AC141" s="24" t="s">
        <v>36</v>
      </c>
    </row>
    <row r="142" spans="1:29" x14ac:dyDescent="0.25">
      <c r="A142" s="14" t="s">
        <v>238</v>
      </c>
      <c r="B142" s="14" t="s">
        <v>239</v>
      </c>
      <c r="C142" s="15">
        <v>45506</v>
      </c>
      <c r="D142" s="16">
        <v>727500</v>
      </c>
      <c r="E142" s="14" t="s">
        <v>31</v>
      </c>
      <c r="F142" s="14" t="s">
        <v>32</v>
      </c>
      <c r="G142" s="16">
        <v>727500</v>
      </c>
      <c r="H142" s="16">
        <v>357700</v>
      </c>
      <c r="I142" s="17">
        <f>H142/G142*100</f>
        <v>49.168384879725089</v>
      </c>
      <c r="J142" s="16">
        <v>783266</v>
      </c>
      <c r="K142" s="16">
        <f>G142-645684</f>
        <v>81816</v>
      </c>
      <c r="L142" s="16">
        <v>137582</v>
      </c>
      <c r="M142" s="18">
        <v>0</v>
      </c>
      <c r="N142" s="19">
        <v>0</v>
      </c>
      <c r="O142" s="20">
        <v>6.14</v>
      </c>
      <c r="P142" s="20">
        <v>6.14</v>
      </c>
      <c r="Q142" s="16" t="e">
        <f>K142/M142</f>
        <v>#DIV/0!</v>
      </c>
      <c r="R142" s="16">
        <f>K142/O142</f>
        <v>13325.081433224756</v>
      </c>
      <c r="S142" s="21">
        <f>K142/O142/43560</f>
        <v>0.30590177762223958</v>
      </c>
      <c r="T142" s="20">
        <v>0</v>
      </c>
      <c r="U142" s="22" t="s">
        <v>33</v>
      </c>
      <c r="V142" s="14" t="s">
        <v>240</v>
      </c>
      <c r="X142" s="14" t="s">
        <v>35</v>
      </c>
      <c r="Y142" s="14">
        <v>0</v>
      </c>
      <c r="Z142" s="14">
        <v>1</v>
      </c>
      <c r="AA142" s="23">
        <v>42121</v>
      </c>
      <c r="AC142" s="24" t="s">
        <v>36</v>
      </c>
    </row>
    <row r="143" spans="1:29" x14ac:dyDescent="0.25">
      <c r="A143" s="14" t="s">
        <v>217</v>
      </c>
      <c r="B143" s="14" t="s">
        <v>218</v>
      </c>
      <c r="C143" s="15">
        <v>45450</v>
      </c>
      <c r="D143" s="16">
        <v>675000</v>
      </c>
      <c r="E143" s="14" t="s">
        <v>31</v>
      </c>
      <c r="F143" s="14" t="s">
        <v>32</v>
      </c>
      <c r="G143" s="16">
        <v>675000</v>
      </c>
      <c r="H143" s="16">
        <v>284100</v>
      </c>
      <c r="I143" s="17">
        <f>H143/G143*100</f>
        <v>42.088888888888889</v>
      </c>
      <c r="J143" s="16">
        <v>625408</v>
      </c>
      <c r="K143" s="16">
        <f>G143-486470</f>
        <v>188530</v>
      </c>
      <c r="L143" s="16">
        <v>138938</v>
      </c>
      <c r="M143" s="18">
        <v>0</v>
      </c>
      <c r="N143" s="19">
        <v>0</v>
      </c>
      <c r="O143" s="20">
        <v>6.26</v>
      </c>
      <c r="P143" s="20">
        <v>6.26</v>
      </c>
      <c r="Q143" s="16" t="e">
        <f>K143/M143</f>
        <v>#DIV/0!</v>
      </c>
      <c r="R143" s="16">
        <f>K143/O143</f>
        <v>30116.613418530353</v>
      </c>
      <c r="S143" s="21">
        <f>K143/O143/43560</f>
        <v>0.69138230988361693</v>
      </c>
      <c r="T143" s="20">
        <v>0</v>
      </c>
      <c r="U143" s="22" t="s">
        <v>33</v>
      </c>
      <c r="V143" s="14" t="s">
        <v>219</v>
      </c>
      <c r="X143" s="14" t="s">
        <v>35</v>
      </c>
      <c r="Y143" s="14">
        <v>0</v>
      </c>
      <c r="Z143" s="14">
        <v>0</v>
      </c>
      <c r="AA143" s="23">
        <v>42163</v>
      </c>
      <c r="AC143" s="24" t="s">
        <v>36</v>
      </c>
    </row>
    <row r="144" spans="1:29" x14ac:dyDescent="0.25">
      <c r="A144" s="14" t="s">
        <v>232</v>
      </c>
      <c r="B144" s="14" t="s">
        <v>233</v>
      </c>
      <c r="C144" s="15">
        <v>45555</v>
      </c>
      <c r="D144" s="16">
        <v>625000</v>
      </c>
      <c r="E144" s="14" t="s">
        <v>31</v>
      </c>
      <c r="F144" s="14" t="s">
        <v>32</v>
      </c>
      <c r="G144" s="16">
        <v>625000</v>
      </c>
      <c r="H144" s="16">
        <v>324900</v>
      </c>
      <c r="I144" s="17">
        <f>H144/G144*100</f>
        <v>51.983999999999995</v>
      </c>
      <c r="J144" s="16">
        <v>709937</v>
      </c>
      <c r="K144" s="16">
        <f>G144-570999</f>
        <v>54001</v>
      </c>
      <c r="L144" s="16">
        <v>138938</v>
      </c>
      <c r="M144" s="18">
        <v>0</v>
      </c>
      <c r="N144" s="19">
        <v>0</v>
      </c>
      <c r="O144" s="20">
        <v>6.26</v>
      </c>
      <c r="P144" s="20">
        <v>6.26</v>
      </c>
      <c r="Q144" s="16" t="e">
        <f>K144/M144</f>
        <v>#DIV/0!</v>
      </c>
      <c r="R144" s="16">
        <f>K144/O144</f>
        <v>8626.3578274760384</v>
      </c>
      <c r="S144" s="21">
        <f>K144/O144/43560</f>
        <v>0.19803392625059776</v>
      </c>
      <c r="T144" s="20">
        <v>0</v>
      </c>
      <c r="U144" s="22" t="s">
        <v>33</v>
      </c>
      <c r="V144" s="14" t="s">
        <v>234</v>
      </c>
      <c r="X144" s="14" t="s">
        <v>35</v>
      </c>
      <c r="Y144" s="14">
        <v>0</v>
      </c>
      <c r="Z144" s="14">
        <v>0</v>
      </c>
      <c r="AA144" s="23">
        <v>42233</v>
      </c>
      <c r="AC144" s="24" t="s">
        <v>36</v>
      </c>
    </row>
    <row r="145" spans="1:29" x14ac:dyDescent="0.25">
      <c r="K145" s="16">
        <f>SUM(K133:K144)</f>
        <v>1778755</v>
      </c>
      <c r="O145" s="20">
        <f>SUM(O133:O144)</f>
        <v>67.33</v>
      </c>
      <c r="U145" s="22"/>
      <c r="AA145" s="23"/>
      <c r="AC145" s="24"/>
    </row>
    <row r="146" spans="1:29" x14ac:dyDescent="0.25">
      <c r="L146" s="16">
        <f>SUM(K145/O145)*5</f>
        <v>132092.3065498292</v>
      </c>
      <c r="U146" s="22"/>
      <c r="AA146" s="23"/>
      <c r="AC146" s="24"/>
    </row>
    <row r="147" spans="1:29" x14ac:dyDescent="0.25">
      <c r="U147" s="22"/>
      <c r="AA147" s="23"/>
      <c r="AC147" s="24"/>
    </row>
    <row r="148" spans="1:29" x14ac:dyDescent="0.25">
      <c r="A148" s="14" t="s">
        <v>269</v>
      </c>
      <c r="B148" s="14" t="s">
        <v>270</v>
      </c>
      <c r="C148" s="15">
        <v>45114</v>
      </c>
      <c r="D148" s="16">
        <v>467000</v>
      </c>
      <c r="E148" s="14" t="s">
        <v>31</v>
      </c>
      <c r="F148" s="14" t="s">
        <v>32</v>
      </c>
      <c r="G148" s="16">
        <v>467000</v>
      </c>
      <c r="H148" s="16">
        <v>173100</v>
      </c>
      <c r="I148" s="17">
        <f>H148/G148*100</f>
        <v>37.066381156316922</v>
      </c>
      <c r="J148" s="16">
        <v>470310</v>
      </c>
      <c r="K148" s="16">
        <f>G148-322896</f>
        <v>144104</v>
      </c>
      <c r="L148" s="16">
        <v>147414</v>
      </c>
      <c r="M148" s="18">
        <v>0</v>
      </c>
      <c r="N148" s="19">
        <v>0</v>
      </c>
      <c r="O148" s="20">
        <v>7.01</v>
      </c>
      <c r="P148" s="20">
        <v>7.01</v>
      </c>
      <c r="Q148" s="16" t="e">
        <f>K148/M148</f>
        <v>#DIV/0!</v>
      </c>
      <c r="R148" s="16">
        <f>K148/O148</f>
        <v>20556.918687589157</v>
      </c>
      <c r="S148" s="21">
        <f>K148/O148/43560</f>
        <v>0.47192191661132132</v>
      </c>
      <c r="T148" s="20">
        <v>0</v>
      </c>
      <c r="U148" s="22" t="s">
        <v>33</v>
      </c>
      <c r="V148" s="14" t="s">
        <v>271</v>
      </c>
      <c r="X148" s="14" t="s">
        <v>35</v>
      </c>
      <c r="Y148" s="14">
        <v>0</v>
      </c>
      <c r="Z148" s="14">
        <v>0</v>
      </c>
      <c r="AA148" s="14" t="s">
        <v>106</v>
      </c>
      <c r="AC148" s="24" t="s">
        <v>36</v>
      </c>
    </row>
    <row r="149" spans="1:29" x14ac:dyDescent="0.25">
      <c r="A149" s="14" t="s">
        <v>112</v>
      </c>
      <c r="B149" s="14" t="s">
        <v>113</v>
      </c>
      <c r="C149" s="15">
        <v>45082</v>
      </c>
      <c r="D149" s="16">
        <v>709000</v>
      </c>
      <c r="E149" s="14" t="s">
        <v>31</v>
      </c>
      <c r="F149" s="14" t="s">
        <v>32</v>
      </c>
      <c r="G149" s="16">
        <v>709000</v>
      </c>
      <c r="H149" s="16">
        <v>287000</v>
      </c>
      <c r="I149" s="17">
        <f>H149/G149*100</f>
        <v>40.479548660084625</v>
      </c>
      <c r="J149" s="16">
        <v>775880</v>
      </c>
      <c r="K149" s="16">
        <f>G149-617213</f>
        <v>91787</v>
      </c>
      <c r="L149" s="16">
        <v>158667</v>
      </c>
      <c r="M149" s="18">
        <v>0</v>
      </c>
      <c r="N149" s="19">
        <v>0</v>
      </c>
      <c r="O149" s="20">
        <v>8</v>
      </c>
      <c r="P149" s="20">
        <v>8</v>
      </c>
      <c r="Q149" s="16" t="e">
        <f>K149/M149</f>
        <v>#DIV/0!</v>
      </c>
      <c r="R149" s="16">
        <f>K149/O149</f>
        <v>11473.375</v>
      </c>
      <c r="S149" s="21">
        <f>K149/O149/43560</f>
        <v>0.26339244719926536</v>
      </c>
      <c r="T149" s="20">
        <v>0</v>
      </c>
      <c r="U149" s="22" t="s">
        <v>33</v>
      </c>
      <c r="V149" s="14" t="s">
        <v>114</v>
      </c>
      <c r="X149" s="14" t="s">
        <v>35</v>
      </c>
      <c r="Y149" s="14">
        <v>0</v>
      </c>
      <c r="Z149" s="14">
        <v>0</v>
      </c>
      <c r="AA149" s="23">
        <v>41855</v>
      </c>
      <c r="AC149" s="24" t="s">
        <v>115</v>
      </c>
    </row>
    <row r="150" spans="1:29" x14ac:dyDescent="0.25">
      <c r="K150" s="16">
        <f>SUM(K148:K149)</f>
        <v>235891</v>
      </c>
      <c r="O150" s="20">
        <f>SUM(O148:O149)</f>
        <v>15.01</v>
      </c>
      <c r="U150" s="22"/>
      <c r="AA150" s="23"/>
      <c r="AC150" s="24"/>
    </row>
    <row r="151" spans="1:29" x14ac:dyDescent="0.25">
      <c r="L151" s="16">
        <f>SUM(K150/O150)*7</f>
        <v>110009.127248501</v>
      </c>
      <c r="U151" s="22"/>
      <c r="AA151" s="23"/>
      <c r="AC151" s="24"/>
    </row>
    <row r="152" spans="1:29" x14ac:dyDescent="0.25">
      <c r="U152" s="22"/>
      <c r="AA152" s="23"/>
      <c r="AC152" s="24"/>
    </row>
    <row r="153" spans="1:29" x14ac:dyDescent="0.25">
      <c r="A153" s="14" t="s">
        <v>263</v>
      </c>
      <c r="B153" s="14" t="s">
        <v>264</v>
      </c>
      <c r="C153" s="15">
        <v>45236</v>
      </c>
      <c r="D153" s="16">
        <v>745000</v>
      </c>
      <c r="E153" s="14" t="s">
        <v>31</v>
      </c>
      <c r="F153" s="14" t="s">
        <v>32</v>
      </c>
      <c r="G153" s="16">
        <v>745000</v>
      </c>
      <c r="H153" s="16">
        <v>252700</v>
      </c>
      <c r="I153" s="17">
        <f>H153/G153*100</f>
        <v>33.919463087248317</v>
      </c>
      <c r="J153" s="16">
        <v>649635</v>
      </c>
      <c r="K153" s="16">
        <f>G153-468235</f>
        <v>276765</v>
      </c>
      <c r="L153" s="16">
        <v>181400</v>
      </c>
      <c r="M153" s="18">
        <v>0</v>
      </c>
      <c r="N153" s="19">
        <v>0</v>
      </c>
      <c r="O153" s="20">
        <v>10</v>
      </c>
      <c r="P153" s="20">
        <v>10</v>
      </c>
      <c r="Q153" s="16" t="e">
        <f>K153/M153</f>
        <v>#DIV/0!</v>
      </c>
      <c r="R153" s="16">
        <f>K153/O153</f>
        <v>27676.5</v>
      </c>
      <c r="S153" s="21">
        <f>K153/O153/43560</f>
        <v>0.6353650137741047</v>
      </c>
      <c r="T153" s="20">
        <v>0</v>
      </c>
      <c r="U153" s="22" t="s">
        <v>33</v>
      </c>
      <c r="V153" s="14" t="s">
        <v>265</v>
      </c>
      <c r="X153" s="14" t="s">
        <v>35</v>
      </c>
      <c r="Y153" s="14">
        <v>0</v>
      </c>
      <c r="Z153" s="14">
        <v>0</v>
      </c>
      <c r="AA153" s="23">
        <v>42173</v>
      </c>
      <c r="AC153" s="24" t="s">
        <v>36</v>
      </c>
    </row>
    <row r="154" spans="1:29" x14ac:dyDescent="0.25">
      <c r="A154" s="14" t="s">
        <v>441</v>
      </c>
      <c r="B154" s="14" t="s">
        <v>442</v>
      </c>
      <c r="C154" s="15">
        <v>45090</v>
      </c>
      <c r="D154" s="16">
        <v>280000</v>
      </c>
      <c r="E154" s="14" t="s">
        <v>31</v>
      </c>
      <c r="F154" s="14" t="s">
        <v>32</v>
      </c>
      <c r="G154" s="16">
        <v>280000</v>
      </c>
      <c r="H154" s="16">
        <v>80000</v>
      </c>
      <c r="I154" s="17">
        <f>H154/G154*100</f>
        <v>28.571428571428569</v>
      </c>
      <c r="J154" s="16">
        <v>181400</v>
      </c>
      <c r="K154" s="16">
        <f>G154-0</f>
        <v>280000</v>
      </c>
      <c r="L154" s="16">
        <v>181400</v>
      </c>
      <c r="M154" s="18">
        <v>0</v>
      </c>
      <c r="N154" s="19">
        <v>0</v>
      </c>
      <c r="O154" s="20">
        <v>10</v>
      </c>
      <c r="P154" s="20">
        <v>10</v>
      </c>
      <c r="Q154" s="16" t="e">
        <f>K154/M154</f>
        <v>#DIV/0!</v>
      </c>
      <c r="R154" s="16">
        <f>K154/O154</f>
        <v>28000</v>
      </c>
      <c r="S154" s="21">
        <f>K154/O154/43560</f>
        <v>0.64279155188246095</v>
      </c>
      <c r="T154" s="20">
        <v>0</v>
      </c>
      <c r="U154" s="22" t="s">
        <v>33</v>
      </c>
      <c r="V154" s="14" t="s">
        <v>443</v>
      </c>
      <c r="X154" s="14" t="s">
        <v>35</v>
      </c>
      <c r="Y154" s="14">
        <v>0</v>
      </c>
      <c r="Z154" s="14">
        <v>0</v>
      </c>
      <c r="AA154" s="23">
        <v>45986</v>
      </c>
      <c r="AC154" s="24" t="s">
        <v>36</v>
      </c>
    </row>
    <row r="155" spans="1:29" x14ac:dyDescent="0.25">
      <c r="A155" s="14" t="s">
        <v>56</v>
      </c>
      <c r="B155" s="14" t="s">
        <v>57</v>
      </c>
      <c r="C155" s="15">
        <v>45400</v>
      </c>
      <c r="D155" s="16">
        <v>575000</v>
      </c>
      <c r="E155" s="14" t="s">
        <v>58</v>
      </c>
      <c r="F155" s="14" t="s">
        <v>32</v>
      </c>
      <c r="G155" s="16">
        <v>575000</v>
      </c>
      <c r="H155" s="16">
        <v>264400</v>
      </c>
      <c r="I155" s="17">
        <f>H155/G155*100</f>
        <v>45.982608695652175</v>
      </c>
      <c r="J155" s="16">
        <v>581109</v>
      </c>
      <c r="K155" s="16">
        <f>G155-398283</f>
        <v>176717</v>
      </c>
      <c r="L155" s="16">
        <v>182826</v>
      </c>
      <c r="M155" s="18">
        <v>0</v>
      </c>
      <c r="N155" s="19">
        <v>0</v>
      </c>
      <c r="O155" s="20">
        <v>10.18</v>
      </c>
      <c r="P155" s="20">
        <v>10.18</v>
      </c>
      <c r="Q155" s="16" t="e">
        <f>K155/M155</f>
        <v>#DIV/0!</v>
      </c>
      <c r="R155" s="16">
        <f>K155/O155</f>
        <v>17359.233791748527</v>
      </c>
      <c r="S155" s="21">
        <f>K155/O155/43560</f>
        <v>0.39851317244601764</v>
      </c>
      <c r="T155" s="20">
        <v>0</v>
      </c>
      <c r="U155" s="22" t="s">
        <v>33</v>
      </c>
      <c r="V155" s="14" t="s">
        <v>59</v>
      </c>
      <c r="X155" s="14" t="s">
        <v>35</v>
      </c>
      <c r="Y155" s="14">
        <v>0</v>
      </c>
      <c r="Z155" s="14">
        <v>1</v>
      </c>
      <c r="AA155" s="23">
        <v>45462</v>
      </c>
      <c r="AC155" s="24" t="s">
        <v>36</v>
      </c>
    </row>
    <row r="156" spans="1:29" x14ac:dyDescent="0.25">
      <c r="A156" s="14" t="s">
        <v>321</v>
      </c>
      <c r="B156" s="14" t="s">
        <v>322</v>
      </c>
      <c r="C156" s="15">
        <v>45419</v>
      </c>
      <c r="D156" s="16">
        <v>930000</v>
      </c>
      <c r="E156" s="14" t="s">
        <v>31</v>
      </c>
      <c r="F156" s="14" t="s">
        <v>32</v>
      </c>
      <c r="G156" s="16">
        <v>930000</v>
      </c>
      <c r="H156" s="16">
        <v>396600</v>
      </c>
      <c r="I156" s="17">
        <f>H156/G156*100</f>
        <v>42.645161290322584</v>
      </c>
      <c r="J156" s="16">
        <v>867829</v>
      </c>
      <c r="K156" s="16">
        <f>G156-592165</f>
        <v>337835</v>
      </c>
      <c r="L156" s="16">
        <v>275664</v>
      </c>
      <c r="M156" s="18">
        <v>0</v>
      </c>
      <c r="N156" s="19">
        <v>0</v>
      </c>
      <c r="O156" s="20">
        <v>10.3</v>
      </c>
      <c r="P156" s="20">
        <v>10.3</v>
      </c>
      <c r="Q156" s="16" t="e">
        <f>K156/M156</f>
        <v>#DIV/0!</v>
      </c>
      <c r="R156" s="16">
        <f>K156/O156</f>
        <v>32799.514563106794</v>
      </c>
      <c r="S156" s="21">
        <f>K156/O156/43560</f>
        <v>0.75297324525038556</v>
      </c>
      <c r="T156" s="20">
        <v>0</v>
      </c>
      <c r="U156" s="22" t="s">
        <v>33</v>
      </c>
      <c r="V156" s="14" t="s">
        <v>323</v>
      </c>
      <c r="X156" s="14" t="s">
        <v>35</v>
      </c>
      <c r="Y156" s="14">
        <v>0</v>
      </c>
      <c r="Z156" s="14">
        <v>1</v>
      </c>
      <c r="AA156" s="23">
        <v>41914</v>
      </c>
      <c r="AC156" s="24" t="s">
        <v>36</v>
      </c>
    </row>
    <row r="157" spans="1:29" x14ac:dyDescent="0.25">
      <c r="A157" s="14" t="s">
        <v>321</v>
      </c>
      <c r="B157" s="14" t="s">
        <v>322</v>
      </c>
      <c r="C157" s="15">
        <v>45156</v>
      </c>
      <c r="D157" s="16">
        <v>850000</v>
      </c>
      <c r="E157" s="14" t="s">
        <v>31</v>
      </c>
      <c r="F157" s="14" t="s">
        <v>32</v>
      </c>
      <c r="G157" s="16">
        <v>850000</v>
      </c>
      <c r="H157" s="16">
        <v>347000</v>
      </c>
      <c r="I157" s="17">
        <f>H157/G157*100</f>
        <v>40.82352941176471</v>
      </c>
      <c r="J157" s="16">
        <v>867829</v>
      </c>
      <c r="K157" s="16">
        <f>G157-592165</f>
        <v>257835</v>
      </c>
      <c r="L157" s="16">
        <v>275664</v>
      </c>
      <c r="M157" s="18">
        <v>0</v>
      </c>
      <c r="N157" s="19">
        <v>0</v>
      </c>
      <c r="O157" s="20">
        <v>10.3</v>
      </c>
      <c r="P157" s="20">
        <v>10.3</v>
      </c>
      <c r="Q157" s="16" t="e">
        <f>K157/M157</f>
        <v>#DIV/0!</v>
      </c>
      <c r="R157" s="16">
        <f>K157/O157</f>
        <v>25032.524271844657</v>
      </c>
      <c r="S157" s="21">
        <f>K157/O157/43560</f>
        <v>0.57466768300837134</v>
      </c>
      <c r="T157" s="20">
        <v>0</v>
      </c>
      <c r="U157" s="22" t="s">
        <v>33</v>
      </c>
      <c r="V157" s="14" t="s">
        <v>324</v>
      </c>
      <c r="X157" s="14" t="s">
        <v>35</v>
      </c>
      <c r="Y157" s="14">
        <v>0</v>
      </c>
      <c r="Z157" s="14">
        <v>1</v>
      </c>
      <c r="AA157" s="23">
        <v>41914</v>
      </c>
      <c r="AC157" s="24" t="s">
        <v>36</v>
      </c>
    </row>
    <row r="158" spans="1:29" x14ac:dyDescent="0.25">
      <c r="A158" s="14" t="s">
        <v>385</v>
      </c>
      <c r="B158" s="14" t="s">
        <v>386</v>
      </c>
      <c r="C158" s="15">
        <v>45576</v>
      </c>
      <c r="D158" s="16">
        <v>1600000</v>
      </c>
      <c r="E158" s="14" t="s">
        <v>31</v>
      </c>
      <c r="F158" s="14" t="s">
        <v>32</v>
      </c>
      <c r="G158" s="16">
        <v>1600000</v>
      </c>
      <c r="H158" s="16">
        <v>707800</v>
      </c>
      <c r="I158" s="17">
        <f>H158/G158*100</f>
        <v>44.237500000000004</v>
      </c>
      <c r="J158" s="16">
        <v>1570078</v>
      </c>
      <c r="K158" s="16">
        <f>G158-1333428</f>
        <v>266572</v>
      </c>
      <c r="L158" s="16">
        <v>236650</v>
      </c>
      <c r="M158" s="18">
        <v>0</v>
      </c>
      <c r="N158" s="19">
        <v>0</v>
      </c>
      <c r="O158" s="20">
        <v>11</v>
      </c>
      <c r="P158" s="20">
        <v>11</v>
      </c>
      <c r="Q158" s="16" t="e">
        <f>K158/M158</f>
        <v>#DIV/0!</v>
      </c>
      <c r="R158" s="16">
        <f>K158/O158</f>
        <v>24233.81818181818</v>
      </c>
      <c r="S158" s="21">
        <f>K158/O158/43560</f>
        <v>0.55633191418315386</v>
      </c>
      <c r="T158" s="20">
        <v>0</v>
      </c>
      <c r="U158" s="22" t="s">
        <v>33</v>
      </c>
      <c r="V158" s="14" t="s">
        <v>387</v>
      </c>
      <c r="X158" s="14" t="s">
        <v>35</v>
      </c>
      <c r="Y158" s="14">
        <v>0</v>
      </c>
      <c r="Z158" s="14">
        <v>0</v>
      </c>
      <c r="AA158" s="23">
        <v>45957</v>
      </c>
      <c r="AC158" s="24" t="s">
        <v>36</v>
      </c>
    </row>
    <row r="159" spans="1:29" x14ac:dyDescent="0.25">
      <c r="A159" s="14" t="s">
        <v>173</v>
      </c>
      <c r="B159" s="14" t="s">
        <v>174</v>
      </c>
      <c r="C159" s="15">
        <v>45526</v>
      </c>
      <c r="D159" s="16">
        <v>675000</v>
      </c>
      <c r="E159" s="14" t="s">
        <v>31</v>
      </c>
      <c r="F159" s="14" t="s">
        <v>32</v>
      </c>
      <c r="G159" s="16">
        <v>675000</v>
      </c>
      <c r="H159" s="16">
        <v>272800</v>
      </c>
      <c r="I159" s="17">
        <f>H159/G159*100</f>
        <v>40.414814814814818</v>
      </c>
      <c r="J159" s="16">
        <v>600837</v>
      </c>
      <c r="K159" s="16">
        <f>G159-401063</f>
        <v>273937</v>
      </c>
      <c r="L159" s="16">
        <v>199774</v>
      </c>
      <c r="M159" s="18">
        <v>0</v>
      </c>
      <c r="N159" s="19">
        <v>0</v>
      </c>
      <c r="O159" s="20">
        <v>12.32</v>
      </c>
      <c r="P159" s="20">
        <v>12.32</v>
      </c>
      <c r="Q159" s="16" t="e">
        <f>K159/M159</f>
        <v>#DIV/0!</v>
      </c>
      <c r="R159" s="16">
        <f>K159/O159</f>
        <v>22235.146103896102</v>
      </c>
      <c r="S159" s="21">
        <f>K159/O159/43560</f>
        <v>0.51044871680202253</v>
      </c>
      <c r="T159" s="20">
        <v>0</v>
      </c>
      <c r="U159" s="22" t="s">
        <v>33</v>
      </c>
      <c r="V159" s="14" t="s">
        <v>175</v>
      </c>
      <c r="X159" s="14" t="s">
        <v>35</v>
      </c>
      <c r="Y159" s="14">
        <v>0</v>
      </c>
      <c r="Z159" s="14">
        <v>0</v>
      </c>
      <c r="AA159" s="23">
        <v>41509</v>
      </c>
      <c r="AC159" s="24" t="s">
        <v>36</v>
      </c>
    </row>
    <row r="160" spans="1:29" x14ac:dyDescent="0.25">
      <c r="A160" s="14" t="s">
        <v>287</v>
      </c>
      <c r="B160" s="14" t="s">
        <v>288</v>
      </c>
      <c r="C160" s="15">
        <v>45467</v>
      </c>
      <c r="D160" s="16">
        <v>625000</v>
      </c>
      <c r="E160" s="14" t="s">
        <v>31</v>
      </c>
      <c r="F160" s="14" t="s">
        <v>32</v>
      </c>
      <c r="G160" s="16">
        <v>625000</v>
      </c>
      <c r="H160" s="16">
        <v>225000</v>
      </c>
      <c r="I160" s="17">
        <f>H160/G160*100</f>
        <v>36</v>
      </c>
      <c r="J160" s="16">
        <v>491526</v>
      </c>
      <c r="K160" s="16">
        <f>G160-289138</f>
        <v>335862</v>
      </c>
      <c r="L160" s="16">
        <v>202388</v>
      </c>
      <c r="M160" s="18">
        <v>0</v>
      </c>
      <c r="N160" s="19">
        <v>0</v>
      </c>
      <c r="O160" s="20">
        <v>12.65</v>
      </c>
      <c r="P160" s="20">
        <v>12.65</v>
      </c>
      <c r="Q160" s="16" t="e">
        <f>K160/M160</f>
        <v>#DIV/0!</v>
      </c>
      <c r="R160" s="16">
        <f>K160/O160</f>
        <v>26550.355731225296</v>
      </c>
      <c r="S160" s="21">
        <f>K160/O160/43560</f>
        <v>0.60951229869663215</v>
      </c>
      <c r="T160" s="20">
        <v>0</v>
      </c>
      <c r="U160" s="22" t="s">
        <v>33</v>
      </c>
      <c r="V160" s="14" t="s">
        <v>289</v>
      </c>
      <c r="X160" s="14" t="s">
        <v>35</v>
      </c>
      <c r="Y160" s="14">
        <v>0</v>
      </c>
      <c r="Z160" s="14">
        <v>0</v>
      </c>
      <c r="AA160" s="23">
        <v>42202</v>
      </c>
      <c r="AC160" s="24" t="s">
        <v>36</v>
      </c>
    </row>
    <row r="161" spans="1:29" x14ac:dyDescent="0.25">
      <c r="A161" s="14" t="s">
        <v>63</v>
      </c>
      <c r="B161" s="14" t="s">
        <v>64</v>
      </c>
      <c r="C161" s="15">
        <v>45607</v>
      </c>
      <c r="D161" s="16">
        <v>1215000</v>
      </c>
      <c r="E161" s="14" t="s">
        <v>31</v>
      </c>
      <c r="F161" s="14" t="s">
        <v>32</v>
      </c>
      <c r="G161" s="16">
        <v>1215000</v>
      </c>
      <c r="H161" s="16">
        <v>424600</v>
      </c>
      <c r="I161" s="17">
        <f>H161/G161*100</f>
        <v>34.946502057613174</v>
      </c>
      <c r="J161" s="16">
        <v>1058040</v>
      </c>
      <c r="K161" s="16">
        <f>G161-851454</f>
        <v>363546</v>
      </c>
      <c r="L161" s="16">
        <v>206586</v>
      </c>
      <c r="M161" s="18">
        <v>0</v>
      </c>
      <c r="N161" s="19">
        <v>0</v>
      </c>
      <c r="O161" s="20">
        <v>13.18</v>
      </c>
      <c r="P161" s="20">
        <v>13.18</v>
      </c>
      <c r="Q161" s="16" t="e">
        <f>K161/M161</f>
        <v>#DIV/0!</v>
      </c>
      <c r="R161" s="16">
        <f>K161/O161</f>
        <v>27583.156297420333</v>
      </c>
      <c r="S161" s="21">
        <f>K161/O161/43560</f>
        <v>0.63322213722268905</v>
      </c>
      <c r="T161" s="20">
        <v>0</v>
      </c>
      <c r="U161" s="22" t="s">
        <v>33</v>
      </c>
      <c r="V161" s="14" t="s">
        <v>65</v>
      </c>
      <c r="X161" s="14" t="s">
        <v>35</v>
      </c>
      <c r="Y161" s="14">
        <v>0</v>
      </c>
      <c r="Z161" s="14">
        <v>0</v>
      </c>
      <c r="AA161" s="23">
        <v>45469</v>
      </c>
      <c r="AC161" s="24" t="s">
        <v>36</v>
      </c>
    </row>
    <row r="162" spans="1:29" x14ac:dyDescent="0.25">
      <c r="K162" s="16">
        <f>SUM(K153:K161)</f>
        <v>2569069</v>
      </c>
      <c r="O162" s="20">
        <f>SUM(O153:O161)</f>
        <v>99.93</v>
      </c>
      <c r="U162" s="22"/>
      <c r="AA162" s="23"/>
      <c r="AC162" s="24"/>
    </row>
    <row r="163" spans="1:29" x14ac:dyDescent="0.25">
      <c r="L163" s="16">
        <f>SUM(K162/O162)*10</f>
        <v>257086.8608025618</v>
      </c>
      <c r="U163" s="22"/>
      <c r="AA163" s="23"/>
      <c r="AC163" s="24"/>
    </row>
    <row r="164" spans="1:29" x14ac:dyDescent="0.25">
      <c r="U164" s="22"/>
      <c r="AA164" s="23"/>
      <c r="AC164" s="24"/>
    </row>
    <row r="165" spans="1:29" x14ac:dyDescent="0.25">
      <c r="A165" s="14" t="s">
        <v>290</v>
      </c>
      <c r="B165" s="14" t="s">
        <v>291</v>
      </c>
      <c r="C165" s="15">
        <v>45492</v>
      </c>
      <c r="D165" s="16">
        <v>2700000</v>
      </c>
      <c r="E165" s="14" t="s">
        <v>31</v>
      </c>
      <c r="F165" s="14" t="s">
        <v>121</v>
      </c>
      <c r="G165" s="16">
        <v>2700000</v>
      </c>
      <c r="H165" s="16">
        <v>995900</v>
      </c>
      <c r="I165" s="17">
        <f>H165/G165*100</f>
        <v>36.885185185185186</v>
      </c>
      <c r="J165" s="16">
        <v>1991612</v>
      </c>
      <c r="K165" s="16">
        <f>G165-1121537</f>
        <v>1578463</v>
      </c>
      <c r="L165" s="16">
        <v>870075</v>
      </c>
      <c r="M165" s="18">
        <v>0</v>
      </c>
      <c r="N165" s="19">
        <v>0</v>
      </c>
      <c r="O165" s="20">
        <v>72.87</v>
      </c>
      <c r="P165" s="20">
        <v>13.96</v>
      </c>
      <c r="Q165" s="16" t="e">
        <f>K165/M165</f>
        <v>#DIV/0!</v>
      </c>
      <c r="R165" s="16">
        <f>K165/O165</f>
        <v>21661.355839165637</v>
      </c>
      <c r="S165" s="21">
        <f>K165/O165/43560</f>
        <v>0.49727630484769597</v>
      </c>
      <c r="T165" s="20">
        <v>0</v>
      </c>
      <c r="U165" s="22" t="s">
        <v>33</v>
      </c>
      <c r="V165" s="14" t="s">
        <v>292</v>
      </c>
      <c r="W165" s="14" t="s">
        <v>293</v>
      </c>
      <c r="X165" s="14" t="s">
        <v>35</v>
      </c>
      <c r="Y165" s="14">
        <v>0</v>
      </c>
      <c r="Z165" s="14">
        <v>1</v>
      </c>
      <c r="AA165" s="23">
        <v>41651</v>
      </c>
      <c r="AC165" s="24" t="s">
        <v>36</v>
      </c>
    </row>
    <row r="166" spans="1:29" x14ac:dyDescent="0.25">
      <c r="U166" s="22"/>
      <c r="AA166" s="23"/>
      <c r="AC166" s="24"/>
    </row>
    <row r="167" spans="1:29" x14ac:dyDescent="0.25">
      <c r="A167" s="14" t="s">
        <v>444</v>
      </c>
      <c r="B167" s="14" t="s">
        <v>445</v>
      </c>
      <c r="C167" s="15">
        <v>45203</v>
      </c>
      <c r="D167" s="16">
        <v>900000</v>
      </c>
      <c r="E167" s="14" t="s">
        <v>31</v>
      </c>
      <c r="F167" s="14" t="s">
        <v>32</v>
      </c>
      <c r="G167" s="16">
        <v>900000</v>
      </c>
      <c r="H167" s="16">
        <v>385700</v>
      </c>
      <c r="I167" s="17">
        <f>H167/G167*100</f>
        <v>42.855555555555554</v>
      </c>
      <c r="J167" s="16">
        <v>1032155</v>
      </c>
      <c r="K167" s="16">
        <f>G167-809691</f>
        <v>90309</v>
      </c>
      <c r="L167" s="16">
        <v>222464</v>
      </c>
      <c r="M167" s="18">
        <v>0</v>
      </c>
      <c r="N167" s="19">
        <v>0</v>
      </c>
      <c r="O167" s="20">
        <v>16.829999999999998</v>
      </c>
      <c r="P167" s="20">
        <v>16.829999999999998</v>
      </c>
      <c r="Q167" s="16" t="e">
        <f>K167/M167</f>
        <v>#DIV/0!</v>
      </c>
      <c r="R167" s="16">
        <f>K167/O167</f>
        <v>5365.9536541889493</v>
      </c>
      <c r="S167" s="21">
        <f>K167/O167/43560</f>
        <v>0.12318534559662418</v>
      </c>
      <c r="T167" s="20">
        <v>0</v>
      </c>
      <c r="U167" s="22" t="s">
        <v>33</v>
      </c>
      <c r="V167" s="14" t="s">
        <v>446</v>
      </c>
      <c r="X167" s="14" t="s">
        <v>35</v>
      </c>
      <c r="Y167" s="14">
        <v>0</v>
      </c>
      <c r="Z167" s="14">
        <v>0</v>
      </c>
      <c r="AA167" s="23">
        <v>43336</v>
      </c>
      <c r="AC167" s="24" t="s">
        <v>115</v>
      </c>
    </row>
    <row r="168" spans="1:29" x14ac:dyDescent="0.25">
      <c r="A168" s="14" t="s">
        <v>373</v>
      </c>
      <c r="B168" s="14" t="s">
        <v>374</v>
      </c>
      <c r="C168" s="15">
        <v>45544</v>
      </c>
      <c r="D168" s="16">
        <v>838000</v>
      </c>
      <c r="E168" s="14" t="s">
        <v>31</v>
      </c>
      <c r="F168" s="14" t="s">
        <v>32</v>
      </c>
      <c r="G168" s="16">
        <v>838000</v>
      </c>
      <c r="H168" s="16">
        <v>211800</v>
      </c>
      <c r="I168" s="17">
        <f>H168/G168*100</f>
        <v>25.274463007159902</v>
      </c>
      <c r="J168" s="16">
        <v>859013</v>
      </c>
      <c r="K168" s="16">
        <f>G168-635573</f>
        <v>202427</v>
      </c>
      <c r="L168" s="16">
        <v>223440</v>
      </c>
      <c r="M168" s="18">
        <v>0</v>
      </c>
      <c r="N168" s="19">
        <v>0</v>
      </c>
      <c r="O168" s="20">
        <v>18.05</v>
      </c>
      <c r="P168" s="20">
        <v>18.05</v>
      </c>
      <c r="Q168" s="16" t="e">
        <f>K168/M168</f>
        <v>#DIV/0!</v>
      </c>
      <c r="R168" s="16">
        <f>K168/O168</f>
        <v>11214.792243767313</v>
      </c>
      <c r="S168" s="21">
        <f>K168/O168/43560</f>
        <v>0.25745620394323493</v>
      </c>
      <c r="T168" s="20">
        <v>0</v>
      </c>
      <c r="U168" s="22" t="s">
        <v>33</v>
      </c>
      <c r="V168" s="14" t="s">
        <v>375</v>
      </c>
      <c r="X168" s="14" t="s">
        <v>35</v>
      </c>
      <c r="Y168" s="14">
        <v>0</v>
      </c>
      <c r="Z168" s="14">
        <v>0</v>
      </c>
      <c r="AA168" s="23">
        <v>45652</v>
      </c>
      <c r="AC168" s="24" t="s">
        <v>36</v>
      </c>
    </row>
    <row r="169" spans="1:29" x14ac:dyDescent="0.25">
      <c r="K169" s="16">
        <f>SUM(K167:K168)</f>
        <v>292736</v>
      </c>
      <c r="O169" s="20">
        <f>SUM(O167:O168)</f>
        <v>34.879999999999995</v>
      </c>
      <c r="U169" s="22"/>
      <c r="AA169" s="23"/>
      <c r="AC169" s="24"/>
    </row>
    <row r="170" spans="1:29" x14ac:dyDescent="0.25">
      <c r="L170" s="16">
        <f>SUM(K169/O169)*15</f>
        <v>125889.90825688075</v>
      </c>
      <c r="U170" s="22"/>
      <c r="AA170" s="23"/>
      <c r="AC170" s="24"/>
    </row>
    <row r="171" spans="1:29" x14ac:dyDescent="0.25">
      <c r="U171" s="22"/>
      <c r="AA171" s="23"/>
      <c r="AC171" s="24"/>
    </row>
    <row r="172" spans="1:29" x14ac:dyDescent="0.25">
      <c r="A172" s="14" t="s">
        <v>47</v>
      </c>
      <c r="B172" s="14" t="s">
        <v>48</v>
      </c>
      <c r="C172" s="15">
        <v>45729</v>
      </c>
      <c r="D172" s="16">
        <v>470000</v>
      </c>
      <c r="E172" s="14" t="s">
        <v>31</v>
      </c>
      <c r="F172" s="14" t="s">
        <v>32</v>
      </c>
      <c r="G172" s="16">
        <v>470000</v>
      </c>
      <c r="H172" s="16">
        <v>222900</v>
      </c>
      <c r="I172" s="17">
        <f>H172/G172*100</f>
        <v>47.425531914893618</v>
      </c>
      <c r="J172" s="16">
        <v>488475</v>
      </c>
      <c r="K172" s="16">
        <f>G172-171322</f>
        <v>298678</v>
      </c>
      <c r="L172" s="16">
        <v>317153</v>
      </c>
      <c r="M172" s="18">
        <v>0</v>
      </c>
      <c r="N172" s="19">
        <v>0</v>
      </c>
      <c r="O172" s="20">
        <v>26.98</v>
      </c>
      <c r="P172" s="20">
        <v>26.98</v>
      </c>
      <c r="Q172" s="16" t="e">
        <f>K172/M172</f>
        <v>#DIV/0!</v>
      </c>
      <c r="R172" s="16">
        <f>K172/O172</f>
        <v>11070.348406226834</v>
      </c>
      <c r="S172" s="21">
        <f>K172/O172/43560</f>
        <v>0.25414022971135986</v>
      </c>
      <c r="T172" s="20">
        <v>0</v>
      </c>
      <c r="U172" s="22" t="s">
        <v>33</v>
      </c>
      <c r="V172" s="14" t="s">
        <v>49</v>
      </c>
      <c r="X172" s="14" t="s">
        <v>35</v>
      </c>
      <c r="Y172" s="14">
        <v>1</v>
      </c>
      <c r="Z172" s="14">
        <v>0</v>
      </c>
      <c r="AA172" s="23">
        <v>44386</v>
      </c>
      <c r="AC172" s="24" t="s">
        <v>36</v>
      </c>
    </row>
    <row r="173" spans="1:29" x14ac:dyDescent="0.25">
      <c r="A173" s="14" t="s">
        <v>66</v>
      </c>
      <c r="B173" s="14" t="s">
        <v>67</v>
      </c>
      <c r="C173" s="15">
        <v>45427</v>
      </c>
      <c r="D173" s="16">
        <v>1150000</v>
      </c>
      <c r="E173" s="14" t="s">
        <v>31</v>
      </c>
      <c r="F173" s="14" t="s">
        <v>32</v>
      </c>
      <c r="G173" s="16">
        <v>1150000</v>
      </c>
      <c r="H173" s="16">
        <v>421400</v>
      </c>
      <c r="I173" s="17">
        <f>H173/G173*100</f>
        <v>36.643478260869564</v>
      </c>
      <c r="J173" s="16">
        <v>918364</v>
      </c>
      <c r="K173" s="16">
        <f>G173-11484</f>
        <v>1138516</v>
      </c>
      <c r="L173" s="16">
        <v>906880</v>
      </c>
      <c r="M173" s="18">
        <v>0</v>
      </c>
      <c r="N173" s="19">
        <v>0</v>
      </c>
      <c r="O173" s="20">
        <v>80</v>
      </c>
      <c r="P173" s="20">
        <v>80</v>
      </c>
      <c r="Q173" s="16" t="e">
        <f>K173/M173</f>
        <v>#DIV/0!</v>
      </c>
      <c r="R173" s="16">
        <f>K173/O173</f>
        <v>14231.45</v>
      </c>
      <c r="S173" s="21">
        <f>K173/O173/43560</f>
        <v>0.32670913682277319</v>
      </c>
      <c r="T173" s="20">
        <v>0</v>
      </c>
      <c r="U173" s="22" t="s">
        <v>33</v>
      </c>
      <c r="V173" s="14" t="s">
        <v>58</v>
      </c>
      <c r="X173" s="14" t="s">
        <v>35</v>
      </c>
      <c r="Y173" s="14">
        <v>0</v>
      </c>
      <c r="Z173" s="14">
        <v>0</v>
      </c>
      <c r="AA173" s="23">
        <v>41418</v>
      </c>
      <c r="AC173" s="24" t="s">
        <v>36</v>
      </c>
    </row>
    <row r="174" spans="1:29" x14ac:dyDescent="0.25">
      <c r="U174" s="22"/>
      <c r="AA174" s="23"/>
      <c r="AC174" s="24"/>
    </row>
    <row r="175" spans="1:29" x14ac:dyDescent="0.25">
      <c r="U175" s="22"/>
      <c r="AA175" s="23"/>
      <c r="AC175" s="24"/>
    </row>
    <row r="176" spans="1:29" x14ac:dyDescent="0.25">
      <c r="A176" s="14" t="s">
        <v>379</v>
      </c>
      <c r="B176" s="14" t="s">
        <v>380</v>
      </c>
      <c r="C176" s="15">
        <v>45184</v>
      </c>
      <c r="D176" s="16">
        <v>1700000</v>
      </c>
      <c r="E176" s="14" t="s">
        <v>31</v>
      </c>
      <c r="F176" s="14" t="s">
        <v>32</v>
      </c>
      <c r="G176" s="16">
        <v>1700000</v>
      </c>
      <c r="H176" s="16">
        <v>534700</v>
      </c>
      <c r="I176" s="17">
        <f>H176/G176*100</f>
        <v>31.452941176470588</v>
      </c>
      <c r="J176" s="16">
        <v>1213478</v>
      </c>
      <c r="K176" s="16">
        <f>G176-6534</f>
        <v>1693466</v>
      </c>
      <c r="L176" s="16">
        <v>1206944</v>
      </c>
      <c r="M176" s="18">
        <v>0</v>
      </c>
      <c r="N176" s="19">
        <v>0</v>
      </c>
      <c r="O176" s="20">
        <v>106.47</v>
      </c>
      <c r="P176" s="20">
        <v>106.47</v>
      </c>
      <c r="Q176" s="16" t="e">
        <f>K176/M176</f>
        <v>#DIV/0!</v>
      </c>
      <c r="R176" s="16">
        <f>K176/O176</f>
        <v>15905.569644031182</v>
      </c>
      <c r="S176" s="21">
        <f>K176/O176/43560</f>
        <v>0.36514163553790591</v>
      </c>
      <c r="T176" s="20">
        <v>0</v>
      </c>
      <c r="U176" s="22" t="s">
        <v>33</v>
      </c>
      <c r="V176" s="14" t="s">
        <v>381</v>
      </c>
      <c r="X176" s="14" t="s">
        <v>35</v>
      </c>
      <c r="Y176" s="14">
        <v>0</v>
      </c>
      <c r="Z176" s="14">
        <v>0</v>
      </c>
      <c r="AA176" s="14" t="s">
        <v>106</v>
      </c>
      <c r="AC176" s="24" t="s">
        <v>71</v>
      </c>
    </row>
    <row r="177" spans="1:29" x14ac:dyDescent="0.25">
      <c r="A177" s="14" t="s">
        <v>266</v>
      </c>
      <c r="B177" s="14" t="s">
        <v>267</v>
      </c>
      <c r="C177" s="15">
        <v>45632</v>
      </c>
      <c r="D177" s="16">
        <v>2275000</v>
      </c>
      <c r="E177" s="14" t="s">
        <v>31</v>
      </c>
      <c r="F177" s="14" t="s">
        <v>32</v>
      </c>
      <c r="G177" s="16">
        <v>2275000</v>
      </c>
      <c r="H177" s="16">
        <v>675900</v>
      </c>
      <c r="I177" s="17">
        <f>H177/G177*100</f>
        <v>29.709890109890107</v>
      </c>
      <c r="J177" s="16">
        <v>1473567</v>
      </c>
      <c r="K177" s="16">
        <f>G177-0</f>
        <v>2275000</v>
      </c>
      <c r="L177" s="16">
        <v>1473567</v>
      </c>
      <c r="M177" s="18">
        <v>0</v>
      </c>
      <c r="N177" s="19">
        <v>0</v>
      </c>
      <c r="O177" s="20">
        <v>129.99</v>
      </c>
      <c r="P177" s="20">
        <v>129.99</v>
      </c>
      <c r="Q177" s="16" t="e">
        <f>K177/M177</f>
        <v>#DIV/0!</v>
      </c>
      <c r="R177" s="16">
        <f>K177/O177</f>
        <v>17501.346257404413</v>
      </c>
      <c r="S177" s="21">
        <f>K177/O177/43560</f>
        <v>0.40177562574390296</v>
      </c>
      <c r="T177" s="20">
        <v>0</v>
      </c>
      <c r="U177" s="22" t="s">
        <v>33</v>
      </c>
      <c r="V177" s="14" t="s">
        <v>268</v>
      </c>
      <c r="X177" s="14" t="s">
        <v>35</v>
      </c>
      <c r="Y177" s="14">
        <v>0</v>
      </c>
      <c r="Z177" s="14">
        <v>0</v>
      </c>
      <c r="AA177" s="23">
        <v>42173</v>
      </c>
      <c r="AC177" s="24" t="s">
        <v>71</v>
      </c>
    </row>
    <row r="178" spans="1:29" x14ac:dyDescent="0.25">
      <c r="A178"/>
      <c r="B178"/>
      <c r="C178"/>
      <c r="D178"/>
      <c r="E178"/>
      <c r="F178"/>
      <c r="G178"/>
      <c r="H178"/>
      <c r="I178"/>
      <c r="J178"/>
      <c r="K178"/>
      <c r="L178" s="2">
        <f>SUM(L176:L177)</f>
        <v>2680511</v>
      </c>
      <c r="M178"/>
      <c r="N178"/>
      <c r="O178" s="3">
        <f>SUM(O176:O177)</f>
        <v>236.46</v>
      </c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</row>
    <row r="179" spans="1:29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 s="4">
        <f>SUM(L178/O178)*100</f>
        <v>1133600.1860779836</v>
      </c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</row>
    <row r="180" spans="1:29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</row>
    <row r="181" spans="1:29" x14ac:dyDescent="0.25">
      <c r="A181"/>
      <c r="B181"/>
      <c r="C181"/>
      <c r="D181"/>
      <c r="E181"/>
      <c r="F181"/>
      <c r="G181"/>
      <c r="H181">
        <v>2025</v>
      </c>
      <c r="I181" t="s">
        <v>447</v>
      </c>
      <c r="J181">
        <v>2026</v>
      </c>
      <c r="K181" t="s">
        <v>448</v>
      </c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</row>
    <row r="182" spans="1:29" x14ac:dyDescent="0.25">
      <c r="H182">
        <v>68125</v>
      </c>
      <c r="I182">
        <v>1</v>
      </c>
      <c r="J182">
        <v>76600</v>
      </c>
      <c r="K182" s="16">
        <f>SUM(J182/I182)</f>
        <v>76600</v>
      </c>
    </row>
    <row r="183" spans="1:29" x14ac:dyDescent="0.25">
      <c r="H183">
        <v>73700</v>
      </c>
      <c r="I183">
        <v>1.5</v>
      </c>
      <c r="J183">
        <v>86600</v>
      </c>
      <c r="K183" s="16">
        <f t="shared" ref="K183:K197" si="0">SUM(J183/I183)</f>
        <v>57733.333333333336</v>
      </c>
    </row>
    <row r="184" spans="1:29" x14ac:dyDescent="0.25">
      <c r="H184">
        <v>79000</v>
      </c>
      <c r="I184">
        <v>2</v>
      </c>
      <c r="J184">
        <v>94600</v>
      </c>
      <c r="K184" s="16">
        <f t="shared" si="0"/>
        <v>47300</v>
      </c>
    </row>
    <row r="185" spans="1:29" x14ac:dyDescent="0.25">
      <c r="H185">
        <v>85000</v>
      </c>
      <c r="I185">
        <v>2.5</v>
      </c>
      <c r="J185">
        <v>92200</v>
      </c>
      <c r="K185" s="16">
        <f t="shared" si="0"/>
        <v>36880</v>
      </c>
    </row>
    <row r="186" spans="1:29" x14ac:dyDescent="0.25">
      <c r="H186">
        <v>90700</v>
      </c>
      <c r="I186">
        <v>3</v>
      </c>
      <c r="J186">
        <v>84600</v>
      </c>
      <c r="K186" s="16">
        <f t="shared" si="0"/>
        <v>28200</v>
      </c>
    </row>
    <row r="187" spans="1:29" x14ac:dyDescent="0.25">
      <c r="H187">
        <v>107700</v>
      </c>
      <c r="I187">
        <v>4</v>
      </c>
      <c r="J187">
        <v>104800</v>
      </c>
      <c r="K187" s="16">
        <f t="shared" si="0"/>
        <v>26200</v>
      </c>
    </row>
    <row r="188" spans="1:29" x14ac:dyDescent="0.25">
      <c r="H188">
        <v>124700</v>
      </c>
      <c r="I188">
        <v>5</v>
      </c>
      <c r="J188">
        <v>132100</v>
      </c>
      <c r="K188" s="16">
        <f t="shared" si="0"/>
        <v>26420</v>
      </c>
    </row>
    <row r="189" spans="1:29" x14ac:dyDescent="0.25">
      <c r="H189">
        <v>147300</v>
      </c>
      <c r="I189">
        <v>7</v>
      </c>
      <c r="J189">
        <v>150000</v>
      </c>
      <c r="K189" s="16">
        <f t="shared" si="0"/>
        <v>21428.571428571428</v>
      </c>
    </row>
    <row r="190" spans="1:29" x14ac:dyDescent="0.25">
      <c r="H190">
        <v>181400</v>
      </c>
      <c r="I190">
        <v>10</v>
      </c>
      <c r="J190">
        <v>210000</v>
      </c>
      <c r="K190" s="16">
        <f t="shared" si="0"/>
        <v>21000</v>
      </c>
    </row>
    <row r="191" spans="1:29" x14ac:dyDescent="0.25">
      <c r="H191">
        <v>221000</v>
      </c>
      <c r="I191">
        <v>15</v>
      </c>
      <c r="J191">
        <v>250000</v>
      </c>
      <c r="K191" s="16">
        <f t="shared" si="0"/>
        <v>16666.666666666668</v>
      </c>
    </row>
    <row r="192" spans="1:29" x14ac:dyDescent="0.25">
      <c r="H192">
        <v>225000</v>
      </c>
      <c r="I192">
        <v>20</v>
      </c>
      <c r="J192">
        <v>290000</v>
      </c>
      <c r="K192" s="16">
        <f t="shared" si="0"/>
        <v>14500</v>
      </c>
    </row>
    <row r="193" spans="8:11" x14ac:dyDescent="0.25">
      <c r="H193">
        <v>294700</v>
      </c>
      <c r="I193">
        <v>25</v>
      </c>
      <c r="J193">
        <v>340000</v>
      </c>
      <c r="K193" s="16">
        <f t="shared" si="0"/>
        <v>13600</v>
      </c>
    </row>
    <row r="194" spans="8:11" x14ac:dyDescent="0.25">
      <c r="H194">
        <v>351400</v>
      </c>
      <c r="I194">
        <v>30</v>
      </c>
      <c r="J194">
        <v>425000</v>
      </c>
      <c r="K194" s="16">
        <f t="shared" si="0"/>
        <v>14166.666666666666</v>
      </c>
    </row>
    <row r="195" spans="8:11" x14ac:dyDescent="0.25">
      <c r="H195">
        <v>453400</v>
      </c>
      <c r="I195">
        <v>40</v>
      </c>
      <c r="J195">
        <v>575000</v>
      </c>
      <c r="K195" s="16">
        <f t="shared" si="0"/>
        <v>14375</v>
      </c>
    </row>
    <row r="196" spans="8:11" x14ac:dyDescent="0.25">
      <c r="H196">
        <v>566800</v>
      </c>
      <c r="I196">
        <v>50</v>
      </c>
      <c r="J196">
        <v>700000</v>
      </c>
      <c r="K196" s="16">
        <f t="shared" si="0"/>
        <v>14000</v>
      </c>
    </row>
    <row r="197" spans="8:11" x14ac:dyDescent="0.25">
      <c r="H197">
        <v>1133600</v>
      </c>
      <c r="I197">
        <v>100</v>
      </c>
      <c r="J197">
        <v>1133600</v>
      </c>
      <c r="K197" s="16">
        <f t="shared" si="0"/>
        <v>11336</v>
      </c>
    </row>
    <row r="198" spans="8:11" x14ac:dyDescent="0.25">
      <c r="H198"/>
      <c r="I198"/>
      <c r="J198"/>
    </row>
    <row r="199" spans="8:11" x14ac:dyDescent="0.25">
      <c r="H199"/>
      <c r="I199"/>
      <c r="J199"/>
    </row>
    <row r="200" spans="8:11" x14ac:dyDescent="0.25">
      <c r="H200"/>
      <c r="I200"/>
      <c r="J200"/>
    </row>
    <row r="201" spans="8:11" x14ac:dyDescent="0.25">
      <c r="H201"/>
      <c r="I201"/>
      <c r="J201"/>
    </row>
    <row r="202" spans="8:11" x14ac:dyDescent="0.25">
      <c r="H202"/>
      <c r="I202"/>
      <c r="J202"/>
    </row>
    <row r="203" spans="8:11" x14ac:dyDescent="0.25">
      <c r="H203"/>
      <c r="I203"/>
      <c r="J203"/>
    </row>
    <row r="204" spans="8:11" x14ac:dyDescent="0.25">
      <c r="H204"/>
      <c r="I204"/>
      <c r="J204"/>
    </row>
    <row r="205" spans="8:11" x14ac:dyDescent="0.25">
      <c r="H205"/>
      <c r="I205"/>
      <c r="J205"/>
    </row>
    <row r="206" spans="8:11" x14ac:dyDescent="0.25">
      <c r="H206"/>
      <c r="I206"/>
      <c r="J206"/>
    </row>
  </sheetData>
  <sortState xmlns:xlrd2="http://schemas.microsoft.com/office/spreadsheetml/2017/richdata2" ref="A2:AC177">
    <sortCondition ref="P2:P177"/>
  </sortState>
  <conditionalFormatting sqref="A2:AC177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CCBF9-4494-4D82-AA65-4C3D8AF2953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2025-12-02T16:21:43Z</dcterms:created>
  <dcterms:modified xsi:type="dcterms:W3CDTF">2025-12-03T15:23:32Z</dcterms:modified>
</cp:coreProperties>
</file>