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FileSRVR\Data\Users\Mfrain\Desktop\SALES STUDY'S\2026 SALES STUDY\"/>
    </mc:Choice>
  </mc:AlternateContent>
  <xr:revisionPtr revIDLastSave="0" documentId="8_{DAFDF120-341E-4646-B402-F8924D9DFDD3}" xr6:coauthVersionLast="47" xr6:coauthVersionMax="47" xr10:uidLastSave="{00000000-0000-0000-0000-000000000000}"/>
  <bookViews>
    <workbookView xWindow="25080" yWindow="-120" windowWidth="25440" windowHeight="15270" xr2:uid="{94111E6C-63A6-4FD5-AC9D-36755F0581B0}"/>
  </bookViews>
  <sheets>
    <sheet name="Land Analysis" sheetId="2" r:id="rId1"/>
    <sheet name="Sheet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2" l="1"/>
  <c r="I2" i="2"/>
  <c r="O2" i="2"/>
  <c r="P2" i="2"/>
  <c r="Q2" i="2"/>
  <c r="G3" i="2"/>
  <c r="I3" i="2"/>
  <c r="O3" i="2"/>
  <c r="P3" i="2"/>
  <c r="Q3" i="2"/>
  <c r="G4" i="2"/>
  <c r="I4" i="2"/>
  <c r="O4" i="2"/>
  <c r="P4" i="2"/>
  <c r="Q4" i="2"/>
  <c r="G5" i="2"/>
  <c r="I5" i="2"/>
  <c r="O5" i="2" s="1"/>
  <c r="G6" i="2"/>
  <c r="I6" i="2"/>
  <c r="P6" i="2" s="1"/>
  <c r="O6" i="2"/>
  <c r="G7" i="2"/>
  <c r="I7" i="2"/>
  <c r="O7" i="2" s="1"/>
  <c r="P7" i="2"/>
  <c r="Q7" i="2"/>
  <c r="G8" i="2"/>
  <c r="I8" i="2"/>
  <c r="O8" i="2"/>
  <c r="P8" i="2"/>
  <c r="Q8" i="2"/>
  <c r="G9" i="2"/>
  <c r="I9" i="2"/>
  <c r="O9" i="2" s="1"/>
  <c r="G10" i="2"/>
  <c r="I10" i="2"/>
  <c r="O10" i="2" s="1"/>
  <c r="P10" i="2"/>
  <c r="Q10" i="2"/>
  <c r="D11" i="2"/>
  <c r="E11" i="2"/>
  <c r="F11" i="2"/>
  <c r="H11" i="2"/>
  <c r="J11" i="2"/>
  <c r="K11" i="2"/>
  <c r="M11" i="2"/>
  <c r="N11" i="2"/>
  <c r="G12" i="2" l="1"/>
  <c r="I11" i="2"/>
  <c r="Q6" i="2"/>
  <c r="G13" i="2"/>
  <c r="K13" i="2"/>
  <c r="N13" i="2"/>
  <c r="Q13" i="2"/>
  <c r="Q9" i="2"/>
  <c r="Q5" i="2"/>
  <c r="P9" i="2"/>
  <c r="P5" i="2"/>
</calcChain>
</file>

<file path=xl/sharedStrings.xml><?xml version="1.0" encoding="utf-8"?>
<sst xmlns="http://schemas.openxmlformats.org/spreadsheetml/2006/main" count="47" uniqueCount="45">
  <si>
    <t>Parcel Number</t>
  </si>
  <si>
    <t>Street Address</t>
  </si>
  <si>
    <t>Sale Date</t>
  </si>
  <si>
    <t>Sale Price</t>
  </si>
  <si>
    <t>Adj. Sale $</t>
  </si>
  <si>
    <t>Asd. when Sold</t>
  </si>
  <si>
    <t>Asd/Adj. Sale</t>
  </si>
  <si>
    <t>Cur. Appraisal</t>
  </si>
  <si>
    <t>Land Residual</t>
  </si>
  <si>
    <t>Est. Land Value</t>
  </si>
  <si>
    <t>Effec. Front</t>
  </si>
  <si>
    <t>Depth</t>
  </si>
  <si>
    <t>Net Acres</t>
  </si>
  <si>
    <t>Total Acres</t>
  </si>
  <si>
    <t>Dollars/FF</t>
  </si>
  <si>
    <t>Dollars/Acre</t>
  </si>
  <si>
    <t>Dollars/SqFt</t>
  </si>
  <si>
    <t>Actual Front</t>
  </si>
  <si>
    <t>41-11-20-250-007</t>
  </si>
  <si>
    <t>5865 RYAN VALLEY CT NE</t>
  </si>
  <si>
    <t>41-11-29-375-001</t>
  </si>
  <si>
    <t>4485 SUNFLOWER RIDGE DR NE</t>
  </si>
  <si>
    <t>41-11-29-375-014</t>
  </si>
  <si>
    <t>4612 SUNFLOWER RIDGE DR NE</t>
  </si>
  <si>
    <t>41-11-29-375-015</t>
  </si>
  <si>
    <t>4596 SUNFLOWER RIDGE DR NE</t>
  </si>
  <si>
    <t>41-11-29-375-021</t>
  </si>
  <si>
    <t>4492 SUNFLOWER RIDGE DR NE</t>
  </si>
  <si>
    <t>41-11-29-375-023</t>
  </si>
  <si>
    <t>4701 SUNFLOWER RIDGE DR NE</t>
  </si>
  <si>
    <t>41-11-29-375-029</t>
  </si>
  <si>
    <t>4798 SUNFLOWER RIDGE DR NE</t>
  </si>
  <si>
    <t>41-11-29-375-040</t>
  </si>
  <si>
    <t>5899 PHEASANT VIEW DR NE</t>
  </si>
  <si>
    <t>41-11-29-375-048</t>
  </si>
  <si>
    <t>4658 LINDEN BRANCH DR NE</t>
  </si>
  <si>
    <t>Totals:</t>
  </si>
  <si>
    <t>Sale. Ratio =&gt;</t>
  </si>
  <si>
    <t>Average</t>
  </si>
  <si>
    <t>Std. Dev. =&gt;</t>
  </si>
  <si>
    <t>per FF=&gt;</t>
  </si>
  <si>
    <t>per Net Acre=&gt;</t>
  </si>
  <si>
    <t>per SqFt=&gt;</t>
  </si>
  <si>
    <t>2025 USED 1050</t>
  </si>
  <si>
    <t>2026 USE 1300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</si>
</sst>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#,##0_);[Red]\(&quot;$&quot;#,##0\)"/>
    <numFmt numFmtId="8" formatCode="&quot;$&quot;#,##0.00_);[Red]\(&quot;$&quot;#,##0.00\)"/>
    <numFmt numFmtId="164" formatCode="#0.00_);[Red]\(#0.00\)"/>
    <numFmt numFmtId="165" formatCode="mm/dd/yy"/>
    <numFmt numFmtId="166" formatCode="#,##0.0_);[Red]\(#,##0.0\)"/>
    <numFmt numFmtId="167" formatCode="#0.0_);[Red]\(#0.0\)"/>
    <numFmt numFmtId="168" formatCode="&quot;$&quot;#,##0_);[Red]\(&quot;$&quot;#,##0.00\)"/>
  </numFmts>
  <fonts count="4" x14ac:knownFonts="1">
    <font>
      <sz val="11"/>
      <color theme="1"/>
      <name val="Aptos Narrow"/>
      <family val="2"/>
      <scheme val="minor"/>
    </font>
    <font>
      <b/>
      <sz val="8"/>
      <color rgb="FFFFFFFF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sz val="8"/>
      <color rgb="FF0000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165" fontId="2" fillId="0" borderId="0" xfId="0" applyNumberFormat="1" applyFont="1"/>
    <xf numFmtId="6" fontId="2" fillId="0" borderId="0" xfId="0" applyNumberFormat="1" applyFont="1"/>
    <xf numFmtId="164" fontId="2" fillId="0" borderId="0" xfId="0" applyNumberFormat="1" applyFont="1"/>
    <xf numFmtId="166" fontId="2" fillId="0" borderId="0" xfId="0" applyNumberFormat="1" applyFont="1"/>
    <xf numFmtId="167" fontId="2" fillId="0" borderId="0" xfId="0" applyNumberFormat="1" applyFont="1"/>
    <xf numFmtId="40" fontId="2" fillId="0" borderId="0" xfId="0" applyNumberFormat="1" applyFont="1"/>
    <xf numFmtId="8" fontId="2" fillId="0" borderId="0" xfId="0" applyNumberFormat="1" applyFont="1"/>
    <xf numFmtId="0" fontId="3" fillId="3" borderId="1" xfId="0" applyFont="1" applyFill="1" applyBorder="1"/>
    <xf numFmtId="165" fontId="3" fillId="3" borderId="1" xfId="0" applyNumberFormat="1" applyFont="1" applyFill="1" applyBorder="1"/>
    <xf numFmtId="6" fontId="3" fillId="3" borderId="1" xfId="0" applyNumberFormat="1" applyFont="1" applyFill="1" applyBorder="1"/>
    <xf numFmtId="164" fontId="3" fillId="3" borderId="1" xfId="0" applyNumberFormat="1" applyFont="1" applyFill="1" applyBorder="1"/>
    <xf numFmtId="166" fontId="3" fillId="3" borderId="1" xfId="0" applyNumberFormat="1" applyFont="1" applyFill="1" applyBorder="1"/>
    <xf numFmtId="167" fontId="3" fillId="3" borderId="1" xfId="0" applyNumberFormat="1" applyFont="1" applyFill="1" applyBorder="1"/>
    <xf numFmtId="40" fontId="3" fillId="3" borderId="1" xfId="0" applyNumberFormat="1" applyFont="1" applyFill="1" applyBorder="1"/>
    <xf numFmtId="8" fontId="3" fillId="3" borderId="1" xfId="0" applyNumberFormat="1" applyFont="1" applyFill="1" applyBorder="1"/>
    <xf numFmtId="0" fontId="3" fillId="3" borderId="0" xfId="0" applyFont="1" applyFill="1" applyBorder="1"/>
    <xf numFmtId="165" fontId="3" fillId="3" borderId="0" xfId="0" applyNumberFormat="1" applyFont="1" applyFill="1" applyBorder="1"/>
    <xf numFmtId="6" fontId="3" fillId="3" borderId="0" xfId="0" applyNumberFormat="1" applyFont="1" applyFill="1" applyBorder="1"/>
    <xf numFmtId="164" fontId="3" fillId="3" borderId="0" xfId="0" applyNumberFormat="1" applyFont="1" applyFill="1" applyBorder="1"/>
    <xf numFmtId="166" fontId="3" fillId="3" borderId="0" xfId="0" applyNumberFormat="1" applyFont="1" applyFill="1" applyBorder="1"/>
    <xf numFmtId="167" fontId="3" fillId="3" borderId="0" xfId="0" applyNumberFormat="1" applyFont="1" applyFill="1" applyBorder="1"/>
    <xf numFmtId="40" fontId="3" fillId="3" borderId="0" xfId="0" applyNumberFormat="1" applyFont="1" applyFill="1" applyBorder="1"/>
    <xf numFmtId="8" fontId="3" fillId="3" borderId="0" xfId="0" applyNumberFormat="1" applyFont="1" applyFill="1" applyBorder="1"/>
    <xf numFmtId="0" fontId="3" fillId="3" borderId="2" xfId="0" applyFont="1" applyFill="1" applyBorder="1"/>
    <xf numFmtId="165" fontId="3" fillId="3" borderId="2" xfId="0" applyNumberFormat="1" applyFont="1" applyFill="1" applyBorder="1"/>
    <xf numFmtId="6" fontId="3" fillId="3" borderId="2" xfId="0" applyNumberFormat="1" applyFont="1" applyFill="1" applyBorder="1"/>
    <xf numFmtId="164" fontId="3" fillId="3" borderId="2" xfId="0" applyNumberFormat="1" applyFont="1" applyFill="1" applyBorder="1"/>
    <xf numFmtId="168" fontId="3" fillId="3" borderId="2" xfId="0" applyNumberFormat="1" applyFont="1" applyFill="1" applyBorder="1"/>
    <xf numFmtId="167" fontId="3" fillId="3" borderId="2" xfId="0" applyNumberFormat="1" applyFont="1" applyFill="1" applyBorder="1"/>
    <xf numFmtId="40" fontId="3" fillId="3" borderId="2" xfId="0" applyNumberFormat="1" applyFont="1" applyFill="1" applyBorder="1"/>
    <xf numFmtId="8" fontId="3" fillId="3" borderId="2" xfId="0" applyNumberFormat="1" applyFont="1" applyFill="1" applyBorder="1"/>
    <xf numFmtId="0" fontId="1" fillId="2" borderId="0" xfId="0" applyFont="1" applyFill="1" applyAlignment="1">
      <alignment horizontal="center" wrapText="1"/>
    </xf>
    <xf numFmtId="165" fontId="1" fillId="2" borderId="0" xfId="0" applyNumberFormat="1" applyFont="1" applyFill="1" applyAlignment="1">
      <alignment horizontal="center" wrapText="1"/>
    </xf>
    <xf numFmtId="6" fontId="1" fillId="2" borderId="0" xfId="0" applyNumberFormat="1" applyFont="1" applyFill="1" applyAlignment="1">
      <alignment horizontal="center" wrapText="1"/>
    </xf>
    <xf numFmtId="164" fontId="1" fillId="2" borderId="0" xfId="0" applyNumberFormat="1" applyFont="1" applyFill="1" applyAlignment="1">
      <alignment horizontal="center" wrapText="1"/>
    </xf>
    <xf numFmtId="166" fontId="1" fillId="2" borderId="0" xfId="0" applyNumberFormat="1" applyFont="1" applyFill="1" applyAlignment="1">
      <alignment horizontal="center" wrapText="1"/>
    </xf>
    <xf numFmtId="167" fontId="1" fillId="2" borderId="0" xfId="0" applyNumberFormat="1" applyFont="1" applyFill="1" applyAlignment="1">
      <alignment horizontal="center" wrapText="1"/>
    </xf>
    <xf numFmtId="40" fontId="1" fillId="2" borderId="0" xfId="0" applyNumberFormat="1" applyFont="1" applyFill="1" applyAlignment="1">
      <alignment horizontal="center" wrapText="1"/>
    </xf>
    <xf numFmtId="8" fontId="1" fillId="2" borderId="0" xfId="0" applyNumberFormat="1" applyFont="1" applyFill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</cellXfs>
  <cellStyles count="1">
    <cellStyle name="Normal" xfId="0" builtinId="0"/>
  </cellStyles>
  <dxfs count="2">
    <dxf>
      <fill>
        <patternFill>
          <bgColor rgb="FFFFFFFF"/>
        </patternFill>
      </fill>
    </dxf>
    <dxf>
      <fill>
        <patternFill>
          <bgColor rgb="FFA7E4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E09A4-7C57-460D-A382-F340648E5C3F}">
  <dimension ref="A1:AL16"/>
  <sheetViews>
    <sheetView tabSelected="1" workbookViewId="0">
      <selection activeCell="H7" sqref="H7"/>
    </sheetView>
  </sheetViews>
  <sheetFormatPr defaultRowHeight="15" x14ac:dyDescent="0.25"/>
  <cols>
    <col min="1" max="1" width="13.140625" style="2" bestFit="1" customWidth="1"/>
    <col min="2" max="2" width="22.140625" style="2" bestFit="1" customWidth="1"/>
    <col min="3" max="3" width="7.28515625" style="3" bestFit="1" customWidth="1"/>
    <col min="4" max="4" width="9.140625" style="4" customWidth="1"/>
    <col min="5" max="5" width="9.140625" style="4" bestFit="1" customWidth="1"/>
    <col min="6" max="6" width="9.42578125" style="4" customWidth="1"/>
    <col min="7" max="7" width="7.7109375" style="5" customWidth="1"/>
    <col min="8" max="9" width="9.28515625" style="4" customWidth="1"/>
    <col min="10" max="10" width="9.5703125" style="4" customWidth="1"/>
    <col min="11" max="11" width="8" style="6" customWidth="1"/>
    <col min="12" max="12" width="5.28515625" style="7" bestFit="1" customWidth="1"/>
    <col min="13" max="13" width="8.5703125" style="8" customWidth="1"/>
    <col min="14" max="14" width="9.140625" style="8" bestFit="1" customWidth="1"/>
    <col min="15" max="15" width="7.7109375" style="4" bestFit="1" customWidth="1"/>
    <col min="16" max="16" width="9.28515625" style="4" bestFit="1" customWidth="1"/>
    <col min="17" max="17" width="9.28515625" style="9" bestFit="1" customWidth="1"/>
    <col min="18" max="18" width="8" style="8" customWidth="1"/>
  </cols>
  <sheetData>
    <row r="1" spans="1:38" s="43" customFormat="1" ht="30.75" customHeight="1" x14ac:dyDescent="0.25">
      <c r="A1" s="34" t="s">
        <v>0</v>
      </c>
      <c r="B1" s="34" t="s">
        <v>1</v>
      </c>
      <c r="C1" s="35" t="s">
        <v>2</v>
      </c>
      <c r="D1" s="36" t="s">
        <v>3</v>
      </c>
      <c r="E1" s="36" t="s">
        <v>4</v>
      </c>
      <c r="F1" s="36" t="s">
        <v>5</v>
      </c>
      <c r="G1" s="37" t="s">
        <v>6</v>
      </c>
      <c r="H1" s="36" t="s">
        <v>7</v>
      </c>
      <c r="I1" s="36" t="s">
        <v>8</v>
      </c>
      <c r="J1" s="36" t="s">
        <v>9</v>
      </c>
      <c r="K1" s="38" t="s">
        <v>10</v>
      </c>
      <c r="L1" s="39" t="s">
        <v>11</v>
      </c>
      <c r="M1" s="40" t="s">
        <v>12</v>
      </c>
      <c r="N1" s="40" t="s">
        <v>13</v>
      </c>
      <c r="O1" s="36" t="s">
        <v>14</v>
      </c>
      <c r="P1" s="36" t="s">
        <v>15</v>
      </c>
      <c r="Q1" s="41" t="s">
        <v>16</v>
      </c>
      <c r="R1" s="40" t="s">
        <v>17</v>
      </c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</row>
    <row r="2" spans="1:38" x14ac:dyDescent="0.25">
      <c r="A2" s="2" t="s">
        <v>18</v>
      </c>
      <c r="B2" s="2" t="s">
        <v>19</v>
      </c>
      <c r="C2" s="3">
        <v>45455</v>
      </c>
      <c r="D2" s="4">
        <v>880000</v>
      </c>
      <c r="E2" s="4">
        <v>880000</v>
      </c>
      <c r="F2" s="4">
        <v>340100</v>
      </c>
      <c r="G2" s="5">
        <f>F2/E2*100</f>
        <v>38.647727272727273</v>
      </c>
      <c r="H2" s="4">
        <v>760013</v>
      </c>
      <c r="I2" s="4">
        <f>E2-623523</f>
        <v>256477</v>
      </c>
      <c r="J2" s="4">
        <v>136490</v>
      </c>
      <c r="K2" s="6">
        <v>129.990724</v>
      </c>
      <c r="L2" s="7">
        <v>215</v>
      </c>
      <c r="M2" s="8">
        <v>0.77100000000000002</v>
      </c>
      <c r="N2" s="8">
        <v>0.77100000000000002</v>
      </c>
      <c r="O2" s="4">
        <f>I2/K2</f>
        <v>1973.0407840485602</v>
      </c>
      <c r="P2" s="4">
        <f>I2/M2</f>
        <v>332654.9935149157</v>
      </c>
      <c r="Q2" s="9">
        <f>I2/M2/43560</f>
        <v>7.6367078401036661</v>
      </c>
      <c r="R2" s="8">
        <v>96.47</v>
      </c>
      <c r="AC2" s="1"/>
      <c r="AE2" s="1"/>
    </row>
    <row r="3" spans="1:38" x14ac:dyDescent="0.25">
      <c r="A3" s="2" t="s">
        <v>20</v>
      </c>
      <c r="B3" s="2" t="s">
        <v>21</v>
      </c>
      <c r="C3" s="3">
        <v>45828</v>
      </c>
      <c r="D3" s="4">
        <v>608000</v>
      </c>
      <c r="E3" s="4">
        <v>608000</v>
      </c>
      <c r="F3" s="4">
        <v>249700</v>
      </c>
      <c r="G3" s="5">
        <f>F3/E3*100</f>
        <v>41.069078947368418</v>
      </c>
      <c r="H3" s="4">
        <v>518301</v>
      </c>
      <c r="I3" s="4">
        <f>E3-385160</f>
        <v>222840</v>
      </c>
      <c r="J3" s="4">
        <v>133141</v>
      </c>
      <c r="K3" s="6">
        <v>126.80049200000001</v>
      </c>
      <c r="L3" s="7">
        <v>240</v>
      </c>
      <c r="M3" s="8">
        <v>0.77700000000000002</v>
      </c>
      <c r="N3" s="8">
        <v>0.77700000000000002</v>
      </c>
      <c r="O3" s="4">
        <f>I3/K3</f>
        <v>1757.4064302526522</v>
      </c>
      <c r="P3" s="4">
        <f>I3/M3</f>
        <v>286795.3667953668</v>
      </c>
      <c r="Q3" s="9">
        <f>I3/M3/43560</f>
        <v>6.583915674824766</v>
      </c>
      <c r="R3" s="8">
        <v>103.55</v>
      </c>
    </row>
    <row r="4" spans="1:38" x14ac:dyDescent="0.25">
      <c r="A4" s="2" t="s">
        <v>22</v>
      </c>
      <c r="B4" s="2" t="s">
        <v>23</v>
      </c>
      <c r="C4" s="3">
        <v>45104</v>
      </c>
      <c r="D4" s="4">
        <v>600000</v>
      </c>
      <c r="E4" s="4">
        <v>600000</v>
      </c>
      <c r="F4" s="4">
        <v>225800</v>
      </c>
      <c r="G4" s="5">
        <f>F4/E4*100</f>
        <v>37.633333333333333</v>
      </c>
      <c r="H4" s="4">
        <v>584244</v>
      </c>
      <c r="I4" s="4">
        <f>E4-428374</f>
        <v>171626</v>
      </c>
      <c r="J4" s="4">
        <v>155870</v>
      </c>
      <c r="K4" s="6">
        <v>148.448059</v>
      </c>
      <c r="L4" s="7">
        <v>220</v>
      </c>
      <c r="M4" s="8">
        <v>0.80800000000000005</v>
      </c>
      <c r="N4" s="8">
        <v>0.80800000000000005</v>
      </c>
      <c r="O4" s="4">
        <f>I4/K4</f>
        <v>1156.1350222841243</v>
      </c>
      <c r="P4" s="4">
        <f>I4/M4</f>
        <v>212408.41584158415</v>
      </c>
      <c r="Q4" s="9">
        <f>I4/M4/43560</f>
        <v>4.8762262589895355</v>
      </c>
      <c r="R4" s="8">
        <v>160</v>
      </c>
    </row>
    <row r="5" spans="1:38" x14ac:dyDescent="0.25">
      <c r="A5" s="2" t="s">
        <v>24</v>
      </c>
      <c r="B5" s="2" t="s">
        <v>25</v>
      </c>
      <c r="C5" s="3">
        <v>45442</v>
      </c>
      <c r="D5" s="4">
        <v>570000</v>
      </c>
      <c r="E5" s="4">
        <v>570000</v>
      </c>
      <c r="F5" s="4">
        <v>226500</v>
      </c>
      <c r="G5" s="5">
        <f>F5/E5*100</f>
        <v>39.736842105263158</v>
      </c>
      <c r="H5" s="4">
        <v>513853</v>
      </c>
      <c r="I5" s="4">
        <f>E5-381838</f>
        <v>188162</v>
      </c>
      <c r="J5" s="4">
        <v>132015</v>
      </c>
      <c r="K5" s="6">
        <v>125.728351</v>
      </c>
      <c r="L5" s="7">
        <v>220</v>
      </c>
      <c r="M5" s="8">
        <v>0.65700000000000003</v>
      </c>
      <c r="N5" s="8">
        <v>0.65700000000000003</v>
      </c>
      <c r="O5" s="4">
        <f>I5/K5</f>
        <v>1496.5757405026334</v>
      </c>
      <c r="P5" s="4">
        <f>I5/M5</f>
        <v>286395.73820395739</v>
      </c>
      <c r="Q5" s="9">
        <f>I5/M5/43560</f>
        <v>6.5747414647373139</v>
      </c>
      <c r="R5" s="8">
        <v>130</v>
      </c>
    </row>
    <row r="6" spans="1:38" x14ac:dyDescent="0.25">
      <c r="A6" s="2" t="s">
        <v>26</v>
      </c>
      <c r="B6" s="2" t="s">
        <v>27</v>
      </c>
      <c r="C6" s="3">
        <v>45390</v>
      </c>
      <c r="D6" s="4">
        <v>585000</v>
      </c>
      <c r="E6" s="4">
        <v>585000</v>
      </c>
      <c r="F6" s="4">
        <v>254000</v>
      </c>
      <c r="G6" s="5">
        <f>F6/E6*100</f>
        <v>43.418803418803421</v>
      </c>
      <c r="H6" s="4">
        <v>571700</v>
      </c>
      <c r="I6" s="4">
        <f>E6-441549</f>
        <v>143451</v>
      </c>
      <c r="J6" s="4">
        <v>130151</v>
      </c>
      <c r="K6" s="6">
        <v>123.953405</v>
      </c>
      <c r="L6" s="7">
        <v>220</v>
      </c>
      <c r="M6" s="8">
        <v>0.61</v>
      </c>
      <c r="N6" s="8">
        <v>0.61</v>
      </c>
      <c r="O6" s="4">
        <f>I6/K6</f>
        <v>1157.2977765314313</v>
      </c>
      <c r="P6" s="4">
        <f>I6/M6</f>
        <v>235165.57377049181</v>
      </c>
      <c r="Q6" s="9">
        <f>I6/M6/43560</f>
        <v>5.3986587183308501</v>
      </c>
      <c r="R6" s="8">
        <v>141.56</v>
      </c>
    </row>
    <row r="7" spans="1:38" x14ac:dyDescent="0.25">
      <c r="A7" s="2" t="s">
        <v>28</v>
      </c>
      <c r="B7" s="2" t="s">
        <v>29</v>
      </c>
      <c r="C7" s="3">
        <v>45449</v>
      </c>
      <c r="D7" s="4">
        <v>540000</v>
      </c>
      <c r="E7" s="4">
        <v>540000</v>
      </c>
      <c r="F7" s="4">
        <v>237800</v>
      </c>
      <c r="G7" s="5">
        <f>F7/E7*100</f>
        <v>44.037037037037038</v>
      </c>
      <c r="H7" s="4">
        <v>541419</v>
      </c>
      <c r="I7" s="4">
        <f>E7-386244</f>
        <v>153756</v>
      </c>
      <c r="J7" s="4">
        <v>155175</v>
      </c>
      <c r="K7" s="6">
        <v>147.786114</v>
      </c>
      <c r="L7" s="7">
        <v>195</v>
      </c>
      <c r="M7" s="8">
        <v>0.59499999999999997</v>
      </c>
      <c r="N7" s="8">
        <v>0.59499999999999997</v>
      </c>
      <c r="O7" s="4">
        <f>I7/K7</f>
        <v>1040.3954460836558</v>
      </c>
      <c r="P7" s="4">
        <f>I7/M7</f>
        <v>258413.44537815129</v>
      </c>
      <c r="Q7" s="9">
        <f>I7/M7/43560</f>
        <v>5.9323564136398366</v>
      </c>
      <c r="R7" s="8">
        <v>225.97</v>
      </c>
    </row>
    <row r="8" spans="1:38" x14ac:dyDescent="0.25">
      <c r="A8" s="2" t="s">
        <v>30</v>
      </c>
      <c r="B8" s="2" t="s">
        <v>31</v>
      </c>
      <c r="C8" s="3">
        <v>45896</v>
      </c>
      <c r="D8" s="4">
        <v>655000</v>
      </c>
      <c r="E8" s="4">
        <v>655000</v>
      </c>
      <c r="F8" s="4">
        <v>287900</v>
      </c>
      <c r="G8" s="5">
        <f>F8/E8*100</f>
        <v>43.954198473282439</v>
      </c>
      <c r="H8" s="4">
        <v>594261</v>
      </c>
      <c r="I8" s="4">
        <f>E8-463677</f>
        <v>191323</v>
      </c>
      <c r="J8" s="4">
        <v>130584</v>
      </c>
      <c r="K8" s="6">
        <v>124.365515</v>
      </c>
      <c r="L8" s="7">
        <v>200</v>
      </c>
      <c r="M8" s="8">
        <v>0.76</v>
      </c>
      <c r="N8" s="8">
        <v>0.76</v>
      </c>
      <c r="O8" s="4">
        <f>I8/K8</f>
        <v>1538.3926967214343</v>
      </c>
      <c r="P8" s="4">
        <f>I8/M8</f>
        <v>251740.78947368421</v>
      </c>
      <c r="Q8" s="9">
        <f>I8/M8/43560</f>
        <v>5.7791733120680489</v>
      </c>
      <c r="R8" s="8">
        <v>63</v>
      </c>
    </row>
    <row r="9" spans="1:38" x14ac:dyDescent="0.25">
      <c r="A9" s="2" t="s">
        <v>32</v>
      </c>
      <c r="B9" s="2" t="s">
        <v>33</v>
      </c>
      <c r="C9" s="3">
        <v>45448</v>
      </c>
      <c r="D9" s="4">
        <v>725000</v>
      </c>
      <c r="E9" s="4">
        <v>725000</v>
      </c>
      <c r="F9" s="4">
        <v>322300</v>
      </c>
      <c r="G9" s="5">
        <f>F9/E9*100</f>
        <v>44.4551724137931</v>
      </c>
      <c r="H9" s="4">
        <v>733242</v>
      </c>
      <c r="I9" s="4">
        <f>E9-475792</f>
        <v>249208</v>
      </c>
      <c r="J9" s="4">
        <v>257450</v>
      </c>
      <c r="K9" s="6">
        <v>245.19065699999999</v>
      </c>
      <c r="L9" s="7">
        <v>340</v>
      </c>
      <c r="M9" s="8">
        <v>1.651</v>
      </c>
      <c r="N9" s="8">
        <v>1.651</v>
      </c>
      <c r="O9" s="4">
        <f>I9/K9</f>
        <v>1016.3845680302575</v>
      </c>
      <c r="P9" s="4">
        <f>I9/M9</f>
        <v>150943.67050272561</v>
      </c>
      <c r="Q9" s="9">
        <f>I9/M9/43560</f>
        <v>3.4651898646172086</v>
      </c>
      <c r="R9" s="8">
        <v>383.05</v>
      </c>
    </row>
    <row r="10" spans="1:38" ht="15.75" thickBot="1" x14ac:dyDescent="0.3">
      <c r="A10" s="2" t="s">
        <v>34</v>
      </c>
      <c r="B10" s="2" t="s">
        <v>35</v>
      </c>
      <c r="C10" s="3">
        <v>45896</v>
      </c>
      <c r="D10" s="4">
        <v>655000</v>
      </c>
      <c r="E10" s="4">
        <v>655000</v>
      </c>
      <c r="F10" s="4">
        <v>267400</v>
      </c>
      <c r="G10" s="5">
        <f>F10/E10*100</f>
        <v>40.824427480916029</v>
      </c>
      <c r="H10" s="4">
        <v>626355</v>
      </c>
      <c r="I10" s="4">
        <f>E10-493524</f>
        <v>161476</v>
      </c>
      <c r="J10" s="4">
        <v>132831</v>
      </c>
      <c r="K10" s="6">
        <v>126.505855</v>
      </c>
      <c r="L10" s="7">
        <v>310.5</v>
      </c>
      <c r="M10" s="8">
        <v>0.85599999999999998</v>
      </c>
      <c r="N10" s="8">
        <v>0.85599999999999998</v>
      </c>
      <c r="O10" s="4">
        <f>I10/K10</f>
        <v>1276.4310394961562</v>
      </c>
      <c r="P10" s="4">
        <f>I10/M10</f>
        <v>188640.18691588784</v>
      </c>
      <c r="Q10" s="9">
        <f>I10/M10/43560</f>
        <v>4.3305828033950373</v>
      </c>
      <c r="R10" s="8">
        <v>120.29</v>
      </c>
    </row>
    <row r="11" spans="1:38" ht="15.75" thickTop="1" x14ac:dyDescent="0.25">
      <c r="A11" s="10"/>
      <c r="B11" s="10"/>
      <c r="C11" s="11" t="s">
        <v>36</v>
      </c>
      <c r="D11" s="12">
        <f>+SUM(D2:D10)</f>
        <v>5818000</v>
      </c>
      <c r="E11" s="12">
        <f>+SUM(E2:E10)</f>
        <v>5818000</v>
      </c>
      <c r="F11" s="12">
        <f>+SUM(F2:F10)</f>
        <v>2411500</v>
      </c>
      <c r="G11" s="13"/>
      <c r="H11" s="12">
        <f>+SUM(H2:H10)</f>
        <v>5443388</v>
      </c>
      <c r="I11" s="12">
        <f>+SUM(I2:I10)</f>
        <v>1738319</v>
      </c>
      <c r="J11" s="12">
        <f>+SUM(J2:J10)</f>
        <v>1363707</v>
      </c>
      <c r="K11" s="14">
        <f>+SUM(K2:K10)</f>
        <v>1298.7691719999998</v>
      </c>
      <c r="L11" s="15"/>
      <c r="M11" s="16">
        <f>+SUM(M2:M10)</f>
        <v>7.4849999999999994</v>
      </c>
      <c r="N11" s="16">
        <f>+SUM(N2:N10)</f>
        <v>7.4849999999999994</v>
      </c>
      <c r="O11" s="12"/>
      <c r="P11" s="12"/>
      <c r="Q11" s="17"/>
      <c r="R11" s="16"/>
    </row>
    <row r="12" spans="1:38" x14ac:dyDescent="0.25">
      <c r="A12" s="18"/>
      <c r="B12" s="18"/>
      <c r="C12" s="19"/>
      <c r="D12" s="20"/>
      <c r="E12" s="20"/>
      <c r="F12" s="20" t="s">
        <v>37</v>
      </c>
      <c r="G12" s="21">
        <f>F11/E11*100</f>
        <v>41.448951529735304</v>
      </c>
      <c r="H12" s="20"/>
      <c r="I12" s="20"/>
      <c r="J12" s="20" t="s">
        <v>38</v>
      </c>
      <c r="K12" s="22"/>
      <c r="L12" s="23"/>
      <c r="M12" s="24" t="s">
        <v>38</v>
      </c>
      <c r="N12" s="24"/>
      <c r="O12" s="20"/>
      <c r="P12" s="20" t="s">
        <v>38</v>
      </c>
      <c r="Q12" s="25"/>
      <c r="R12" s="24"/>
    </row>
    <row r="13" spans="1:38" x14ac:dyDescent="0.25">
      <c r="A13" s="26"/>
      <c r="B13" s="26"/>
      <c r="C13" s="27"/>
      <c r="D13" s="28"/>
      <c r="E13" s="28"/>
      <c r="F13" s="28" t="s">
        <v>39</v>
      </c>
      <c r="G13" s="29">
        <f>STDEV(G2:G10)</f>
        <v>2.5422279425620502</v>
      </c>
      <c r="H13" s="28"/>
      <c r="I13" s="28"/>
      <c r="J13" s="28" t="s">
        <v>40</v>
      </c>
      <c r="K13" s="30">
        <f>I11/K11</f>
        <v>1338.4356800855758</v>
      </c>
      <c r="L13" s="31"/>
      <c r="M13" s="32" t="s">
        <v>41</v>
      </c>
      <c r="N13" s="32">
        <f>I11/M11</f>
        <v>232240.34736138946</v>
      </c>
      <c r="O13" s="28"/>
      <c r="P13" s="28" t="s">
        <v>42</v>
      </c>
      <c r="Q13" s="33">
        <f>I11/M11/43560</f>
        <v>5.3315047603624759</v>
      </c>
      <c r="R13" s="32"/>
    </row>
    <row r="15" spans="1:38" x14ac:dyDescent="0.25">
      <c r="G15" s="5" t="s">
        <v>43</v>
      </c>
    </row>
    <row r="16" spans="1:38" x14ac:dyDescent="0.25">
      <c r="G16" s="5" t="s">
        <v>44</v>
      </c>
    </row>
  </sheetData>
  <conditionalFormatting sqref="A2:R10">
    <cfRule type="expression" dxfId="1" priority="1" stopIfTrue="1">
      <formula>MOD(ROW(),4)&gt;1</formula>
    </cfRule>
    <cfRule type="expression" dxfId="0" priority="2" stopIfTrue="1">
      <formula>MOD(ROW(),4)&lt;2</formula>
    </cfRule>
  </conditionalFormatting>
  <pageMargins left="0.25" right="0.25" top="0.75" bottom="0.75" header="0.3" footer="0.3"/>
  <pageSetup paperSize="5" orientation="landscape" r:id="rId1"/>
  <headerFooter>
    <oddHeader>&amp;C2026 SUNFLOWER RIDGE RYAN VALLEY LAND STUDY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543B7-FA19-4259-8153-221DBA0136D6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Land Analysis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Frain</dc:creator>
  <cp:lastModifiedBy>Matthew Frain</cp:lastModifiedBy>
  <dcterms:created xsi:type="dcterms:W3CDTF">2025-12-16T15:34:17Z</dcterms:created>
  <dcterms:modified xsi:type="dcterms:W3CDTF">2025-12-16T15:39:23Z</dcterms:modified>
</cp:coreProperties>
</file>